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C:\Users\himal\OneDrive\Documents\Work\ECON\Omniyat\Payments\Contractor Payment Cerfificates\KCE\Main Contractor Payment\2 January\IPC 12\"/>
    </mc:Choice>
  </mc:AlternateContent>
  <xr:revisionPtr revIDLastSave="0" documentId="13_ncr:1_{AE355F2A-4B80-4212-93DD-992E6D9A8EBB}" xr6:coauthVersionLast="47" xr6:coauthVersionMax="47" xr10:uidLastSave="{00000000-0000-0000-0000-000000000000}"/>
  <bookViews>
    <workbookView xWindow="-90" yWindow="0" windowWidth="12980" windowHeight="13770" xr2:uid="{00000000-000D-0000-FFFF-FFFF00000000}"/>
  </bookViews>
  <sheets>
    <sheet name="KCE-PC 12" sheetId="2" r:id="rId1"/>
    <sheet name="KCE-PC 12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January 23" sheetId="22" r:id="rId17"/>
    <sheet name="KMEP -IPC" sheetId="18" r:id="rId18"/>
    <sheet name="Adjustments" sheetId="19" r:id="rId19"/>
    <sheet name="Historical Debts" sheetId="17" r:id="rId20"/>
  </sheets>
  <externalReferences>
    <externalReference r:id="rId21"/>
    <externalReference r:id="rId22"/>
    <externalReference r:id="rId23"/>
  </externalReferences>
  <definedNames>
    <definedName name="_1_" localSheetId="16">#REF!</definedName>
    <definedName name="_1_">#REF!</definedName>
    <definedName name="_jj300" localSheetId="16">#REF!</definedName>
    <definedName name="_jj300">#REF!</definedName>
    <definedName name="a" localSheetId="16">[1]boq!#REF!</definedName>
    <definedName name="a">[1]boq!#REF!</definedName>
    <definedName name="BuiltIn_Print_Area___0" localSheetId="16">#REF!</definedName>
    <definedName name="BuiltIn_Print_Area___0">#REF!</definedName>
    <definedName name="Comp_ME" localSheetId="16">#REF!</definedName>
    <definedName name="Comp_ME">#REF!</definedName>
    <definedName name="_xlnm.Database" localSheetId="16">#REF!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 localSheetId="16">#REF!</definedName>
    <definedName name="MANUEL_INPUT">#REF!</definedName>
    <definedName name="P1R" localSheetId="16">'[2]Fill this out first...'!#REF!</definedName>
    <definedName name="P1R">'[2]Fill this out first...'!#REF!</definedName>
    <definedName name="P2R" localSheetId="16">'[2]Fill this out first...'!#REF!</definedName>
    <definedName name="P2R">'[2]Fill this out first...'!#REF!</definedName>
    <definedName name="P3R" localSheetId="16">'[2]Fill this out first...'!#REF!</definedName>
    <definedName name="P3R">'[2]Fill this out first...'!#REF!</definedName>
    <definedName name="P4R" localSheetId="16">'[2]Fill this out first...'!#REF!</definedName>
    <definedName name="P4R">'[2]Fill this out first...'!#REF!</definedName>
    <definedName name="P5R" localSheetId="16">'[2]Fill this out first...'!#REF!</definedName>
    <definedName name="P5R">'[2]Fill this out first...'!#REF!</definedName>
    <definedName name="PAN_TILES" localSheetId="16">#REF!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Adjustments!$A$1:$F$60</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'!$A$1:$AE$109</definedName>
    <definedName name="_xlnm.Print_Area" localSheetId="8">'Annexure 7-Overhead Summary'!$A$1:$E$23</definedName>
    <definedName name="_xlnm.Print_Area" localSheetId="9">'Annexure 8-Committed Orders'!$A$1:$F$33</definedName>
    <definedName name="_xlnm.Print_Area" localSheetId="11">'Annexure 9-OHP'!$A$1:$G$43</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January 23'!$A$1:$AM$129</definedName>
    <definedName name="_xlnm.Print_Area" localSheetId="10">'Committed Orders'!$A$1:$E$67</definedName>
    <definedName name="_xlnm.Print_Area" localSheetId="0">'KCE-PC 12'!$A$1:$G$65</definedName>
    <definedName name="_xlnm.Print_Area" localSheetId="1">'KCE-PC 12 INT'!$A$1:$G$67</definedName>
    <definedName name="_xlnm.Print_Area" localSheetId="17">'KMEP -IPC'!$A$1:$M$35</definedName>
    <definedName name="_xlnm.Print_Area" localSheetId="15">'Staff Cost Summary'!$A$1:$E$27</definedName>
    <definedName name="_xlnm.Print_Area">#REF!</definedName>
    <definedName name="Print_Range" localSheetId="16">#REF!</definedName>
    <definedName name="Print_Range">#REF!</definedName>
    <definedName name="_xlnm.Print_Titles" localSheetId="7">'Annexure 6-SC Summary '!$1:$5</definedName>
    <definedName name="_xlnm.Print_Titles" localSheetId="16">'Civil Staff Cost January 23'!$1:$7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localSheetId="16"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Z9" i="8" l="1"/>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1" i="8"/>
  <c r="AZ72" i="8"/>
  <c r="AZ73" i="8"/>
  <c r="AZ74" i="8"/>
  <c r="AZ75" i="8"/>
  <c r="AZ76" i="8"/>
  <c r="AZ77" i="8"/>
  <c r="AZ78" i="8"/>
  <c r="AZ79" i="8"/>
  <c r="AZ80" i="8"/>
  <c r="AZ81" i="8"/>
  <c r="AZ82" i="8"/>
  <c r="AZ83" i="8"/>
  <c r="AZ84" i="8"/>
  <c r="AZ85" i="8"/>
  <c r="AZ86" i="8"/>
  <c r="AZ88" i="8"/>
  <c r="AZ8" i="8"/>
  <c r="V56" i="8"/>
  <c r="Z75" i="8"/>
  <c r="D106" i="8" l="1"/>
  <c r="D99" i="8"/>
  <c r="D102" i="8"/>
  <c r="R18" i="8" l="1"/>
  <c r="H31" i="6" l="1"/>
  <c r="F31" i="6"/>
  <c r="E25" i="14"/>
  <c r="D25" i="14"/>
  <c r="D140" i="8"/>
  <c r="C140" i="8"/>
  <c r="E29" i="15"/>
  <c r="D29" i="15"/>
  <c r="F35" i="20"/>
  <c r="E35" i="20"/>
  <c r="F27" i="7"/>
  <c r="E27" i="7"/>
  <c r="AA37" i="8" l="1"/>
  <c r="AA32" i="8"/>
  <c r="AA34" i="8"/>
  <c r="AA36" i="8"/>
  <c r="AV33" i="8"/>
  <c r="AV80" i="8"/>
  <c r="AW80" i="8" s="1"/>
  <c r="AV86" i="8"/>
  <c r="AW86" i="8" s="1"/>
  <c r="AB78" i="8" l="1"/>
  <c r="AC78" i="8"/>
  <c r="AB79" i="8"/>
  <c r="AC79" i="8"/>
  <c r="T79" i="8"/>
  <c r="AD79" i="8" s="1"/>
  <c r="U79" i="8"/>
  <c r="T77" i="8"/>
  <c r="U77" i="8"/>
  <c r="T78" i="8"/>
  <c r="U78" i="8"/>
  <c r="W72" i="8"/>
  <c r="AC72" i="8" s="1"/>
  <c r="G68" i="8"/>
  <c r="G69" i="8"/>
  <c r="G70" i="8"/>
  <c r="G71" i="8"/>
  <c r="G72" i="8"/>
  <c r="G76" i="8"/>
  <c r="G77" i="8"/>
  <c r="G78" i="8"/>
  <c r="G79" i="8"/>
  <c r="H76" i="8"/>
  <c r="H77" i="8"/>
  <c r="H78" i="8"/>
  <c r="H79" i="8"/>
  <c r="H72" i="8"/>
  <c r="H68" i="8"/>
  <c r="H69" i="8"/>
  <c r="H70" i="8"/>
  <c r="J73" i="8"/>
  <c r="J62" i="8"/>
  <c r="J61" i="8"/>
  <c r="AC81" i="8"/>
  <c r="AC82" i="8"/>
  <c r="AC83" i="8"/>
  <c r="AC84" i="8"/>
  <c r="AC85" i="8"/>
  <c r="AC66" i="8"/>
  <c r="AC67" i="8"/>
  <c r="AC68" i="8"/>
  <c r="AC69" i="8"/>
  <c r="AC70" i="8"/>
  <c r="AC71" i="8"/>
  <c r="AC73" i="8"/>
  <c r="AC74" i="8"/>
  <c r="AC75" i="8"/>
  <c r="AC76" i="8"/>
  <c r="AC77" i="8"/>
  <c r="AC53" i="8"/>
  <c r="AC54" i="8"/>
  <c r="AC55" i="8"/>
  <c r="AC56" i="8"/>
  <c r="AC57" i="8"/>
  <c r="AC58" i="8"/>
  <c r="AC59" i="8"/>
  <c r="AC60" i="8"/>
  <c r="AC61" i="8"/>
  <c r="AC62" i="8"/>
  <c r="AC63" i="8"/>
  <c r="AC64" i="8"/>
  <c r="AC65" i="8"/>
  <c r="AC46" i="8"/>
  <c r="AC47" i="8"/>
  <c r="AC48" i="8"/>
  <c r="AC49" i="8"/>
  <c r="AC50" i="8"/>
  <c r="AC51" i="8"/>
  <c r="AC52" i="8"/>
  <c r="AC38" i="8"/>
  <c r="AC39" i="8"/>
  <c r="AC40" i="8"/>
  <c r="AC41" i="8"/>
  <c r="AC42" i="8"/>
  <c r="AC43" i="8"/>
  <c r="AC44" i="8"/>
  <c r="AC45" i="8"/>
  <c r="AC29" i="8"/>
  <c r="AC30" i="8"/>
  <c r="AC31" i="8"/>
  <c r="AC32" i="8"/>
  <c r="AC33" i="8"/>
  <c r="AW33" i="8" s="1"/>
  <c r="AC34" i="8"/>
  <c r="AC35" i="8"/>
  <c r="AC36" i="8"/>
  <c r="AC37" i="8"/>
  <c r="AC22" i="8"/>
  <c r="AC23" i="8"/>
  <c r="AC24" i="8"/>
  <c r="AC25" i="8"/>
  <c r="AC26" i="8"/>
  <c r="AC27" i="8"/>
  <c r="AC28" i="8"/>
  <c r="AC18" i="8"/>
  <c r="AC19" i="8"/>
  <c r="AC20" i="8"/>
  <c r="AC21" i="8"/>
  <c r="AC15" i="8"/>
  <c r="AC16" i="8"/>
  <c r="AC17" i="8"/>
  <c r="AC13" i="8"/>
  <c r="AC9" i="8"/>
  <c r="AC10" i="8"/>
  <c r="AC11" i="8"/>
  <c r="AC12" i="8"/>
  <c r="J24" i="8"/>
  <c r="Q24" i="8"/>
  <c r="U21" i="8"/>
  <c r="S18" i="8"/>
  <c r="AE79" i="8" l="1"/>
  <c r="AV79" i="8" s="1"/>
  <c r="AW79" i="8" s="1"/>
  <c r="AE78" i="8"/>
  <c r="AV78" i="8" s="1"/>
  <c r="AW78" i="8" s="1"/>
  <c r="AD78" i="8"/>
  <c r="G69" i="1"/>
  <c r="Q16" i="8"/>
  <c r="J16" i="8" s="1"/>
  <c r="J15" i="8" l="1"/>
  <c r="O15" i="8"/>
  <c r="M15" i="8"/>
  <c r="W14" i="8"/>
  <c r="AC14" i="8" s="1"/>
  <c r="S10" i="8"/>
  <c r="U9" i="8"/>
  <c r="AE9" i="8" l="1"/>
  <c r="AV9" i="8" s="1"/>
  <c r="AW9" i="8" s="1"/>
  <c r="E14" i="5"/>
  <c r="C67" i="13" l="1"/>
  <c r="A59" i="13"/>
  <c r="A60" i="13" s="1"/>
  <c r="A61" i="13" s="1"/>
  <c r="A62" i="13" s="1"/>
  <c r="A63" i="13" s="1"/>
  <c r="A64" i="13" s="1"/>
  <c r="A65" i="13" s="1"/>
  <c r="A66" i="13" s="1"/>
  <c r="D8" i="15"/>
  <c r="D120" i="22"/>
  <c r="AJ118" i="22"/>
  <c r="AJ117" i="22"/>
  <c r="AJ116" i="22"/>
  <c r="AK116" i="22" s="1"/>
  <c r="AM116" i="22" s="1"/>
  <c r="A116" i="22"/>
  <c r="A117" i="22" s="1"/>
  <c r="A118" i="22" s="1"/>
  <c r="AJ115" i="22"/>
  <c r="A115" i="22"/>
  <c r="AJ112" i="22"/>
  <c r="AJ111" i="22"/>
  <c r="AJ110" i="22"/>
  <c r="AK110" i="22" s="1"/>
  <c r="AM110" i="22" s="1"/>
  <c r="AJ109" i="22"/>
  <c r="AK109" i="22" s="1"/>
  <c r="AM109" i="22" s="1"/>
  <c r="AJ108" i="22"/>
  <c r="AJ107" i="22"/>
  <c r="AK107" i="22" s="1"/>
  <c r="AM107" i="22" s="1"/>
  <c r="AJ106" i="22"/>
  <c r="AK106" i="22" s="1"/>
  <c r="AM106" i="22" s="1"/>
  <c r="AJ105" i="22"/>
  <c r="AK105" i="22" s="1"/>
  <c r="AM105" i="22" s="1"/>
  <c r="AM104" i="22"/>
  <c r="AJ103" i="22"/>
  <c r="AK103" i="22" s="1"/>
  <c r="AM103" i="22" s="1"/>
  <c r="AJ102" i="22"/>
  <c r="AJ101" i="22"/>
  <c r="AK101" i="22" s="1"/>
  <c r="AM101" i="22" s="1"/>
  <c r="AJ100" i="22"/>
  <c r="AK100" i="22" s="1"/>
  <c r="AM100" i="22" s="1"/>
  <c r="AJ99" i="22"/>
  <c r="AK99" i="22" s="1"/>
  <c r="AM99" i="22" s="1"/>
  <c r="AJ98" i="22"/>
  <c r="AK98" i="22" s="1"/>
  <c r="AM98" i="22" s="1"/>
  <c r="AK97" i="22"/>
  <c r="AM97" i="22" s="1"/>
  <c r="AJ97" i="22"/>
  <c r="AJ96" i="22"/>
  <c r="AK96" i="22" s="1"/>
  <c r="AM96" i="22" s="1"/>
  <c r="AJ95" i="22"/>
  <c r="AJ94" i="22"/>
  <c r="AK93" i="22"/>
  <c r="AM93" i="22" s="1"/>
  <c r="AJ93" i="22"/>
  <c r="AJ92" i="22"/>
  <c r="AK92" i="22" s="1"/>
  <c r="AM92" i="22" s="1"/>
  <c r="AJ91" i="22"/>
  <c r="AJ90" i="22"/>
  <c r="AJ89" i="22"/>
  <c r="AJ88" i="22"/>
  <c r="AK88" i="22" s="1"/>
  <c r="AM88" i="22" s="1"/>
  <c r="AJ87" i="22"/>
  <c r="AK87" i="22" s="1"/>
  <c r="AM87" i="22" s="1"/>
  <c r="AJ86" i="22"/>
  <c r="AJ85" i="22"/>
  <c r="AK85" i="22" s="1"/>
  <c r="AM85" i="22" s="1"/>
  <c r="AJ84" i="22"/>
  <c r="AK84" i="22" s="1"/>
  <c r="AM84" i="22" s="1"/>
  <c r="AJ83" i="22"/>
  <c r="AK83" i="22" s="1"/>
  <c r="AM83" i="22" s="1"/>
  <c r="AJ82" i="22"/>
  <c r="AK82" i="22" s="1"/>
  <c r="AM82" i="22" s="1"/>
  <c r="AK81" i="22"/>
  <c r="AM81" i="22" s="1"/>
  <c r="AJ81" i="22"/>
  <c r="AJ80" i="22"/>
  <c r="AK80" i="22" s="1"/>
  <c r="AM80" i="22" s="1"/>
  <c r="AJ79" i="22"/>
  <c r="AJ78" i="22"/>
  <c r="AK77" i="22"/>
  <c r="AM77" i="22" s="1"/>
  <c r="AJ77" i="22"/>
  <c r="AJ76" i="22"/>
  <c r="AK76" i="22" s="1"/>
  <c r="AM76" i="22" s="1"/>
  <c r="AJ75" i="22"/>
  <c r="AJ74" i="22"/>
  <c r="AJ73" i="22"/>
  <c r="AJ72" i="22"/>
  <c r="AK72" i="22" s="1"/>
  <c r="AM72" i="22" s="1"/>
  <c r="AJ71" i="22"/>
  <c r="AK71" i="22" s="1"/>
  <c r="AM71" i="22" s="1"/>
  <c r="AJ68" i="22"/>
  <c r="AL66" i="22"/>
  <c r="AJ66" i="22"/>
  <c r="AL65" i="22"/>
  <c r="AJ65" i="22"/>
  <c r="AL64" i="22"/>
  <c r="AJ64" i="22"/>
  <c r="AK64" i="22" s="1"/>
  <c r="AL63" i="22"/>
  <c r="AJ63" i="22"/>
  <c r="AL62" i="22"/>
  <c r="AJ62" i="22"/>
  <c r="AL61" i="22"/>
  <c r="AJ61" i="22"/>
  <c r="AL60" i="22"/>
  <c r="AJ60" i="22"/>
  <c r="AK60" i="22" s="1"/>
  <c r="AL59" i="22"/>
  <c r="AJ59" i="22"/>
  <c r="AL58" i="22"/>
  <c r="AJ58" i="22"/>
  <c r="AK57" i="22"/>
  <c r="AM57" i="22" s="1"/>
  <c r="AJ57" i="22"/>
  <c r="AJ56" i="22"/>
  <c r="AK56" i="22" s="1"/>
  <c r="AM56" i="22" s="1"/>
  <c r="AJ55" i="22"/>
  <c r="AK55" i="22" s="1"/>
  <c r="AM55" i="22" s="1"/>
  <c r="AJ54" i="22"/>
  <c r="AJ53" i="22"/>
  <c r="AK53" i="22" s="1"/>
  <c r="AM53" i="22" s="1"/>
  <c r="AJ52" i="22"/>
  <c r="AK52" i="22" s="1"/>
  <c r="AM52" i="22" s="1"/>
  <c r="AJ51" i="22"/>
  <c r="AJ50" i="22"/>
  <c r="AK50" i="22" s="1"/>
  <c r="AM50" i="22" s="1"/>
  <c r="AK49" i="22"/>
  <c r="AM49" i="22" s="1"/>
  <c r="AJ49" i="22"/>
  <c r="AJ48" i="22"/>
  <c r="AK48" i="22" s="1"/>
  <c r="AM48" i="22" s="1"/>
  <c r="AJ47" i="22"/>
  <c r="AJ46" i="22"/>
  <c r="AK45" i="22"/>
  <c r="AM45" i="22" s="1"/>
  <c r="AJ45" i="22"/>
  <c r="AJ44" i="22"/>
  <c r="AK44" i="22" s="1"/>
  <c r="AM44" i="22" s="1"/>
  <c r="AJ43" i="22"/>
  <c r="AK42" i="22"/>
  <c r="AM42" i="22" s="1"/>
  <c r="AJ42" i="22"/>
  <c r="AK41" i="22"/>
  <c r="AM41" i="22" s="1"/>
  <c r="AJ41" i="22"/>
  <c r="AJ40" i="22"/>
  <c r="AK40" i="22" s="1"/>
  <c r="AM40" i="22" s="1"/>
  <c r="AJ39" i="22"/>
  <c r="AK39" i="22" s="1"/>
  <c r="AM39" i="22" s="1"/>
  <c r="AJ38" i="22"/>
  <c r="AJ37" i="22"/>
  <c r="AK37" i="22" s="1"/>
  <c r="AM37" i="22" s="1"/>
  <c r="AJ36" i="22"/>
  <c r="AK36" i="22" s="1"/>
  <c r="AM36" i="22" s="1"/>
  <c r="AJ35" i="22"/>
  <c r="AJ34" i="22"/>
  <c r="AK34" i="22" s="1"/>
  <c r="AM34" i="22" s="1"/>
  <c r="AK33" i="22"/>
  <c r="AM33" i="22" s="1"/>
  <c r="AJ33" i="22"/>
  <c r="AJ32" i="22"/>
  <c r="AJ31" i="22"/>
  <c r="AJ30" i="22"/>
  <c r="AK29" i="22"/>
  <c r="AM29" i="22" s="1"/>
  <c r="AJ29" i="22"/>
  <c r="AJ28" i="22"/>
  <c r="AK28" i="22" s="1"/>
  <c r="AM28" i="22" s="1"/>
  <c r="AJ27" i="22"/>
  <c r="AK26" i="22"/>
  <c r="AM26" i="22" s="1"/>
  <c r="AJ26" i="22"/>
  <c r="AK25" i="22"/>
  <c r="AM25" i="22" s="1"/>
  <c r="AJ25" i="22"/>
  <c r="AJ24" i="22"/>
  <c r="AK24" i="22" s="1"/>
  <c r="AM24" i="22" s="1"/>
  <c r="AJ23" i="22"/>
  <c r="AK23" i="22" s="1"/>
  <c r="AM23" i="22" s="1"/>
  <c r="AJ22" i="22"/>
  <c r="AJ21" i="22"/>
  <c r="AK21" i="22" s="1"/>
  <c r="AM21" i="22" s="1"/>
  <c r="AJ20" i="22"/>
  <c r="AK20" i="22" s="1"/>
  <c r="AM20" i="22" s="1"/>
  <c r="AJ19" i="22"/>
  <c r="AK19" i="22" s="1"/>
  <c r="AM19" i="22" s="1"/>
  <c r="AJ18" i="22"/>
  <c r="AK18" i="22" s="1"/>
  <c r="AM18" i="22" s="1"/>
  <c r="AK17" i="22"/>
  <c r="AM17" i="22" s="1"/>
  <c r="AJ17" i="22"/>
  <c r="AJ16" i="22"/>
  <c r="AK16" i="22" s="1"/>
  <c r="AM16" i="22" s="1"/>
  <c r="AJ15" i="22"/>
  <c r="AJ12" i="22"/>
  <c r="AK11" i="22"/>
  <c r="AM11" i="22" s="1"/>
  <c r="AJ11" i="22"/>
  <c r="AJ10" i="22"/>
  <c r="AK10" i="22" s="1"/>
  <c r="AM10" i="22" s="1"/>
  <c r="AJ8" i="22"/>
  <c r="F7" i="22"/>
  <c r="G7" i="22" s="1"/>
  <c r="H7" i="22" s="1"/>
  <c r="I7" i="22" s="1"/>
  <c r="J7" i="22" s="1"/>
  <c r="K7" i="22" s="1"/>
  <c r="L7" i="22" s="1"/>
  <c r="M7" i="22" s="1"/>
  <c r="N7" i="22" s="1"/>
  <c r="O7" i="22" s="1"/>
  <c r="P7" i="22" s="1"/>
  <c r="Q7" i="22" s="1"/>
  <c r="R7" i="22" s="1"/>
  <c r="S7" i="22" s="1"/>
  <c r="T7" i="22" s="1"/>
  <c r="U7" i="22" s="1"/>
  <c r="V7" i="22" s="1"/>
  <c r="W7" i="22" s="1"/>
  <c r="X7" i="22" s="1"/>
  <c r="Y7" i="22" s="1"/>
  <c r="Z7" i="22" s="1"/>
  <c r="AA7" i="22" s="1"/>
  <c r="AB7" i="22" s="1"/>
  <c r="AC7" i="22" s="1"/>
  <c r="AD7" i="22" s="1"/>
  <c r="AE7" i="22" s="1"/>
  <c r="AF7" i="22" s="1"/>
  <c r="AG7" i="22" s="1"/>
  <c r="AH7" i="22" s="1"/>
  <c r="AI7" i="22" s="1"/>
  <c r="AJ3" i="22"/>
  <c r="AK115" i="22" s="1"/>
  <c r="AM115" i="22" s="1"/>
  <c r="D67" i="13" l="1"/>
  <c r="AM64" i="22"/>
  <c r="AM60" i="22"/>
  <c r="AK35" i="22"/>
  <c r="AM35" i="22" s="1"/>
  <c r="AK51" i="22"/>
  <c r="AM51" i="22" s="1"/>
  <c r="AK12" i="22"/>
  <c r="AM12" i="22" s="1"/>
  <c r="AK30" i="22"/>
  <c r="AM30" i="22" s="1"/>
  <c r="AK46" i="22"/>
  <c r="AM46" i="22" s="1"/>
  <c r="AK61" i="22"/>
  <c r="AM61" i="22" s="1"/>
  <c r="AK65" i="22"/>
  <c r="AM65" i="22" s="1"/>
  <c r="AK78" i="22"/>
  <c r="AM78" i="22" s="1"/>
  <c r="AK94" i="22"/>
  <c r="AM94" i="22" s="1"/>
  <c r="AK117" i="22"/>
  <c r="AM117" i="22" s="1"/>
  <c r="AK73" i="22"/>
  <c r="AM73" i="22" s="1"/>
  <c r="AK89" i="22"/>
  <c r="AM89" i="22" s="1"/>
  <c r="AK111" i="22"/>
  <c r="AM111" i="22" s="1"/>
  <c r="AK15" i="22"/>
  <c r="AM15" i="22" s="1"/>
  <c r="AM120" i="22" s="1"/>
  <c r="AK31" i="22"/>
  <c r="AM31" i="22" s="1"/>
  <c r="AK47" i="22"/>
  <c r="AM47" i="22" s="1"/>
  <c r="AK79" i="22"/>
  <c r="AM79" i="22" s="1"/>
  <c r="AK95" i="22"/>
  <c r="AM95" i="22" s="1"/>
  <c r="AK58" i="22"/>
  <c r="AM58" i="22" s="1"/>
  <c r="AK62" i="22"/>
  <c r="AM62" i="22" s="1"/>
  <c r="AK66" i="22"/>
  <c r="AM66" i="22" s="1"/>
  <c r="AK74" i="22"/>
  <c r="AM74" i="22" s="1"/>
  <c r="AK90" i="22"/>
  <c r="AM90" i="22" s="1"/>
  <c r="AK112" i="22"/>
  <c r="AM112" i="22" s="1"/>
  <c r="AK118" i="22"/>
  <c r="AM118" i="22" s="1"/>
  <c r="AK32" i="22"/>
  <c r="AM32" i="22" s="1"/>
  <c r="AK27" i="22"/>
  <c r="AM27" i="22" s="1"/>
  <c r="AK43" i="22"/>
  <c r="AM43" i="22" s="1"/>
  <c r="AK75" i="22"/>
  <c r="AM75" i="22" s="1"/>
  <c r="AK91" i="22"/>
  <c r="AM91" i="22" s="1"/>
  <c r="AK8" i="22"/>
  <c r="AK22" i="22"/>
  <c r="AM22" i="22" s="1"/>
  <c r="AK38" i="22"/>
  <c r="AM38" i="22" s="1"/>
  <c r="AK54" i="22"/>
  <c r="AM54" i="22" s="1"/>
  <c r="AK59" i="22"/>
  <c r="AM59" i="22" s="1"/>
  <c r="AK63" i="22"/>
  <c r="AM63" i="22" s="1"/>
  <c r="AK68" i="22"/>
  <c r="AM68" i="22" s="1"/>
  <c r="AK86" i="22"/>
  <c r="AM86" i="22" s="1"/>
  <c r="AK102" i="22"/>
  <c r="AM102" i="22" s="1"/>
  <c r="AK108" i="22"/>
  <c r="AM108" i="22" s="1"/>
  <c r="E13" i="19" l="1"/>
  <c r="C14" i="4"/>
  <c r="T14" i="8" l="1"/>
  <c r="D98" i="8" s="1"/>
  <c r="T16" i="8"/>
  <c r="T22" i="8"/>
  <c r="Z15" i="8"/>
  <c r="V15" i="8" l="1"/>
  <c r="T12" i="8"/>
  <c r="U11" i="8"/>
  <c r="T13" i="8"/>
  <c r="Z12" i="8" l="1"/>
  <c r="AB12" i="8" s="1"/>
  <c r="AD12" i="8" s="1"/>
  <c r="U10" i="8" l="1"/>
  <c r="T9" i="8" l="1"/>
  <c r="D104" i="8" s="1"/>
  <c r="T8" i="8" l="1"/>
  <c r="H8" i="8"/>
  <c r="AC8" i="8"/>
  <c r="G18" i="11"/>
  <c r="G8" i="8" l="1"/>
  <c r="U8" i="8"/>
  <c r="AE8" i="8" l="1"/>
  <c r="AV8" i="8" s="1"/>
  <c r="AW8" i="8" s="1"/>
  <c r="I17" i="18"/>
  <c r="G17" i="18"/>
  <c r="I32" i="18"/>
  <c r="G32" i="18"/>
  <c r="I31" i="18"/>
  <c r="G31" i="18"/>
  <c r="I30" i="18"/>
  <c r="G30" i="18"/>
  <c r="I29" i="18"/>
  <c r="G29" i="18"/>
  <c r="I28" i="18"/>
  <c r="H28" i="18"/>
  <c r="G28" i="18"/>
  <c r="I25" i="18"/>
  <c r="G25" i="18"/>
  <c r="I24" i="18"/>
  <c r="G24" i="18"/>
  <c r="I23" i="18"/>
  <c r="G23" i="18"/>
  <c r="I22" i="18"/>
  <c r="G22" i="18"/>
  <c r="I21" i="18"/>
  <c r="H21" i="18"/>
  <c r="G21" i="18"/>
  <c r="I20" i="18"/>
  <c r="G20" i="18"/>
  <c r="I19" i="18"/>
  <c r="G19" i="18"/>
  <c r="I16" i="18"/>
  <c r="G16" i="18"/>
  <c r="I13" i="18"/>
  <c r="G13" i="18"/>
  <c r="I12" i="18"/>
  <c r="H12" i="18"/>
  <c r="G12" i="18"/>
  <c r="K32" i="18"/>
  <c r="K31" i="18"/>
  <c r="H31" i="18" s="1"/>
  <c r="K30" i="18"/>
  <c r="H30" i="18" s="1"/>
  <c r="K29" i="18"/>
  <c r="H29" i="18" s="1"/>
  <c r="K28" i="18"/>
  <c r="L27" i="18"/>
  <c r="J27" i="18"/>
  <c r="K25" i="18"/>
  <c r="H25" i="18" s="1"/>
  <c r="K24" i="18"/>
  <c r="H24" i="18" s="1"/>
  <c r="K23" i="18"/>
  <c r="H23" i="18" s="1"/>
  <c r="K22" i="18"/>
  <c r="H22" i="18" s="1"/>
  <c r="K21" i="18"/>
  <c r="K20" i="18"/>
  <c r="H20" i="18" s="1"/>
  <c r="K19" i="18"/>
  <c r="H19" i="18" s="1"/>
  <c r="K18" i="18"/>
  <c r="K17" i="18"/>
  <c r="K16" i="18"/>
  <c r="H16" i="18" s="1"/>
  <c r="J15" i="18"/>
  <c r="K13" i="18"/>
  <c r="H13" i="18" s="1"/>
  <c r="K12" i="18"/>
  <c r="L11" i="18"/>
  <c r="J11" i="18"/>
  <c r="J34" i="18" s="1"/>
  <c r="H17" i="18" l="1"/>
  <c r="K11" i="18"/>
  <c r="K27" i="18"/>
  <c r="H32" i="18"/>
  <c r="K15" i="18"/>
  <c r="K34" i="18" s="1"/>
  <c r="L15" i="18"/>
  <c r="L34" i="18" s="1"/>
  <c r="U85" i="8" l="1"/>
  <c r="AE85" i="8" s="1"/>
  <c r="AV85" i="8" s="1"/>
  <c r="AW85" i="8" s="1"/>
  <c r="D120" i="8"/>
  <c r="C120" i="8" s="1"/>
  <c r="E132" i="8"/>
  <c r="D130" i="8"/>
  <c r="C130" i="8" s="1"/>
  <c r="D123" i="8"/>
  <c r="C123" i="8" s="1"/>
  <c r="D121" i="8"/>
  <c r="AM9" i="8" l="1"/>
  <c r="AM77" i="8"/>
  <c r="AM86" i="8"/>
  <c r="H75" i="8" l="1"/>
  <c r="G75" i="8"/>
  <c r="H74" i="8"/>
  <c r="G74" i="8"/>
  <c r="H73" i="8"/>
  <c r="G73" i="8"/>
  <c r="H71" i="8"/>
  <c r="H67" i="8"/>
  <c r="G67" i="8"/>
  <c r="D87" i="8" l="1"/>
  <c r="T85" i="8"/>
  <c r="H85" i="8"/>
  <c r="G85" i="8"/>
  <c r="U84" i="8"/>
  <c r="AE84" i="8" s="1"/>
  <c r="AV84" i="8" s="1"/>
  <c r="AW84" i="8" s="1"/>
  <c r="T84" i="8"/>
  <c r="H84" i="8"/>
  <c r="G84" i="8"/>
  <c r="U83" i="8"/>
  <c r="AE83" i="8" s="1"/>
  <c r="AV83" i="8" s="1"/>
  <c r="AW83" i="8" s="1"/>
  <c r="T83" i="8"/>
  <c r="H83" i="8"/>
  <c r="G83" i="8"/>
  <c r="U82" i="8"/>
  <c r="T82" i="8"/>
  <c r="D93" i="8" s="1"/>
  <c r="H82" i="8"/>
  <c r="G82" i="8"/>
  <c r="U81" i="8"/>
  <c r="AE81" i="8" s="1"/>
  <c r="AV81" i="8" s="1"/>
  <c r="AW81" i="8" s="1"/>
  <c r="T81" i="8"/>
  <c r="AE77" i="8"/>
  <c r="AV77" i="8" s="1"/>
  <c r="AW77" i="8" s="1"/>
  <c r="AB77" i="8"/>
  <c r="AD77" i="8" s="1"/>
  <c r="U76" i="8"/>
  <c r="T76" i="8"/>
  <c r="U75" i="8"/>
  <c r="AE75" i="8" s="1"/>
  <c r="AV75" i="8" s="1"/>
  <c r="AW75" i="8" s="1"/>
  <c r="T75" i="8"/>
  <c r="M74" i="8"/>
  <c r="U74" i="8" s="1"/>
  <c r="AE74" i="8" s="1"/>
  <c r="AV74" i="8" s="1"/>
  <c r="AW74" i="8" s="1"/>
  <c r="L74" i="8"/>
  <c r="T74" i="8" s="1"/>
  <c r="U73" i="8"/>
  <c r="T73" i="8"/>
  <c r="U72" i="8"/>
  <c r="AE72" i="8" s="1"/>
  <c r="AV72" i="8" s="1"/>
  <c r="AW72" i="8" s="1"/>
  <c r="T72" i="8"/>
  <c r="X71" i="8"/>
  <c r="U71" i="8"/>
  <c r="T71" i="8"/>
  <c r="U70" i="8"/>
  <c r="AE70" i="8" s="1"/>
  <c r="AV70" i="8" s="1"/>
  <c r="AW70" i="8" s="1"/>
  <c r="T70" i="8"/>
  <c r="U69" i="8"/>
  <c r="AE69" i="8" s="1"/>
  <c r="AV69" i="8" s="1"/>
  <c r="AW69" i="8" s="1"/>
  <c r="T69" i="8"/>
  <c r="U68" i="8"/>
  <c r="AE68" i="8" s="1"/>
  <c r="AV68" i="8" s="1"/>
  <c r="AW68" i="8" s="1"/>
  <c r="T68" i="8"/>
  <c r="X67" i="8"/>
  <c r="U67" i="8"/>
  <c r="T67" i="8"/>
  <c r="U66" i="8"/>
  <c r="AE66" i="8" s="1"/>
  <c r="AV66" i="8" s="1"/>
  <c r="AW66" i="8" s="1"/>
  <c r="T66" i="8"/>
  <c r="Z66" i="8" s="1"/>
  <c r="AB66" i="8" s="1"/>
  <c r="AD66" i="8" s="1"/>
  <c r="H66" i="8"/>
  <c r="G66" i="8"/>
  <c r="X65" i="8"/>
  <c r="U65" i="8"/>
  <c r="T65" i="8"/>
  <c r="H65" i="8"/>
  <c r="G65" i="8"/>
  <c r="U64" i="8"/>
  <c r="AE64" i="8" s="1"/>
  <c r="AV64" i="8" s="1"/>
  <c r="AW64" i="8" s="1"/>
  <c r="T64" i="8"/>
  <c r="H64" i="8"/>
  <c r="G64" i="8"/>
  <c r="U63" i="8"/>
  <c r="AE63" i="8" s="1"/>
  <c r="AV63" i="8" s="1"/>
  <c r="AW63" i="8" s="1"/>
  <c r="T63" i="8"/>
  <c r="H63" i="8"/>
  <c r="G63" i="8"/>
  <c r="V62" i="8"/>
  <c r="U62" i="8"/>
  <c r="AE62" i="8" s="1"/>
  <c r="AV62" i="8" s="1"/>
  <c r="AW62" i="8" s="1"/>
  <c r="T62" i="8"/>
  <c r="H62" i="8"/>
  <c r="G62" i="8"/>
  <c r="T61" i="8"/>
  <c r="H61" i="8"/>
  <c r="G61" i="8"/>
  <c r="U60" i="8"/>
  <c r="T60" i="8"/>
  <c r="H60" i="8"/>
  <c r="G60" i="8"/>
  <c r="V59" i="8"/>
  <c r="U59" i="8"/>
  <c r="AE59" i="8" s="1"/>
  <c r="AV59" i="8" s="1"/>
  <c r="AW59" i="8" s="1"/>
  <c r="T59" i="8"/>
  <c r="H59" i="8"/>
  <c r="G59" i="8"/>
  <c r="X58" i="8"/>
  <c r="U58" i="8"/>
  <c r="AE58" i="8" s="1"/>
  <c r="AV58" i="8" s="1"/>
  <c r="AW58" i="8" s="1"/>
  <c r="T58" i="8"/>
  <c r="H58" i="8"/>
  <c r="G58" i="8"/>
  <c r="X57" i="8"/>
  <c r="U57" i="8"/>
  <c r="AE57" i="8" s="1"/>
  <c r="AV57" i="8" s="1"/>
  <c r="AW57" i="8" s="1"/>
  <c r="T57" i="8"/>
  <c r="H57" i="8"/>
  <c r="G57" i="8"/>
  <c r="AB56" i="8"/>
  <c r="X56" i="8"/>
  <c r="U56" i="8"/>
  <c r="AE56" i="8" s="1"/>
  <c r="AV56" i="8" s="1"/>
  <c r="AW56" i="8" s="1"/>
  <c r="T56" i="8"/>
  <c r="H56" i="8"/>
  <c r="G56" i="8"/>
  <c r="U55" i="8"/>
  <c r="AE55" i="8" s="1"/>
  <c r="AV55" i="8" s="1"/>
  <c r="AW55" i="8" s="1"/>
  <c r="T55" i="8"/>
  <c r="Z55" i="8" s="1"/>
  <c r="AB55" i="8" s="1"/>
  <c r="AD55" i="8" s="1"/>
  <c r="H55" i="8"/>
  <c r="G55" i="8"/>
  <c r="U54" i="8"/>
  <c r="AE54" i="8" s="1"/>
  <c r="AV54" i="8" s="1"/>
  <c r="AW54" i="8" s="1"/>
  <c r="T54" i="8"/>
  <c r="H54" i="8"/>
  <c r="G54" i="8"/>
  <c r="U53" i="8"/>
  <c r="AE53" i="8" s="1"/>
  <c r="AV53" i="8" s="1"/>
  <c r="AW53" i="8" s="1"/>
  <c r="T53" i="8"/>
  <c r="AM53" i="8" s="1"/>
  <c r="H53" i="8"/>
  <c r="G53" i="8"/>
  <c r="U52" i="8"/>
  <c r="AE52" i="8" s="1"/>
  <c r="AV52" i="8" s="1"/>
  <c r="AW52" i="8" s="1"/>
  <c r="T52" i="8"/>
  <c r="H52" i="8"/>
  <c r="G52" i="8"/>
  <c r="U51" i="8"/>
  <c r="AE51" i="8" s="1"/>
  <c r="AV51" i="8" s="1"/>
  <c r="AW51" i="8" s="1"/>
  <c r="T51" i="8"/>
  <c r="Z51" i="8" s="1"/>
  <c r="AB51" i="8" s="1"/>
  <c r="H51" i="8"/>
  <c r="J50" i="8"/>
  <c r="H50" i="8" s="1"/>
  <c r="I50" i="8"/>
  <c r="G50" i="8" s="1"/>
  <c r="U49" i="8"/>
  <c r="AE49" i="8" s="1"/>
  <c r="AV49" i="8" s="1"/>
  <c r="AW49" i="8" s="1"/>
  <c r="G49" i="8"/>
  <c r="H49" i="8"/>
  <c r="U48" i="8"/>
  <c r="AE48" i="8" s="1"/>
  <c r="AV48" i="8" s="1"/>
  <c r="AW48" i="8" s="1"/>
  <c r="T48" i="8"/>
  <c r="H48" i="8"/>
  <c r="G48" i="8"/>
  <c r="U47" i="8"/>
  <c r="AE47" i="8" s="1"/>
  <c r="AV47" i="8" s="1"/>
  <c r="AW47" i="8" s="1"/>
  <c r="T47" i="8"/>
  <c r="H47" i="8"/>
  <c r="G47" i="8"/>
  <c r="U46" i="8"/>
  <c r="AE46" i="8" s="1"/>
  <c r="AV46" i="8" s="1"/>
  <c r="AW46" i="8" s="1"/>
  <c r="T46" i="8"/>
  <c r="H46" i="8"/>
  <c r="G46" i="8"/>
  <c r="U45" i="8"/>
  <c r="AE45" i="8" s="1"/>
  <c r="AV45" i="8" s="1"/>
  <c r="AW45" i="8" s="1"/>
  <c r="T45" i="8"/>
  <c r="H45" i="8"/>
  <c r="G45" i="8"/>
  <c r="AB44" i="8"/>
  <c r="J44" i="8"/>
  <c r="U44" i="8" s="1"/>
  <c r="AE44" i="8" s="1"/>
  <c r="AV44" i="8" s="1"/>
  <c r="AW44" i="8" s="1"/>
  <c r="I44" i="8"/>
  <c r="T44" i="8" s="1"/>
  <c r="U43" i="8"/>
  <c r="AE43" i="8" s="1"/>
  <c r="AV43" i="8" s="1"/>
  <c r="AW43" i="8" s="1"/>
  <c r="T43" i="8"/>
  <c r="H43" i="8"/>
  <c r="G43" i="8"/>
  <c r="U42" i="8"/>
  <c r="AE42" i="8" s="1"/>
  <c r="AV42" i="8" s="1"/>
  <c r="AW42" i="8" s="1"/>
  <c r="T42" i="8"/>
  <c r="H42" i="8"/>
  <c r="G42" i="8"/>
  <c r="U41" i="8"/>
  <c r="AE41" i="8" s="1"/>
  <c r="AV41" i="8" s="1"/>
  <c r="AW41" i="8" s="1"/>
  <c r="T41" i="8"/>
  <c r="Z41" i="8" s="1"/>
  <c r="AB41" i="8" s="1"/>
  <c r="AD41" i="8" s="1"/>
  <c r="H41" i="8"/>
  <c r="G41" i="8"/>
  <c r="U40" i="8"/>
  <c r="T40" i="8"/>
  <c r="H40" i="8"/>
  <c r="G40" i="8"/>
  <c r="AB39" i="8"/>
  <c r="U39" i="8"/>
  <c r="AE39" i="8" s="1"/>
  <c r="AV39" i="8" s="1"/>
  <c r="AW39" i="8" s="1"/>
  <c r="T39" i="8"/>
  <c r="U38" i="8"/>
  <c r="AB37" i="8"/>
  <c r="U37" i="8"/>
  <c r="AV37" i="8" s="1"/>
  <c r="AW37" i="8" s="1"/>
  <c r="T37" i="8"/>
  <c r="AB36" i="8"/>
  <c r="U36" i="8"/>
  <c r="AV36" i="8" s="1"/>
  <c r="AW36" i="8" s="1"/>
  <c r="T36" i="8"/>
  <c r="AB35" i="8"/>
  <c r="U35" i="8"/>
  <c r="AV35" i="8" s="1"/>
  <c r="AW35" i="8" s="1"/>
  <c r="T35" i="8"/>
  <c r="AB34" i="8"/>
  <c r="U34" i="8"/>
  <c r="AV34" i="8" s="1"/>
  <c r="AW34" i="8" s="1"/>
  <c r="T34" i="8"/>
  <c r="AM34" i="8" s="1"/>
  <c r="V32" i="8"/>
  <c r="AB32" i="8" s="1"/>
  <c r="U32" i="8"/>
  <c r="AV32" i="8" s="1"/>
  <c r="AW32" i="8" s="1"/>
  <c r="T32" i="8"/>
  <c r="AB31" i="8"/>
  <c r="U31" i="8"/>
  <c r="AV31" i="8" s="1"/>
  <c r="AW31" i="8" s="1"/>
  <c r="T31" i="8"/>
  <c r="AB30" i="8"/>
  <c r="U30" i="8"/>
  <c r="AE30" i="8" s="1"/>
  <c r="AV30" i="8" s="1"/>
  <c r="AW30" i="8" s="1"/>
  <c r="T30" i="8"/>
  <c r="AB29" i="8"/>
  <c r="U29" i="8"/>
  <c r="AE29" i="8" s="1"/>
  <c r="AV29" i="8" s="1"/>
  <c r="AW29" i="8" s="1"/>
  <c r="T29" i="8"/>
  <c r="V28" i="8"/>
  <c r="T28" i="8"/>
  <c r="G28" i="8"/>
  <c r="U27" i="8"/>
  <c r="AE27" i="8" s="1"/>
  <c r="AV27" i="8" s="1"/>
  <c r="AW27" i="8" s="1"/>
  <c r="T27" i="8"/>
  <c r="Z27" i="8" s="1"/>
  <c r="AB27" i="8" s="1"/>
  <c r="AD27" i="8" s="1"/>
  <c r="H27" i="8"/>
  <c r="G27" i="8"/>
  <c r="U26" i="8"/>
  <c r="AE26" i="8" s="1"/>
  <c r="AV26" i="8" s="1"/>
  <c r="AW26" i="8" s="1"/>
  <c r="I26" i="8"/>
  <c r="T26" i="8" s="1"/>
  <c r="H26" i="8"/>
  <c r="U25" i="8"/>
  <c r="T25" i="8"/>
  <c r="D105" i="8" s="1"/>
  <c r="H25" i="8"/>
  <c r="G25" i="8"/>
  <c r="U23" i="8"/>
  <c r="T23" i="8"/>
  <c r="D100" i="8" s="1"/>
  <c r="H23" i="8"/>
  <c r="J22" i="8"/>
  <c r="U22" i="8" s="1"/>
  <c r="AE22" i="8" s="1"/>
  <c r="AV22" i="8" s="1"/>
  <c r="AW22" i="8" s="1"/>
  <c r="G22" i="8"/>
  <c r="AE21" i="8"/>
  <c r="AV21" i="8" s="1"/>
  <c r="AW21" i="8" s="1"/>
  <c r="T21" i="8"/>
  <c r="H21" i="8"/>
  <c r="G21" i="8"/>
  <c r="U20" i="8"/>
  <c r="G20" i="8"/>
  <c r="H20" i="8"/>
  <c r="U19" i="8"/>
  <c r="G43" i="1" s="1"/>
  <c r="T19" i="8"/>
  <c r="H19" i="8"/>
  <c r="G19" i="8"/>
  <c r="U18" i="8"/>
  <c r="AE18" i="8" s="1"/>
  <c r="AV18" i="8" s="1"/>
  <c r="AW18" i="8" s="1"/>
  <c r="G18" i="8"/>
  <c r="H18" i="8"/>
  <c r="U17" i="8"/>
  <c r="AE17" i="8" s="1"/>
  <c r="AV17" i="8" s="1"/>
  <c r="AW17" i="8" s="1"/>
  <c r="T17" i="8"/>
  <c r="H17" i="8"/>
  <c r="G16" i="8"/>
  <c r="AB15" i="8"/>
  <c r="G15" i="8"/>
  <c r="H15" i="8"/>
  <c r="U14" i="8"/>
  <c r="H14" i="8"/>
  <c r="G14" i="8"/>
  <c r="J13" i="8"/>
  <c r="H13" i="8" s="1"/>
  <c r="G13" i="8"/>
  <c r="U12" i="8"/>
  <c r="G12" i="8"/>
  <c r="H12" i="8"/>
  <c r="T11" i="8"/>
  <c r="H11" i="8"/>
  <c r="T10" i="8"/>
  <c r="H10" i="8"/>
  <c r="G10" i="8"/>
  <c r="Z9" i="8"/>
  <c r="AB9" i="8" s="1"/>
  <c r="AD9" i="8" s="1"/>
  <c r="H9" i="8"/>
  <c r="G9" i="8"/>
  <c r="C105" i="8" l="1"/>
  <c r="G50" i="1"/>
  <c r="D91" i="8"/>
  <c r="AE14" i="8"/>
  <c r="AV14" i="8" s="1"/>
  <c r="AW14" i="8" s="1"/>
  <c r="AE82" i="8"/>
  <c r="AV82" i="8" s="1"/>
  <c r="AW82" i="8" s="1"/>
  <c r="AE12" i="8"/>
  <c r="AV12" i="8" s="1"/>
  <c r="AW12" i="8" s="1"/>
  <c r="AM71" i="8"/>
  <c r="AM48" i="8"/>
  <c r="AM70" i="8"/>
  <c r="AM76" i="8"/>
  <c r="T50" i="8"/>
  <c r="H44" i="8"/>
  <c r="Z53" i="8"/>
  <c r="AB53" i="8" s="1"/>
  <c r="AD53" i="8" s="1"/>
  <c r="AM43" i="8"/>
  <c r="T15" i="8"/>
  <c r="AM30" i="8"/>
  <c r="T49" i="8"/>
  <c r="Z49" i="8" s="1"/>
  <c r="AB49" i="8" s="1"/>
  <c r="AD49" i="8" s="1"/>
  <c r="AM32" i="8"/>
  <c r="G17" i="8"/>
  <c r="T18" i="8"/>
  <c r="Z18" i="8" s="1"/>
  <c r="AB18" i="8" s="1"/>
  <c r="AD18" i="8" s="1"/>
  <c r="AM46" i="8"/>
  <c r="AE65" i="8"/>
  <c r="AV65" i="8" s="1"/>
  <c r="AW65" i="8" s="1"/>
  <c r="AE76" i="8"/>
  <c r="AV76" i="8" s="1"/>
  <c r="AW76" i="8" s="1"/>
  <c r="AE60" i="8"/>
  <c r="AV60" i="8" s="1"/>
  <c r="AW60" i="8" s="1"/>
  <c r="AM29" i="8"/>
  <c r="AM31" i="8"/>
  <c r="AM37" i="8"/>
  <c r="Z43" i="8"/>
  <c r="AB43" i="8" s="1"/>
  <c r="AD43" i="8" s="1"/>
  <c r="AE71" i="8"/>
  <c r="AV71" i="8" s="1"/>
  <c r="AW71" i="8" s="1"/>
  <c r="AM35" i="8"/>
  <c r="AM26" i="8"/>
  <c r="Z26" i="8"/>
  <c r="AB26" i="8" s="1"/>
  <c r="AD26" i="8" s="1"/>
  <c r="H16" i="8"/>
  <c r="U16" i="8"/>
  <c r="H22" i="8"/>
  <c r="Z23" i="8"/>
  <c r="AB23" i="8" s="1"/>
  <c r="AD23" i="8" s="1"/>
  <c r="AM23" i="8"/>
  <c r="Z21" i="8"/>
  <c r="AB21" i="8" s="1"/>
  <c r="AD21" i="8" s="1"/>
  <c r="AM21" i="8"/>
  <c r="AE23" i="8"/>
  <c r="AV23" i="8" s="1"/>
  <c r="AW23" i="8" s="1"/>
  <c r="D126" i="8"/>
  <c r="C126" i="8" s="1"/>
  <c r="Z59" i="8"/>
  <c r="AB59" i="8" s="1"/>
  <c r="AD59" i="8" s="1"/>
  <c r="AM59" i="8"/>
  <c r="Z65" i="8"/>
  <c r="AB65" i="8" s="1"/>
  <c r="AD65" i="8" s="1"/>
  <c r="AM65" i="8"/>
  <c r="T24" i="8"/>
  <c r="D101" i="8" s="1"/>
  <c r="G11" i="8"/>
  <c r="G23" i="8"/>
  <c r="AE25" i="8"/>
  <c r="AV25" i="8" s="1"/>
  <c r="AW25" i="8" s="1"/>
  <c r="AD51" i="8"/>
  <c r="AM51" i="8"/>
  <c r="Z62" i="8"/>
  <c r="AB62" i="8" s="1"/>
  <c r="AD62" i="8" s="1"/>
  <c r="AM62" i="8"/>
  <c r="AE73" i="8"/>
  <c r="AV73" i="8" s="1"/>
  <c r="AW73" i="8" s="1"/>
  <c r="Z76" i="8"/>
  <c r="AB76" i="8" s="1"/>
  <c r="AD76" i="8" s="1"/>
  <c r="Z19" i="8"/>
  <c r="AB19" i="8" s="1"/>
  <c r="AD19" i="8" s="1"/>
  <c r="AM19" i="8"/>
  <c r="Q87" i="8"/>
  <c r="AE19" i="8"/>
  <c r="AV19" i="8" s="1"/>
  <c r="AW19" i="8" s="1"/>
  <c r="D128" i="8"/>
  <c r="C128" i="8" s="1"/>
  <c r="U24" i="8"/>
  <c r="AM12" i="8"/>
  <c r="Z14" i="8"/>
  <c r="AB14" i="8" s="1"/>
  <c r="AD14" i="8" s="1"/>
  <c r="AM14" i="8"/>
  <c r="G26" i="8"/>
  <c r="AM27" i="8"/>
  <c r="Z40" i="8"/>
  <c r="AB40" i="8" s="1"/>
  <c r="AD40" i="8" s="1"/>
  <c r="AM40" i="8"/>
  <c r="Z46" i="8"/>
  <c r="AB46" i="8" s="1"/>
  <c r="AD46" i="8" s="1"/>
  <c r="AM55" i="8"/>
  <c r="Z69" i="8"/>
  <c r="AB69" i="8" s="1"/>
  <c r="AD69" i="8" s="1"/>
  <c r="AM69" i="8"/>
  <c r="Z71" i="8"/>
  <c r="AB71" i="8" s="1"/>
  <c r="AD71" i="8" s="1"/>
  <c r="Z74" i="8"/>
  <c r="AB74" i="8" s="1"/>
  <c r="AD74" i="8" s="1"/>
  <c r="AM74" i="8"/>
  <c r="Z82" i="8"/>
  <c r="AB82" i="8" s="1"/>
  <c r="AD82" i="8" s="1"/>
  <c r="AM82" i="8"/>
  <c r="Z84" i="8"/>
  <c r="AB84" i="8" s="1"/>
  <c r="AD84" i="8" s="1"/>
  <c r="AM84" i="8"/>
  <c r="Z58" i="8"/>
  <c r="AB58" i="8" s="1"/>
  <c r="AD58" i="8" s="1"/>
  <c r="AM58" i="8"/>
  <c r="Z64" i="8"/>
  <c r="AB64" i="8" s="1"/>
  <c r="AD64" i="8" s="1"/>
  <c r="AM64" i="8"/>
  <c r="Z67" i="8"/>
  <c r="AB67" i="8" s="1"/>
  <c r="AD67" i="8" s="1"/>
  <c r="AM67" i="8"/>
  <c r="AE38" i="8"/>
  <c r="AV38" i="8" s="1"/>
  <c r="AW38" i="8" s="1"/>
  <c r="AM38" i="8"/>
  <c r="AB72" i="8"/>
  <c r="AD72" i="8" s="1"/>
  <c r="AM72" i="8"/>
  <c r="AE11" i="8"/>
  <c r="AV11" i="8" s="1"/>
  <c r="AW11" i="8" s="1"/>
  <c r="D131" i="8"/>
  <c r="C131" i="8" s="1"/>
  <c r="AE40" i="8"/>
  <c r="AV40" i="8" s="1"/>
  <c r="AW40" i="8" s="1"/>
  <c r="Z13" i="8"/>
  <c r="AB13" i="8" s="1"/>
  <c r="AD13" i="8" s="1"/>
  <c r="Z17" i="8"/>
  <c r="AB17" i="8" s="1"/>
  <c r="AD17" i="8" s="1"/>
  <c r="AM17" i="8"/>
  <c r="AE20" i="8"/>
  <c r="AV20" i="8" s="1"/>
  <c r="AW20" i="8" s="1"/>
  <c r="AD39" i="8"/>
  <c r="AM39" i="8"/>
  <c r="AM44" i="8"/>
  <c r="Z48" i="8"/>
  <c r="AB48" i="8" s="1"/>
  <c r="AD48" i="8" s="1"/>
  <c r="Z52" i="8"/>
  <c r="AB52" i="8" s="1"/>
  <c r="AD52" i="8" s="1"/>
  <c r="AM52" i="8"/>
  <c r="Z57" i="8"/>
  <c r="AB57" i="8" s="1"/>
  <c r="AD57" i="8" s="1"/>
  <c r="AM57" i="8"/>
  <c r="Z61" i="8"/>
  <c r="AB61" i="8" s="1"/>
  <c r="AD61" i="8" s="1"/>
  <c r="AB75" i="8"/>
  <c r="AD75" i="8" s="1"/>
  <c r="AM75" i="8"/>
  <c r="U15" i="8"/>
  <c r="AE15" i="8" s="1"/>
  <c r="AV15" i="8" s="1"/>
  <c r="AW15" i="8" s="1"/>
  <c r="Z22" i="8"/>
  <c r="AB22" i="8" s="1"/>
  <c r="AD22" i="8" s="1"/>
  <c r="AM22" i="8"/>
  <c r="Z28" i="8"/>
  <c r="AM36" i="8"/>
  <c r="Z54" i="8"/>
  <c r="AB54" i="8" s="1"/>
  <c r="AD54" i="8" s="1"/>
  <c r="AM54" i="8"/>
  <c r="U61" i="8"/>
  <c r="AE61" i="8" s="1"/>
  <c r="AV61" i="8" s="1"/>
  <c r="AW61" i="8" s="1"/>
  <c r="AM66" i="8"/>
  <c r="AE67" i="8"/>
  <c r="AV67" i="8" s="1"/>
  <c r="AW67" i="8" s="1"/>
  <c r="Z70" i="8"/>
  <c r="AB70" i="8" s="1"/>
  <c r="AD70" i="8" s="1"/>
  <c r="AZ70" i="8" s="1"/>
  <c r="AD73" i="8"/>
  <c r="AM73" i="8"/>
  <c r="Z81" i="8"/>
  <c r="AB81" i="8" s="1"/>
  <c r="AD81" i="8" s="1"/>
  <c r="AM81" i="8"/>
  <c r="Z83" i="8"/>
  <c r="AB83" i="8" s="1"/>
  <c r="AD83" i="8" s="1"/>
  <c r="AM83" i="8"/>
  <c r="Z85" i="8"/>
  <c r="AB85" i="8" s="1"/>
  <c r="AD85" i="8" s="1"/>
  <c r="AM85" i="8"/>
  <c r="Z11" i="8"/>
  <c r="AB11" i="8" s="1"/>
  <c r="AD11" i="8" s="1"/>
  <c r="AM11" i="8"/>
  <c r="Z42" i="8"/>
  <c r="AB42" i="8" s="1"/>
  <c r="AD42" i="8" s="1"/>
  <c r="AM42" i="8"/>
  <c r="Z45" i="8"/>
  <c r="AB45" i="8" s="1"/>
  <c r="AD45" i="8" s="1"/>
  <c r="AM45" i="8"/>
  <c r="U13" i="8"/>
  <c r="Z16" i="8"/>
  <c r="AB16" i="8" s="1"/>
  <c r="AD16" i="8" s="1"/>
  <c r="G24" i="8"/>
  <c r="Z25" i="8"/>
  <c r="AB25" i="8" s="1"/>
  <c r="AD25" i="8" s="1"/>
  <c r="AM25" i="8"/>
  <c r="AM41" i="8"/>
  <c r="Z47" i="8"/>
  <c r="AB47" i="8" s="1"/>
  <c r="AD47" i="8" s="1"/>
  <c r="AM47" i="8"/>
  <c r="Z50" i="8"/>
  <c r="AB50" i="8" s="1"/>
  <c r="AD50" i="8" s="1"/>
  <c r="AD56" i="8"/>
  <c r="AM56" i="8"/>
  <c r="Z60" i="8"/>
  <c r="AB60" i="8" s="1"/>
  <c r="AD60" i="8" s="1"/>
  <c r="AM60" i="8"/>
  <c r="Z63" i="8"/>
  <c r="AB63" i="8" s="1"/>
  <c r="AD63" i="8" s="1"/>
  <c r="AM63" i="8"/>
  <c r="Z68" i="8"/>
  <c r="AB68" i="8" s="1"/>
  <c r="AD68" i="8" s="1"/>
  <c r="AM68" i="8"/>
  <c r="AE10" i="8"/>
  <c r="AV10" i="8" s="1"/>
  <c r="AW10" i="8" s="1"/>
  <c r="Z10" i="8"/>
  <c r="AB10" i="8" s="1"/>
  <c r="AD10" i="8" s="1"/>
  <c r="AM10" i="8"/>
  <c r="H28" i="8"/>
  <c r="U28" i="8"/>
  <c r="AD44" i="8"/>
  <c r="T20" i="8"/>
  <c r="D103" i="8" s="1"/>
  <c r="H24" i="8"/>
  <c r="G51" i="8"/>
  <c r="U50" i="8"/>
  <c r="AE50" i="8" s="1"/>
  <c r="AV50" i="8" s="1"/>
  <c r="AW50" i="8" s="1"/>
  <c r="G44" i="8"/>
  <c r="X62" i="8"/>
  <c r="E8" i="15"/>
  <c r="AD15" i="8" l="1"/>
  <c r="D97" i="8"/>
  <c r="AM49" i="8"/>
  <c r="D92" i="8"/>
  <c r="AE13" i="8"/>
  <c r="AV13" i="8" s="1"/>
  <c r="AW13" i="8" s="1"/>
  <c r="C98" i="8"/>
  <c r="G47" i="1"/>
  <c r="AM15" i="8"/>
  <c r="AM28" i="8"/>
  <c r="I39" i="12"/>
  <c r="D125" i="8"/>
  <c r="C125" i="8" s="1"/>
  <c r="AM18" i="8"/>
  <c r="AE28" i="8"/>
  <c r="AV28" i="8" s="1"/>
  <c r="AW28" i="8" s="1"/>
  <c r="AE16" i="8"/>
  <c r="AV16" i="8" s="1"/>
  <c r="AW16" i="8" s="1"/>
  <c r="AM16" i="8"/>
  <c r="D129" i="8"/>
  <c r="C129" i="8" s="1"/>
  <c r="AB28" i="8"/>
  <c r="AD28" i="8" s="1"/>
  <c r="Z20" i="8"/>
  <c r="AB20" i="8" s="1"/>
  <c r="AD20" i="8" s="1"/>
  <c r="AM20" i="8"/>
  <c r="D119" i="8"/>
  <c r="C119" i="8" s="1"/>
  <c r="AM13" i="8"/>
  <c r="AM50" i="8"/>
  <c r="AE24" i="8"/>
  <c r="AV24" i="8" s="1"/>
  <c r="AW24" i="8" s="1"/>
  <c r="D127" i="8"/>
  <c r="C127" i="8" s="1"/>
  <c r="Z24" i="8"/>
  <c r="AB24" i="8" s="1"/>
  <c r="AD24" i="8" s="1"/>
  <c r="AM24" i="8"/>
  <c r="AM61" i="8"/>
  <c r="D118" i="8"/>
  <c r="C118" i="8" s="1"/>
  <c r="D124" i="8"/>
  <c r="AB8" i="8"/>
  <c r="AD8" i="8" s="1"/>
  <c r="AM8" i="8"/>
  <c r="AM87" i="8" l="1"/>
  <c r="C124" i="8"/>
  <c r="C132" i="8" s="1"/>
  <c r="D132" i="8"/>
  <c r="G3" i="2" l="1"/>
  <c r="D14" i="7" l="1"/>
  <c r="C16" i="5"/>
  <c r="E10" i="14"/>
  <c r="C12" i="14" l="1"/>
  <c r="D19" i="6"/>
  <c r="I12" i="19" l="1"/>
  <c r="E15" i="5" s="1"/>
  <c r="AI36" i="8"/>
  <c r="D15" i="5" l="1"/>
  <c r="P87" i="8" l="1"/>
  <c r="I13" i="19" l="1"/>
  <c r="H18" i="6" s="1"/>
  <c r="I14" i="19"/>
  <c r="F13" i="7" s="1"/>
  <c r="I15" i="19"/>
  <c r="E11" i="14" s="1"/>
  <c r="E50" i="19"/>
  <c r="D11" i="14" l="1"/>
  <c r="D12" i="14" s="1"/>
  <c r="E12" i="14"/>
  <c r="I16" i="19"/>
  <c r="G11" i="2" l="1"/>
  <c r="C44" i="3" l="1"/>
  <c r="C38" i="3"/>
  <c r="C29" i="3"/>
  <c r="D52" i="3" l="1"/>
  <c r="G40" i="3"/>
  <c r="D51" i="3"/>
  <c r="D14" i="20" l="1"/>
  <c r="H13" i="6" l="1"/>
  <c r="F6" i="19" l="1"/>
  <c r="E107" i="8" l="1"/>
  <c r="A9" i="8" l="1"/>
  <c r="A10" i="8" s="1"/>
  <c r="A11" i="8" s="1"/>
  <c r="A12" i="8" s="1"/>
  <c r="A13" i="8" s="1"/>
  <c r="A14" i="8" s="1"/>
  <c r="A15" i="8" s="1"/>
  <c r="A16" i="8" s="1"/>
  <c r="A17" i="8" s="1"/>
  <c r="A18" i="8" s="1"/>
  <c r="A19" i="8" s="1"/>
  <c r="A20" i="8" s="1"/>
  <c r="A21" i="8" s="1"/>
  <c r="A22" i="8" s="1"/>
  <c r="A23" i="8" s="1"/>
  <c r="A24" i="8" s="1"/>
  <c r="A25" i="8" s="1"/>
  <c r="A26" i="8" s="1"/>
  <c r="A27" i="8" s="1"/>
  <c r="A28" i="8" s="1"/>
  <c r="A31" i="8" s="1"/>
  <c r="A32" i="8" s="1"/>
  <c r="A34" i="8" s="1"/>
  <c r="A35" i="8" s="1"/>
  <c r="A36" i="8" s="1"/>
  <c r="A37"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l="1"/>
  <c r="A75" i="8" s="1"/>
  <c r="A76" i="8" s="1"/>
  <c r="A77" i="8" s="1"/>
  <c r="C12" i="4"/>
  <c r="C11" i="4"/>
  <c r="A78" i="8" l="1"/>
  <c r="A79" i="8" s="1"/>
  <c r="A82" i="8" s="1"/>
  <c r="A83" i="8" s="1"/>
  <c r="A84" i="8" s="1"/>
  <c r="A85" i="8" s="1"/>
  <c r="I7" i="9"/>
  <c r="F27" i="18" l="1"/>
  <c r="E27" i="18"/>
  <c r="F15" i="18"/>
  <c r="E15" i="18"/>
  <c r="E11" i="18"/>
  <c r="F11" i="18"/>
  <c r="F34" i="18" l="1"/>
  <c r="E34" i="18"/>
  <c r="F11" i="7" l="1"/>
  <c r="S16" i="1" s="1"/>
  <c r="E13" i="5"/>
  <c r="Q16" i="1" s="1"/>
  <c r="X13" i="1" l="1"/>
  <c r="X17" i="1" s="1"/>
  <c r="E12" i="7"/>
  <c r="E13" i="7"/>
  <c r="G39" i="12" l="1"/>
  <c r="AG31" i="8" l="1"/>
  <c r="AG32" i="8"/>
  <c r="AG34" i="8"/>
  <c r="AG35" i="8"/>
  <c r="AG36" i="8"/>
  <c r="AG37" i="8"/>
  <c r="AG38" i="8"/>
  <c r="AG77" i="8"/>
  <c r="S14" i="1" l="1"/>
  <c r="Q12" i="1"/>
  <c r="AG71" i="8" l="1"/>
  <c r="AG72" i="8"/>
  <c r="AG73" i="8"/>
  <c r="AG70" i="8"/>
  <c r="AG8" i="8"/>
  <c r="AG69" i="8" l="1"/>
  <c r="AG68" i="8"/>
  <c r="AG67" i="8"/>
  <c r="AG66" i="8"/>
  <c r="V11" i="1" l="1"/>
  <c r="W13" i="1"/>
  <c r="W17" i="1" s="1"/>
  <c r="H7" i="13"/>
  <c r="F12" i="20" s="1"/>
  <c r="F10" i="7"/>
  <c r="F14" i="7" s="1"/>
  <c r="H16" i="6"/>
  <c r="H15" i="6"/>
  <c r="H14" i="6"/>
  <c r="H12" i="6"/>
  <c r="G13" i="6"/>
  <c r="G14" i="6"/>
  <c r="G15" i="6"/>
  <c r="G16" i="6"/>
  <c r="G12" i="6"/>
  <c r="E12" i="5"/>
  <c r="H19" i="6" l="1"/>
  <c r="J19" i="6" s="1"/>
  <c r="E12" i="20"/>
  <c r="S13" i="1"/>
  <c r="S17" i="1" s="1"/>
  <c r="E12" i="4"/>
  <c r="Q14" i="1"/>
  <c r="V17" i="1"/>
  <c r="V18" i="1" s="1"/>
  <c r="Y11" i="1"/>
  <c r="E9" i="15"/>
  <c r="D9" i="15" s="1"/>
  <c r="F19" i="6" l="1"/>
  <c r="F6" i="12" l="1"/>
  <c r="E5" i="4" s="1"/>
  <c r="E6" i="5" s="1"/>
  <c r="H5" i="6" s="1"/>
  <c r="F5" i="20" s="1"/>
  <c r="F5" i="11"/>
  <c r="C5" i="11"/>
  <c r="E5" i="14" s="1"/>
  <c r="M2" i="18" s="1"/>
  <c r="G6" i="10"/>
  <c r="I6" i="9" s="1"/>
  <c r="E13" i="4"/>
  <c r="D13" i="4"/>
  <c r="D12" i="4"/>
  <c r="C13" i="4"/>
  <c r="C10" i="4"/>
  <c r="H35" i="1"/>
  <c r="H34" i="1"/>
  <c r="H33" i="1"/>
  <c r="H32" i="1"/>
  <c r="H31" i="1"/>
  <c r="H27" i="1"/>
  <c r="H18" i="1"/>
  <c r="J13" i="9" s="1"/>
  <c r="H16" i="1"/>
  <c r="W18" i="1" l="1"/>
  <c r="F5" i="7"/>
  <c r="F5" i="19"/>
  <c r="C15" i="4"/>
  <c r="G15" i="1"/>
  <c r="Z11" i="1" s="1"/>
  <c r="G48" i="3"/>
  <c r="G22" i="3"/>
  <c r="G21" i="3"/>
  <c r="G12" i="3"/>
  <c r="G11" i="3"/>
  <c r="G10" i="3"/>
  <c r="G8" i="3"/>
  <c r="G5" i="3"/>
  <c r="G4" i="3"/>
  <c r="G2" i="3"/>
  <c r="I7" i="1" s="1"/>
  <c r="V111" i="8" l="1"/>
  <c r="AA87" i="8"/>
  <c r="W87" i="8"/>
  <c r="S87" i="8"/>
  <c r="R87" i="8"/>
  <c r="O87" i="8"/>
  <c r="N87" i="8"/>
  <c r="M87" i="8"/>
  <c r="L87" i="8"/>
  <c r="J87" i="8"/>
  <c r="F87" i="8"/>
  <c r="G27" i="12" l="1"/>
  <c r="AG23" i="8"/>
  <c r="C93" i="8"/>
  <c r="T12" i="1"/>
  <c r="AG51" i="8"/>
  <c r="AG10" i="8"/>
  <c r="AG42" i="8"/>
  <c r="AG44" i="8"/>
  <c r="AG30" i="8"/>
  <c r="C100" i="8"/>
  <c r="AG46" i="8"/>
  <c r="V87" i="8"/>
  <c r="C106" i="8"/>
  <c r="AG19" i="8"/>
  <c r="AG60" i="8"/>
  <c r="AG41" i="8"/>
  <c r="AG83" i="8"/>
  <c r="AG86" i="8"/>
  <c r="AG55" i="8"/>
  <c r="AG9" i="8"/>
  <c r="C99" i="8"/>
  <c r="AG65" i="8"/>
  <c r="AG62" i="8"/>
  <c r="U87" i="8"/>
  <c r="AG26" i="8"/>
  <c r="G18" i="12"/>
  <c r="AG85" i="8"/>
  <c r="AG29" i="8"/>
  <c r="AG43" i="8"/>
  <c r="AG47" i="8"/>
  <c r="AG50" i="8"/>
  <c r="AG84" i="8"/>
  <c r="H87" i="8"/>
  <c r="AC87" i="8"/>
  <c r="I37" i="12" s="1"/>
  <c r="H16" i="10" l="1"/>
  <c r="H17" i="10" s="1"/>
  <c r="E27" i="2" s="1"/>
  <c r="E27" i="3" s="1"/>
  <c r="G67" i="1"/>
  <c r="AG81" i="8"/>
  <c r="AG63" i="8"/>
  <c r="AG22" i="8"/>
  <c r="AG53" i="8"/>
  <c r="C101" i="8"/>
  <c r="G37" i="1"/>
  <c r="AG27" i="8"/>
  <c r="AG59" i="8"/>
  <c r="AG61" i="8"/>
  <c r="AG18" i="8"/>
  <c r="AG20" i="8"/>
  <c r="AG48" i="8"/>
  <c r="AG21" i="8"/>
  <c r="AG11" i="8"/>
  <c r="AG58" i="8"/>
  <c r="AG16" i="8"/>
  <c r="AG24" i="8"/>
  <c r="AG17" i="8"/>
  <c r="AG45" i="8"/>
  <c r="AG82" i="8"/>
  <c r="AG56" i="8"/>
  <c r="AG49" i="8"/>
  <c r="AG14" i="8"/>
  <c r="AG15" i="8"/>
  <c r="AG40" i="8"/>
  <c r="AG64" i="8"/>
  <c r="AG57" i="8"/>
  <c r="AG39" i="8"/>
  <c r="AG54" i="8"/>
  <c r="AG12" i="8"/>
  <c r="AG13" i="8"/>
  <c r="G45" i="1"/>
  <c r="AE87" i="8"/>
  <c r="G38" i="1"/>
  <c r="H26" i="1"/>
  <c r="C15" i="17"/>
  <c r="D14" i="17"/>
  <c r="D13" i="17"/>
  <c r="E12" i="17"/>
  <c r="E15" i="17" s="1"/>
  <c r="D11" i="17"/>
  <c r="D10" i="17"/>
  <c r="D9" i="17"/>
  <c r="C33" i="13"/>
  <c r="H8" i="13"/>
  <c r="C23" i="13"/>
  <c r="G10" i="11"/>
  <c r="G41" i="11" s="1"/>
  <c r="G44" i="2" s="1"/>
  <c r="G44" i="3" s="1"/>
  <c r="S18" i="1"/>
  <c r="AG91" i="8" l="1"/>
  <c r="D141" i="8"/>
  <c r="D142" i="8" s="1"/>
  <c r="AV87" i="8"/>
  <c r="AW87" i="8" s="1"/>
  <c r="D15" i="17"/>
  <c r="H6" i="13"/>
  <c r="F11" i="20" s="1"/>
  <c r="E11" i="20" s="1"/>
  <c r="H5" i="13"/>
  <c r="U13" i="1" s="1"/>
  <c r="U15" i="1"/>
  <c r="F13" i="20"/>
  <c r="G24" i="1"/>
  <c r="I24" i="1" s="1"/>
  <c r="R12" i="1"/>
  <c r="E14" i="7"/>
  <c r="G23" i="2"/>
  <c r="J10" i="2"/>
  <c r="G9" i="2"/>
  <c r="G9" i="3" s="1"/>
  <c r="E63" i="1"/>
  <c r="C63" i="1"/>
  <c r="M60" i="1"/>
  <c r="M63" i="1" s="1"/>
  <c r="C57" i="1"/>
  <c r="F56" i="1"/>
  <c r="F55" i="1"/>
  <c r="M52" i="1"/>
  <c r="E52" i="1"/>
  <c r="C52" i="1"/>
  <c r="I50" i="1"/>
  <c r="J50" i="1" s="1"/>
  <c r="I49" i="1"/>
  <c r="F49" i="1" s="1"/>
  <c r="I47" i="1"/>
  <c r="F47" i="1" s="1"/>
  <c r="I45" i="1"/>
  <c r="I43" i="1"/>
  <c r="F43" i="1" s="1"/>
  <c r="I42" i="1"/>
  <c r="J42" i="1" s="1"/>
  <c r="I39" i="1"/>
  <c r="F39" i="1" s="1"/>
  <c r="I38" i="1"/>
  <c r="J38" i="1" s="1"/>
  <c r="I35" i="1"/>
  <c r="J35" i="1" s="1"/>
  <c r="I34" i="1"/>
  <c r="I33" i="1"/>
  <c r="I32" i="1"/>
  <c r="I31" i="1"/>
  <c r="M28" i="1"/>
  <c r="E28" i="1"/>
  <c r="C28" i="1"/>
  <c r="I27" i="1"/>
  <c r="H28" i="1"/>
  <c r="G16" i="12" s="1"/>
  <c r="M19" i="1"/>
  <c r="E19" i="1"/>
  <c r="C19" i="1"/>
  <c r="I18" i="1"/>
  <c r="I16" i="1"/>
  <c r="J15" i="9" s="1"/>
  <c r="U14" i="1" l="1"/>
  <c r="U17" i="1" s="1"/>
  <c r="U18" i="1" s="1"/>
  <c r="H9" i="13"/>
  <c r="E14" i="4"/>
  <c r="D14" i="4" s="1"/>
  <c r="F10" i="20"/>
  <c r="F14" i="20" s="1"/>
  <c r="M65" i="1"/>
  <c r="E13" i="20"/>
  <c r="C65" i="1"/>
  <c r="R17" i="1"/>
  <c r="R18" i="1" s="1"/>
  <c r="Y12" i="1"/>
  <c r="Z12" i="1" s="1"/>
  <c r="E65" i="1"/>
  <c r="H5" i="11"/>
  <c r="F5" i="12"/>
  <c r="G3" i="3"/>
  <c r="G5" i="10"/>
  <c r="I5" i="9" s="1"/>
  <c r="H19" i="1"/>
  <c r="G15" i="12"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I15" i="1"/>
  <c r="F35" i="1"/>
  <c r="F38" i="1"/>
  <c r="E10" i="20" l="1"/>
  <c r="E14" i="20" s="1"/>
  <c r="F4" i="20"/>
  <c r="I5" i="1"/>
  <c r="G20" i="12"/>
  <c r="H60" i="1" s="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I46" i="1" s="1"/>
  <c r="C97" i="8"/>
  <c r="F61" i="1" l="1"/>
  <c r="J61" i="1"/>
  <c r="F46" i="1"/>
  <c r="J46" i="1"/>
  <c r="AG25" i="8" l="1"/>
  <c r="Z87" i="8" l="1"/>
  <c r="H23" i="10" s="1"/>
  <c r="H24" i="10" s="1"/>
  <c r="E29" i="2" s="1"/>
  <c r="AG28" i="8" l="1"/>
  <c r="AB87" i="8"/>
  <c r="AC112" i="8" s="1"/>
  <c r="E31" i="2"/>
  <c r="G25" i="2" s="1"/>
  <c r="E29" i="3"/>
  <c r="E31" i="3" s="1"/>
  <c r="G25" i="3" s="1"/>
  <c r="T20" i="1" l="1"/>
  <c r="G37" i="12"/>
  <c r="G41" i="1"/>
  <c r="C103" i="8" l="1"/>
  <c r="I41" i="1" l="1"/>
  <c r="F41" i="1" l="1"/>
  <c r="J41" i="1"/>
  <c r="E10" i="4" l="1"/>
  <c r="T13" i="1"/>
  <c r="C91" i="8"/>
  <c r="D10" i="4" l="1"/>
  <c r="AG52" i="8" l="1"/>
  <c r="AG87" i="8" s="1"/>
  <c r="G79" i="1" s="1"/>
  <c r="AD87" i="8"/>
  <c r="AZ87" i="8" s="1"/>
  <c r="T14" i="1"/>
  <c r="G80" i="1" l="1"/>
  <c r="G82" i="1" s="1"/>
  <c r="T23" i="1"/>
  <c r="Y14" i="1"/>
  <c r="G23" i="1"/>
  <c r="G28" i="1" s="1"/>
  <c r="C92" i="8"/>
  <c r="I23" i="1" l="1"/>
  <c r="Z14" i="1"/>
  <c r="N28" i="1" l="1"/>
  <c r="G35" i="12"/>
  <c r="I35" i="12" s="1"/>
  <c r="F23" i="1"/>
  <c r="J23" i="1"/>
  <c r="I28" i="1"/>
  <c r="J28" i="1" s="1"/>
  <c r="F28" i="1" l="1"/>
  <c r="O28" i="1"/>
  <c r="C102" i="8" l="1"/>
  <c r="T87" i="8"/>
  <c r="U112" i="8" s="1"/>
  <c r="I87" i="8"/>
  <c r="G48" i="1"/>
  <c r="G52" i="1" s="1"/>
  <c r="J16" i="9" s="1"/>
  <c r="I48" i="1" l="1"/>
  <c r="T15" i="1"/>
  <c r="G87" i="8"/>
  <c r="D107" i="8"/>
  <c r="C104" i="8"/>
  <c r="C107" i="8" s="1"/>
  <c r="D111" i="8" l="1"/>
  <c r="C112" i="8"/>
  <c r="Y15" i="1"/>
  <c r="Z15" i="1" s="1"/>
  <c r="T17" i="1"/>
  <c r="T21" i="1" s="1"/>
  <c r="T25" i="1" s="1"/>
  <c r="J48" i="1"/>
  <c r="F48" i="1"/>
  <c r="I52" i="1"/>
  <c r="N52" i="1"/>
  <c r="J17" i="9"/>
  <c r="J20" i="9" s="1"/>
  <c r="G38" i="2" s="1"/>
  <c r="G38" i="3" s="1"/>
  <c r="G36" i="12"/>
  <c r="I36" i="12" s="1"/>
  <c r="J52" i="1" l="1"/>
  <c r="F52" i="1"/>
  <c r="O52" i="1"/>
  <c r="T18" i="1"/>
  <c r="D11" i="4" l="1"/>
  <c r="D15" i="4" s="1"/>
  <c r="E11" i="5"/>
  <c r="G17" i="1" l="1"/>
  <c r="I17" i="1" s="1"/>
  <c r="E16" i="5"/>
  <c r="E24" i="5" s="1"/>
  <c r="Q13" i="1"/>
  <c r="E11" i="4"/>
  <c r="E15" i="4" s="1"/>
  <c r="G19" i="1" l="1"/>
  <c r="N19" i="1" s="1"/>
  <c r="D16" i="5"/>
  <c r="D24" i="5" s="1"/>
  <c r="Y13" i="1"/>
  <c r="Z13" i="1" s="1"/>
  <c r="Q17" i="1"/>
  <c r="Q18" i="1" s="1"/>
  <c r="F17" i="1"/>
  <c r="I19" i="1"/>
  <c r="J17" i="1"/>
  <c r="G34" i="12" l="1"/>
  <c r="F19" i="1"/>
  <c r="J19" i="1"/>
  <c r="O19" i="1"/>
  <c r="G41" i="12" l="1"/>
  <c r="I34" i="12"/>
  <c r="I41" i="12" s="1"/>
  <c r="G72" i="1" s="1"/>
  <c r="G62" i="1" l="1"/>
  <c r="G71" i="1"/>
  <c r="G63" i="1" l="1"/>
  <c r="I62" i="1"/>
  <c r="F62" i="1" l="1"/>
  <c r="J62" i="1"/>
  <c r="I63" i="1"/>
  <c r="G65" i="1"/>
  <c r="N63" i="1"/>
  <c r="O63" i="1" l="1"/>
  <c r="F63" i="1"/>
  <c r="J63" i="1"/>
  <c r="I65" i="1"/>
  <c r="N65" i="1"/>
  <c r="G68" i="1"/>
  <c r="G70" i="1" s="1"/>
  <c r="G73" i="1" s="1"/>
  <c r="G76" i="1" s="1"/>
  <c r="O65" i="1" l="1"/>
  <c r="G34" i="2"/>
  <c r="F65" i="1"/>
  <c r="J65" i="1"/>
  <c r="G36" i="2" l="1"/>
  <c r="G16" i="2"/>
  <c r="G16" i="3" s="1"/>
  <c r="G34" i="3"/>
  <c r="G36" i="3" s="1"/>
  <c r="I36" i="2" l="1"/>
  <c r="G42" i="2"/>
  <c r="G17" i="2"/>
  <c r="G17" i="3" s="1"/>
  <c r="G46" i="2" l="1"/>
  <c r="G42" i="3"/>
  <c r="H20" i="11" l="1"/>
  <c r="H41" i="11" s="1"/>
  <c r="G46" i="3"/>
  <c r="G47" i="2"/>
  <c r="G47" i="3" s="1"/>
  <c r="G49" i="2" l="1"/>
  <c r="G49"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4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<sst xmlns="http://schemas.openxmlformats.org/spreadsheetml/2006/main" count="1562" uniqueCount="998">
  <si>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</si>
  <si>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</si>
  <si>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</si>
  <si>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</si>
  <si>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</si>
  <si>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</si>
  <si>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</si>
  <si>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</si>
  <si>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</si>
  <si>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</si>
  <si>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</si>
  <si>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</si>
  <si>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</si>
  <si>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</si>
  <si>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</si>
  <si>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</si>
  <si>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</si>
  <si>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</si>
  <si>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</si>
  <si>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</si>
  <si>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</si>
  <si>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</si>
  <si>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</si>
  <si>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</si>
  <si>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</si>
  <si>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</si>
  <si>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</si>
  <si>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</si>
  <si>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</si>
  <si>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</si>
  <si>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</si>
  <si>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</si>
  <si>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</si>
  <si>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</si>
  <si>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</si>
  <si>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</si>
  <si>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</si>
  <si>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</si>
  <si>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</si>
  <si>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</si>
  <si>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</si>
  <si>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</si>
  <si>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</si>
  <si>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</si>
  <si>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</si>
  <si>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</si>
  <si>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</si>
  <si>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</si>
  <si>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</si>
  <si>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</si>
  <si>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</si>
  <si>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</si>
  <si>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</si>
  <si>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</si>
  <si>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</si>
  <si>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</si>
  <si>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</si>
  <si>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</si>
  <si>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</si>
  <si>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</si>
  <si>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</si>
  <si>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</si>
  <si>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</si>
  <si>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</si>
  <si>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</si>
  <si>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</si>
  <si>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</si>
  <si>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</si>
  <si>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</si>
  <si>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</si>
  <si>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</si>
  <si>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</si>
  <si>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</si>
  <si>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</si>
  <si>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</si>
  <si>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</si>
  <si>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</si>
  <si>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</si>
  <si>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</si>
  <si>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</si>
  <si>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</si>
  <si>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</si>
  <si>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</si>
  <si>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</si>
  <si>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</si>
  <si>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</si>
  <si>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</si>
  <si>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</si>
  <si>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</si>
  <si>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</si>
  <si>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</si>
  <si>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</si>
  <si>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</si>
  <si>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</si>
  <si>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</si>
  <si>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</si>
  <si>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</si>
  <si>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</si>
  <si>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</si>
  <si>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</si>
  <si>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</si>
  <si>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</si>
  <si>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</si>
  <si>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</si>
  <si>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</si>
  <si>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</si>
  <si>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</si>
  <si>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</si>
  <si>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</si>
  <si>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</si>
  <si>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</si>
  <si>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</si>
  <si>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</si>
  <si>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</si>
  <si>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</si>
  <si>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</si>
  <si>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</si>
  <si>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</si>
  <si>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</si>
  <si>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</si>
  <si>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</si>
  <si>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</si>
  <si>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</si>
  <si>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</si>
  <si>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</si>
  <si>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</si>
  <si>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</si>
  <si>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</si>
  <si>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</si>
  <si>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</si>
  <si>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</si>
  <si>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</si>
  <si>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</si>
  <si>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</si>
  <si>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</si>
  <si>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</si>
  <si>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</si>
  <si>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</si>
  <si>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</si>
  <si>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</si>
  <si>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</si>
  <si>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</si>
  <si>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</si>
  <si>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</si>
  <si>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</si>
  <si>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</si>
  <si>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</si>
  <si>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</si>
  <si>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</si>
  <si>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</si>
  <si>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</si>
  <si>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</si>
  <si>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</si>
  <si>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</si>
  <si>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</si>
  <si>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</si>
  <si>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</si>
  <si>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</si>
  <si>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</si>
  <si>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</si>
  <si>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</si>
  <si>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</si>
  <si>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</si>
  <si>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</si>
  <si>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</si>
  <si>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</si>
  <si>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</si>
  <si>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</si>
  <si>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</si>
  <si>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</si>
  <si>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</si>
  <si>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</si>
  <si>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</si>
  <si>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</si>
  <si>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</si>
  <si>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</si>
  <si>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</si>
  <si>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</si>
  <si>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</si>
  <si>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</si>
  <si>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</si>
  <si>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</si>
  <si>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</si>
  <si>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</si>
  <si>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</si>
  <si>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</si>
  <si>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</si>
  <si>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</si>
  <si>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</si>
  <si>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</si>
  <si>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</si>
  <si>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</si>
  <si>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</si>
  <si>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</si>
  <si>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</si>
  <si>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</si>
  <si>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</si>
  <si>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</si>
  <si>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</si>
  <si>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</si>
  <si>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</si>
  <si>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</si>
  <si>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</si>
  <si>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</si>
  <si>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</si>
  <si>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</si>
  <si>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</si>
  <si>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</si>
  <si>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</si>
  <si>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</si>
  <si>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</si>
  <si>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</si>
  <si>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</si>
  <si>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</si>
  <si>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</si>
  <si>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</si>
  <si>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</si>
  <si>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</si>
  <si>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</si>
  <si>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</si>
  <si>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</si>
  <si>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</si>
  <si>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</si>
  <si>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</si>
  <si>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</si>
  <si>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</si>
  <si>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</si>
  <si>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</si>
  <si>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</si>
  <si>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</si>
  <si>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</si>
  <si>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</si>
  <si>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</si>
  <si>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</si>
  <si>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</si>
  <si>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</si>
  <si>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</si>
  <si>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</si>
  <si>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</si>
  <si>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</si>
  <si>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</si>
  <si>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</si>
  <si>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</si>
  <si>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</si>
  <si>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</si>
  <si>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</si>
  <si>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</si>
  <si>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</si>
  <si>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</si>
  <si>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</si>
  <si>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</si>
  <si>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</si>
  <si>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</si>
  <si>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</si>
  <si>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</si>
  <si>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</si>
  <si>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</si>
  <si>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</si>
  <si>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</si>
  <si>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</si>
  <si>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</si>
  <si>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</si>
  <si>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</si>
  <si>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</si>
  <si>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</si>
  <si>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</si>
  <si>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</si>
  <si>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</si>
  <si>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</si>
  <si>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</si>
  <si>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</si>
  <si>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</si>
  <si>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</si>
  <si>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</si>
  <si>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High Class Decor &amp; Curtains Works LLC ( HM-201A22002/0080 )</t>
  </si>
  <si>
    <t>14</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</si>
  <si>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</si>
  <si>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</si>
  <si>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</si>
  <si>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</si>
  <si>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</si>
  <si>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</si>
  <si>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</si>
  <si>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</si>
  <si>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</si>
  <si>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</si>
  <si>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</si>
  <si>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21</t>
  </si>
  <si>
    <t>22</t>
  </si>
  <si>
    <t>23</t>
  </si>
  <si>
    <t>24</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</si>
  <si>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</si>
  <si>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</si>
  <si>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</si>
  <si>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</si>
  <si>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</si>
  <si>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</si>
  <si>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</si>
  <si>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</si>
  <si>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</si>
  <si>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</si>
  <si>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</si>
  <si>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</si>
  <si>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</si>
  <si>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</si>
  <si>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</si>
  <si>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</si>
  <si>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</si>
  <si>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</si>
  <si>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</si>
  <si>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</si>
  <si>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</si>
  <si>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</si>
  <si>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</si>
  <si>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</si>
  <si>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</si>
  <si>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</si>
  <si>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</si>
  <si>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</si>
  <si>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</si>
  <si>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</si>
  <si>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</si>
  <si>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</si>
  <si>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</si>
  <si>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</si>
  <si>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</si>
  <si>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</si>
  <si>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</si>
  <si>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</si>
  <si>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</si>
  <si>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</si>
  <si>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</si>
  <si>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</si>
  <si>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</si>
  <si>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</si>
  <si>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</si>
  <si>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</si>
  <si>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</si>
  <si>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</si>
  <si>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</si>
  <si>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</si>
  <si>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</si>
  <si>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</si>
  <si>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</si>
  <si>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</si>
  <si>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Prabakaran Kuppusamy</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</si>
  <si>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</si>
  <si>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</si>
  <si>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</si>
  <si>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</si>
  <si>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</si>
  <si>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</si>
  <si>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</si>
  <si>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</si>
  <si>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</si>
  <si>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</si>
  <si>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</si>
  <si>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</si>
  <si>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</si>
  <si>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</si>
  <si>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</si>
  <si>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</si>
  <si>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</si>
  <si>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</si>
  <si>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</si>
  <si>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</si>
  <si>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</si>
  <si>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</si>
  <si>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</si>
  <si>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</si>
  <si>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</si>
  <si>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</si>
  <si>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</si>
  <si>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</si>
  <si>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</si>
  <si>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</si>
  <si>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</si>
  <si>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</si>
  <si>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</si>
  <si>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</si>
  <si>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</si>
  <si>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</si>
  <si>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</si>
  <si>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</si>
  <si>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</si>
  <si>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</si>
  <si>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</si>
  <si>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</si>
  <si>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</si>
  <si>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</si>
  <si>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</si>
  <si>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</si>
  <si>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</si>
  <si>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</si>
  <si>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</si>
  <si>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</si>
  <si>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</si>
  <si>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</si>
  <si>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</si>
  <si>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</si>
  <si>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</si>
  <si>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</si>
  <si>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</si>
  <si>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</si>
  <si>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</si>
  <si>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</si>
  <si>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</si>
  <si>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</si>
  <si>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</si>
  <si>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</si>
  <si>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</si>
  <si>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</si>
  <si>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</si>
  <si>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</si>
  <si>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</si>
  <si>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</si>
  <si>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</si>
  <si>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</si>
  <si>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</si>
  <si>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</si>
  <si>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</si>
  <si>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</si>
  <si>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</si>
  <si>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</si>
  <si>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</si>
  <si>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</si>
  <si>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</si>
  <si>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</si>
  <si>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</si>
  <si>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</si>
  <si>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</si>
  <si>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</si>
  <si>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</si>
  <si>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</si>
  <si>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</si>
  <si>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</si>
  <si>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</si>
  <si>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</si>
  <si>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</si>
  <si>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</si>
  <si>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</si>
  <si>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</si>
  <si>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</si>
  <si>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</si>
  <si>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</si>
  <si>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</si>
  <si>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</si>
  <si>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</si>
  <si>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</si>
  <si>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</si>
  <si>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</si>
  <si>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</si>
  <si>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</si>
  <si>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</si>
  <si>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</si>
  <si>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</si>
  <si>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</si>
  <si>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</si>
  <si>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</si>
  <si>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</si>
  <si>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</si>
  <si>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</si>
  <si>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</si>
  <si>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</si>
  <si>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</si>
  <si>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</si>
  <si>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</si>
  <si>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</si>
  <si>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</si>
  <si>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</si>
  <si>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</si>
  <si>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</si>
  <si>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</si>
  <si>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</si>
  <si>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</si>
  <si>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</si>
  <si>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</si>
  <si>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</si>
  <si>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</si>
  <si>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</si>
  <si>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</si>
  <si>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</si>
  <si>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</si>
  <si>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</si>
  <si>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</si>
  <si>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</si>
  <si>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</si>
  <si>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</si>
  <si>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</si>
  <si>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</si>
  <si>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</si>
  <si>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</si>
  <si>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</si>
  <si>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</si>
  <si>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</si>
  <si>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</si>
  <si>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</si>
  <si>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</si>
  <si>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</si>
  <si>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</si>
  <si>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</si>
  <si>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</si>
  <si>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</si>
  <si>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</si>
  <si>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</si>
  <si>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</si>
  <si>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</si>
  <si>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</si>
  <si>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</si>
  <si>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</si>
  <si>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</si>
  <si>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</si>
  <si>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</si>
  <si>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</si>
  <si>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</si>
  <si>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</si>
  <si>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</si>
  <si>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</si>
  <si>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</si>
  <si>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</si>
  <si>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</si>
  <si>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</si>
  <si>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</si>
  <si>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</si>
  <si>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</si>
  <si>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</si>
  <si>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</si>
  <si>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</si>
  <si>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</si>
  <si>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</si>
  <si>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</si>
  <si>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</si>
  <si>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</si>
  <si>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</si>
  <si>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</si>
  <si>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</si>
  <si>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</si>
  <si>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</si>
  <si>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</si>
  <si>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</si>
  <si>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</si>
  <si>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</si>
  <si>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</si>
  <si>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</si>
  <si>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</si>
  <si>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</si>
  <si>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</si>
  <si>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</si>
  <si>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</si>
  <si>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</si>
  <si>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</si>
  <si>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</si>
  <si>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</si>
  <si>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</si>
  <si>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</si>
  <si>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</si>
  <si>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</si>
  <si>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</si>
  <si>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</si>
  <si>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</si>
  <si>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</si>
  <si>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</si>
  <si>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</si>
  <si>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</si>
  <si>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</si>
  <si>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</si>
  <si>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</si>
  <si>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</si>
  <si>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</si>
  <si>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BOQ Category</t>
  </si>
  <si>
    <t>Materials On Site</t>
  </si>
  <si>
    <t>Material Off site</t>
  </si>
  <si>
    <t>Sub-Total</t>
  </si>
  <si>
    <t xml:space="preserve">Total Certified </t>
  </si>
  <si>
    <t>Total Claimed</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</si>
  <si>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</si>
  <si>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</si>
  <si>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</si>
  <si>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</si>
  <si>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</si>
  <si>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</si>
  <si>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</si>
  <si>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</si>
  <si>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</si>
  <si>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</si>
  <si>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</si>
  <si>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</si>
  <si>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</si>
  <si>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</si>
  <si>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</si>
  <si>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</si>
  <si>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</si>
  <si>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</si>
  <si>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</si>
  <si>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</si>
  <si>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</si>
  <si>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</si>
  <si>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</si>
  <si>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</si>
  <si>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</si>
  <si>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</si>
  <si>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</si>
  <si>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</si>
  <si>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</si>
  <si>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</si>
  <si>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</si>
  <si>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</si>
  <si>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</si>
  <si>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</si>
  <si>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</si>
  <si>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</si>
  <si>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</si>
  <si>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</si>
  <si>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</si>
  <si>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</si>
  <si>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</si>
  <si>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</si>
  <si>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</si>
  <si>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</si>
  <si>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</si>
  <si>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</si>
  <si>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</si>
  <si>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</si>
  <si>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</si>
  <si>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</si>
  <si>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</si>
  <si>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</si>
  <si>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</si>
  <si>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</si>
  <si>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</si>
  <si>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</si>
  <si>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</si>
  <si>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</si>
  <si>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</si>
  <si>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</si>
  <si>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</si>
  <si>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</si>
  <si>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</si>
  <si>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</si>
  <si>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</si>
  <si>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</si>
  <si>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</si>
  <si>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</si>
  <si>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</si>
  <si>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</si>
  <si>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</si>
  <si>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</si>
  <si>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</si>
  <si>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</si>
  <si>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</si>
  <si>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</si>
  <si>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</si>
  <si>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</si>
  <si>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</si>
  <si>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</si>
  <si>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</si>
  <si>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</si>
  <si>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</si>
  <si>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</si>
  <si>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</si>
  <si>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</si>
  <si>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</si>
  <si>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</si>
  <si>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</si>
  <si>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</si>
  <si>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</si>
  <si>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</si>
  <si>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</si>
  <si>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</si>
  <si>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</si>
  <si>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</si>
  <si>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</si>
  <si>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</si>
  <si>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</si>
  <si>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</si>
  <si>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</si>
  <si>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</si>
  <si>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</si>
  <si>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</si>
  <si>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</si>
  <si>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</si>
  <si>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</si>
  <si>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</si>
  <si>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</si>
  <si>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</si>
  <si>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</si>
  <si>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</si>
  <si>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</si>
  <si>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</si>
  <si>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</si>
  <si>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</si>
  <si>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</si>
  <si>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</si>
  <si>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</si>
  <si>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</si>
  <si>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</si>
  <si>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</si>
  <si>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</si>
  <si>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</si>
  <si>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</si>
  <si>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</si>
  <si>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</si>
  <si>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</si>
  <si>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</si>
  <si>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</si>
  <si>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</si>
  <si>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</si>
  <si>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</si>
  <si>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</si>
  <si>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</si>
  <si>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</si>
  <si>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</si>
  <si>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</si>
  <si>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</si>
  <si>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</si>
  <si>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</si>
  <si>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</si>
  <si>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</si>
  <si>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</si>
  <si>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</si>
  <si>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</si>
  <si>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</si>
  <si>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</si>
  <si>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</si>
  <si>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</si>
  <si>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</si>
  <si>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</si>
  <si>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</si>
  <si>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</si>
  <si>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</si>
  <si>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</si>
  <si>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</si>
  <si>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</si>
  <si>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</si>
  <si>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</si>
  <si>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</si>
  <si>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</si>
  <si>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</si>
  <si>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</si>
  <si>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</si>
  <si>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</si>
  <si>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</si>
  <si>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</si>
  <si>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</si>
  <si>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</si>
  <si>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</si>
  <si>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</si>
  <si>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</si>
  <si>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</si>
  <si>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</si>
  <si>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</si>
  <si>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</si>
  <si>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</si>
  <si>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</si>
  <si>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</si>
  <si>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</si>
  <si>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</si>
  <si>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</si>
  <si>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</si>
  <si>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</si>
  <si>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</si>
  <si>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</si>
  <si>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</si>
  <si>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</si>
  <si>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</si>
  <si>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</si>
  <si>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</si>
  <si>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</si>
  <si>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</si>
  <si>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</si>
  <si>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</si>
  <si>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</si>
  <si>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</si>
  <si>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</si>
  <si>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</si>
  <si>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</si>
  <si>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</si>
  <si>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</si>
  <si>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</si>
  <si>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</si>
  <si>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</si>
  <si>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</si>
  <si>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</si>
  <si>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</si>
  <si>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</si>
  <si>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</si>
  <si>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</si>
  <si>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</si>
  <si>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</si>
  <si>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</si>
  <si>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</si>
  <si>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</si>
  <si>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</si>
  <si>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</si>
  <si>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</si>
  <si>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</si>
  <si>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</si>
  <si>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</si>
  <si>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</si>
  <si>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</si>
  <si>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</si>
  <si>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</si>
  <si>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</si>
  <si>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</si>
  <si>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</si>
  <si>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</si>
  <si>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</si>
  <si>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</si>
  <si>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</si>
  <si>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</si>
  <si>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</si>
  <si>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</si>
  <si>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</si>
  <si>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</si>
  <si>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</si>
  <si>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</si>
  <si>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</si>
  <si>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</si>
  <si>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</si>
  <si>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</si>
  <si>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</si>
  <si>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</si>
  <si>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</si>
  <si>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</si>
  <si>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</si>
  <si>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</si>
  <si>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</si>
  <si>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</si>
  <si>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</si>
  <si>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</si>
  <si>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</si>
  <si>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</si>
  <si>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</si>
  <si>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</si>
  <si>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</si>
  <si>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</si>
  <si>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</si>
  <si>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</si>
  <si>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</si>
  <si>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</si>
  <si>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</si>
  <si>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</si>
  <si>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</si>
  <si>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</si>
  <si>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</si>
  <si>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</si>
  <si>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</si>
  <si>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</si>
  <si>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</si>
  <si>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</si>
  <si>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</si>
  <si>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</si>
  <si>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</si>
  <si>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</si>
  <si>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</si>
  <si>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</si>
  <si>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</si>
  <si>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</si>
  <si>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</si>
  <si>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</si>
  <si>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Neotech Engineering (HM-201A22002/228)</t>
  </si>
  <si>
    <t>Neotech Engineering (HM-201A22002/229)</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</si>
  <si>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</si>
  <si>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</si>
  <si>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</si>
  <si>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</si>
  <si>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</si>
  <si>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</si>
  <si>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</si>
  <si>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</si>
  <si>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</si>
  <si>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</si>
  <si>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</si>
  <si>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</si>
  <si>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</si>
  <si>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</si>
  <si>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</si>
  <si>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</si>
  <si>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</si>
  <si>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</si>
  <si>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</si>
  <si>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</si>
  <si>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PC-11</t>
  </si>
  <si>
    <t>Application No. 11</t>
  </si>
  <si>
    <t>IPA No.11 -Period Ending December 2022</t>
  </si>
  <si>
    <t>TXM Manpower cost adjustment from material transaction- December 22</t>
  </si>
  <si>
    <t>IPA 11</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</si>
  <si>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</si>
  <si>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</si>
  <si>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</si>
  <si>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</si>
  <si>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</si>
  <si>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</si>
  <si>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</si>
  <si>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</si>
  <si>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</si>
  <si>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</si>
  <si>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</si>
  <si>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</si>
  <si>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</si>
  <si>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</si>
  <si>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6j</t>
  </si>
  <si>
    <t>Mani Kandan</t>
  </si>
  <si>
    <t xml:space="preserve">Sawaf Manamkandath </t>
  </si>
  <si>
    <t xml:space="preserve">Anuj Johnson </t>
  </si>
  <si>
    <t>6m</t>
  </si>
  <si>
    <t xml:space="preserve">Ahmed Hosny </t>
  </si>
  <si>
    <t>6n</t>
  </si>
  <si>
    <t>6p</t>
  </si>
  <si>
    <t>7v</t>
  </si>
  <si>
    <t>Anoop R P</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</si>
  <si>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</si>
  <si>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</si>
  <si>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</si>
  <si>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</si>
  <si>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</si>
  <si>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</si>
  <si>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</si>
  <si>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</si>
  <si>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</si>
  <si>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</si>
  <si>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</si>
  <si>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</si>
  <si>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</si>
  <si>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</si>
  <si>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</si>
  <si>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</si>
  <si>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</si>
  <si>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</si>
  <si>
    <t>KCE-12</t>
  </si>
  <si>
    <t>Khansaheb IPA -12</t>
  </si>
  <si>
    <t>PC-12</t>
  </si>
  <si>
    <t>Application No. 12</t>
  </si>
  <si>
    <t>IPA No.12 -Period Ending January 2023</t>
  </si>
  <si>
    <t>January 2023</t>
  </si>
  <si>
    <t>This IPC is issued for the KHANSAHAB IPA No.12</t>
  </si>
  <si>
    <t>TXM Manpower cost adjustment from material transaction- January 23</t>
  </si>
  <si>
    <t>IPA 12</t>
  </si>
  <si>
    <t>STAFF ALLOCATION - JANUARY 2023</t>
  </si>
  <si>
    <t>5d</t>
  </si>
  <si>
    <t xml:space="preserve">Asif Nabil Mit </t>
  </si>
  <si>
    <t>Ambadi Gopinathan</t>
  </si>
  <si>
    <t>6o</t>
  </si>
  <si>
    <t xml:space="preserve">Abdul Aziz </t>
  </si>
  <si>
    <t>6q</t>
  </si>
  <si>
    <t xml:space="preserve">Annadurai Kathirvel </t>
  </si>
  <si>
    <t>Vadvelan Solai</t>
  </si>
  <si>
    <t>7w</t>
  </si>
  <si>
    <t>7x</t>
  </si>
  <si>
    <t>7y</t>
  </si>
  <si>
    <t>Hasan Atiar Khan</t>
  </si>
  <si>
    <t>7z</t>
  </si>
  <si>
    <t>Ziaur Rahman Dadu Molla</t>
  </si>
  <si>
    <t xml:space="preserve">Surveyor Manager </t>
  </si>
  <si>
    <t xml:space="preserve">Nisar Ahmed </t>
  </si>
  <si>
    <t>25c</t>
  </si>
  <si>
    <t>Carpets BSH Trading (HM-201A22002/0116)</t>
  </si>
  <si>
    <t>Wow Factor- Barrisol (HM-201A22002/0118)</t>
  </si>
  <si>
    <t>Consent (LPO HM-201A22002/0213) - Benches</t>
  </si>
  <si>
    <t>Consent (LPO HM-201A22002/0242) - Kerbstone</t>
  </si>
  <si>
    <t>Jebel Ali Transport(LPO HM-201A22002/0244) - Roadbase</t>
  </si>
  <si>
    <t>Fireproof(LPO HM-201A22002/0289) - Palgan</t>
  </si>
  <si>
    <t>Laidlaw (LPO HM-201A22002/0286)- Ironmongery</t>
  </si>
  <si>
    <t>Master Builders ( HM-201A22002/0316)</t>
  </si>
  <si>
    <t>High Glass Decor &amp; Curtain Works LLC (LPO HM-201A22002/0080)- Turkish Acrylic carpet</t>
  </si>
  <si>
    <t>Kone (LPO HM-201A22002/0002) - CTU use Lifts (2 Nos)- Jan. 23</t>
  </si>
  <si>
    <t>Kone (LPO HM-201A22002/0048)- CTU use Lifts no 10 &amp; 21 (2 Nos)- Jan 23</t>
  </si>
  <si>
    <t>Kone (LPO HM-201A22002/0138) - CTU Lifts (2 Nos)- for Jan 23</t>
  </si>
  <si>
    <t>Kone (LPO HM-201A22002/0086) - CTU Lifts (1 Nos)- for Oct 22</t>
  </si>
  <si>
    <t>Laidlaw (LPO HM-201A22002/0176)- Ironmongery</t>
  </si>
  <si>
    <t>Hilti RE 500V4 ( HM-201A22002/0231)</t>
  </si>
  <si>
    <t>Styro polystyrene ( HM-201A22002/0234)</t>
  </si>
  <si>
    <t>Arabuild Tiles ( HM-201A22002/0237)</t>
  </si>
  <si>
    <t>Berkeley</t>
  </si>
  <si>
    <t>Elite Skills Technical Services LLC</t>
  </si>
  <si>
    <t>Final Cleaning</t>
  </si>
  <si>
    <t>Steel Door Repainting Works</t>
  </si>
  <si>
    <t>C-067</t>
  </si>
  <si>
    <t>C-087</t>
  </si>
  <si>
    <t>This Month2</t>
  </si>
  <si>
    <t>To Date3</t>
  </si>
  <si>
    <t>Materials On Site4</t>
  </si>
  <si>
    <t>Material Off site5</t>
  </si>
  <si>
    <t>Variations
WFA6</t>
  </si>
  <si>
    <t>Variations
KCE7</t>
  </si>
  <si>
    <t>Sub-Total8</t>
  </si>
  <si>
    <t>Advance9</t>
  </si>
  <si>
    <t>Recovery10</t>
  </si>
  <si>
    <t>Balance11</t>
  </si>
  <si>
    <t>Ddt OHP</t>
  </si>
  <si>
    <t>Add OHP</t>
  </si>
  <si>
    <t>Hard Landscaping</t>
  </si>
  <si>
    <t>Soft Landscaping</t>
  </si>
  <si>
    <t>BMU</t>
  </si>
  <si>
    <t>Direct Labour - Civil</t>
  </si>
  <si>
    <t>Prelims</t>
  </si>
  <si>
    <t>ID - Signage</t>
  </si>
  <si>
    <t>Swimming Pools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</si>
</sst>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3">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s>
  <fills count="21">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s>
  <borders count="12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right style="double">
        <color indexed="64"/>
      </right>
      <top/>
      <bottom/>
      <diagonal/>
    </border>
    <border>
      <left style="medium">
        <color indexed="64"/>
      </left>
      <right style="double">
        <color indexed="64"/>
      </right>
      <top/>
      <bottom/>
      <diagonal/>
    </border>
    <border>
      <left style="double">
        <color indexed="64"/>
      </left>
      <right style="medium">
        <color indexed="64"/>
      </right>
      <top/>
      <bottom/>
      <diagonal/>
    </border>
    <border>
      <left style="thin">
        <color indexed="64"/>
      </left>
      <right style="double">
        <color indexed="64"/>
      </right>
      <top/>
      <bottom style="medium">
        <color indexed="64"/>
      </bottom>
      <diagonal/>
    </border>
    <border>
      <left style="medium">
        <color indexed="64"/>
      </left>
      <right style="double">
        <color indexed="64"/>
      </right>
      <top/>
      <bottom style="medium">
        <color indexed="64"/>
      </bottom>
      <diagonal/>
    </border>
    <border>
      <left style="double">
        <color indexed="64"/>
      </left>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
      <left style="thin">
        <color indexed="64"/>
      </left>
      <right style="double">
        <color indexed="64"/>
      </right>
      <top style="thin">
        <color indexed="64"/>
      </top>
      <bottom/>
      <diagonal/>
    </border>
    <border>
      <left/>
      <right style="double">
        <color indexed="64"/>
      </right>
      <top style="thin">
        <color indexed="64"/>
      </top>
      <bottom/>
      <diagonal/>
    </border>
    <border>
      <left style="medium">
        <color indexed="64"/>
      </left>
      <right style="double">
        <color indexed="64"/>
      </right>
      <top style="thin">
        <color indexed="64"/>
      </top>
      <bottom/>
      <diagonal/>
    </border>
  </borders>
  <cellStyleXfs count="25">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cellStyleXfs>
  <cellXfs count="1157">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10" fontId="20" fillId="0" borderId="6" xfId="6" applyNumberFormat="1" applyFont="1" applyBorder="1" applyAlignment="1">
      <alignment horizontal="righ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3" xfId="11" applyNumberFormat="1" applyFont="1" applyBorder="1" applyAlignment="1">
      <alignment horizontal="left" vertical="center"/>
    </xf>
    <xf numFmtId="37" fontId="50" fillId="0" borderId="83" xfId="3" applyNumberFormat="1" applyFont="1" applyBorder="1" applyAlignment="1">
      <alignment horizontal="left" vertical="center"/>
    </xf>
    <xf numFmtId="39" fontId="50" fillId="0" borderId="83" xfId="3" applyNumberFormat="1" applyFont="1" applyBorder="1" applyAlignment="1">
      <alignment vertical="center"/>
    </xf>
    <xf numFmtId="0" fontId="0" fillId="0" borderId="71" xfId="0" applyBorder="1"/>
    <xf numFmtId="43" fontId="0" fillId="0" borderId="83" xfId="1" applyFont="1" applyBorder="1"/>
    <xf numFmtId="0" fontId="48" fillId="0" borderId="84" xfId="12" applyFont="1" applyBorder="1" applyAlignment="1">
      <alignment horizontal="center"/>
    </xf>
    <xf numFmtId="0" fontId="48" fillId="0" borderId="85" xfId="12" applyFont="1" applyBorder="1"/>
    <xf numFmtId="168" fontId="48" fillId="0" borderId="86" xfId="4" applyNumberFormat="1" applyFont="1" applyBorder="1"/>
    <xf numFmtId="0" fontId="48" fillId="0" borderId="88" xfId="12" applyFont="1" applyBorder="1"/>
    <xf numFmtId="168" fontId="48" fillId="0" borderId="78" xfId="4" applyNumberFormat="1"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89" xfId="12" applyFont="1" applyBorder="1"/>
    <xf numFmtId="168" fontId="48" fillId="0" borderId="81" xfId="4" applyNumberFormat="1" applyFont="1" applyBorder="1"/>
    <xf numFmtId="168" fontId="48" fillId="0" borderId="82" xfId="4" applyNumberFormat="1" applyFont="1" applyBorder="1"/>
    <xf numFmtId="0" fontId="48" fillId="0" borderId="8" xfId="12" applyFont="1" applyBorder="1" applyAlignment="1">
      <alignment horizontal="center"/>
    </xf>
    <xf numFmtId="0" fontId="51" fillId="0" borderId="90"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2" xfId="0" applyFont="1" applyBorder="1"/>
    <xf numFmtId="168" fontId="2" fillId="0" borderId="92"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3"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4" xfId="4" quotePrefix="1" applyNumberFormat="1" applyFont="1" applyBorder="1" applyAlignment="1">
      <alignment horizontal="center" vertical="center"/>
    </xf>
    <xf numFmtId="43" fontId="48" fillId="0" borderId="86" xfId="4" applyFont="1" applyBorder="1"/>
    <xf numFmtId="43" fontId="48" fillId="0" borderId="87" xfId="4" applyFont="1" applyBorder="1"/>
    <xf numFmtId="43" fontId="48" fillId="0" borderId="78" xfId="4" applyFont="1" applyBorder="1"/>
    <xf numFmtId="168" fontId="48" fillId="0" borderId="96"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3"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3" xfId="3" applyFont="1" applyBorder="1" applyAlignment="1">
      <alignment vertical="center"/>
    </xf>
    <xf numFmtId="0" fontId="30" fillId="0" borderId="71" xfId="3" applyFont="1" applyBorder="1" applyAlignment="1">
      <alignment vertical="center"/>
    </xf>
    <xf numFmtId="164" fontId="0" fillId="0" borderId="83" xfId="5" quotePrefix="1" applyFont="1" applyBorder="1" applyAlignment="1">
      <alignment vertical="center"/>
    </xf>
    <xf numFmtId="43" fontId="0" fillId="0" borderId="83" xfId="4" quotePrefix="1" applyFont="1" applyBorder="1" applyAlignment="1">
      <alignment vertical="center"/>
    </xf>
    <xf numFmtId="43" fontId="0" fillId="0" borderId="83" xfId="5" applyNumberFormat="1" applyFont="1" applyBorder="1" applyAlignment="1">
      <alignment vertical="center"/>
    </xf>
    <xf numFmtId="39" fontId="0" fillId="0" borderId="97"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3"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3"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3"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3"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3"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3"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3"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99" xfId="3" applyFont="1" applyBorder="1" applyAlignment="1">
      <alignment vertical="center"/>
    </xf>
    <xf numFmtId="0" fontId="25" fillId="0" borderId="99" xfId="3" applyFont="1" applyBorder="1" applyAlignment="1">
      <alignment vertical="center" wrapText="1"/>
    </xf>
    <xf numFmtId="0" fontId="25" fillId="0" borderId="100" xfId="3" applyFont="1" applyBorder="1" applyAlignment="1">
      <alignment vertical="center"/>
    </xf>
    <xf numFmtId="0" fontId="25" fillId="0" borderId="101" xfId="3" applyFont="1" applyBorder="1" applyAlignment="1">
      <alignment vertical="center"/>
    </xf>
    <xf numFmtId="0" fontId="25" fillId="0" borderId="99" xfId="3" applyFont="1" applyBorder="1" applyAlignment="1">
      <alignment horizontal="left" vertical="center"/>
    </xf>
    <xf numFmtId="0" fontId="25" fillId="0" borderId="99" xfId="3" applyFont="1" applyBorder="1" applyAlignment="1">
      <alignment horizontal="left" vertical="center" wrapText="1"/>
    </xf>
    <xf numFmtId="0" fontId="25" fillId="0" borderId="100" xfId="3" applyFont="1" applyBorder="1" applyAlignment="1">
      <alignment horizontal="left" vertical="center"/>
    </xf>
    <xf numFmtId="164" fontId="25" fillId="0" borderId="100" xfId="5" applyFont="1" applyBorder="1" applyAlignment="1">
      <alignment horizontal="left" vertical="center"/>
    </xf>
    <xf numFmtId="0" fontId="25" fillId="0" borderId="101"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0" xfId="3" applyFont="1" applyBorder="1" applyAlignment="1">
      <alignment horizontal="left" vertical="center"/>
    </xf>
    <xf numFmtId="164" fontId="22" fillId="0" borderId="100" xfId="5" applyFont="1" applyBorder="1" applyAlignment="1">
      <alignment horizontal="left" vertical="center"/>
    </xf>
    <xf numFmtId="0" fontId="22" fillId="0" borderId="101"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99" xfId="3" applyFont="1" applyFill="1" applyBorder="1" applyAlignment="1">
      <alignment horizontal="center" vertical="center" wrapText="1"/>
    </xf>
    <xf numFmtId="164" fontId="25" fillId="7" borderId="99" xfId="5" applyFont="1" applyFill="1" applyBorder="1" applyAlignment="1">
      <alignment horizontal="center" vertical="center" wrapText="1"/>
    </xf>
    <xf numFmtId="0" fontId="60" fillId="0" borderId="99" xfId="3" applyFont="1" applyBorder="1" applyAlignment="1">
      <alignment horizontal="center" vertical="center"/>
    </xf>
    <xf numFmtId="0" fontId="60" fillId="0" borderId="99" xfId="3" quotePrefix="1" applyFont="1" applyBorder="1" applyAlignment="1">
      <alignment horizontal="center" vertical="center"/>
    </xf>
    <xf numFmtId="164" fontId="60" fillId="0" borderId="99" xfId="5" applyFont="1" applyBorder="1" applyAlignment="1">
      <alignment vertical="center"/>
    </xf>
    <xf numFmtId="43" fontId="22" fillId="0" borderId="0" xfId="3" applyNumberFormat="1" applyFont="1" applyAlignment="1">
      <alignment vertical="center"/>
    </xf>
    <xf numFmtId="164" fontId="22" fillId="0" borderId="99" xfId="5" applyFont="1" applyBorder="1" applyAlignment="1">
      <alignment vertical="center"/>
    </xf>
    <xf numFmtId="0" fontId="22" fillId="0" borderId="99" xfId="3" applyFont="1" applyBorder="1" applyAlignment="1">
      <alignment horizontal="center" vertical="center"/>
    </xf>
    <xf numFmtId="1" fontId="60" fillId="0" borderId="99" xfId="3" quotePrefix="1" applyNumberFormat="1" applyFont="1" applyBorder="1" applyAlignment="1">
      <alignment horizontal="center" vertical="center"/>
    </xf>
    <xf numFmtId="164" fontId="60" fillId="0" borderId="99" xfId="5" applyFont="1" applyFill="1" applyBorder="1" applyAlignment="1">
      <alignment vertical="center"/>
    </xf>
    <xf numFmtId="0" fontId="25" fillId="4" borderId="103" xfId="3" applyFont="1" applyFill="1" applyBorder="1" applyAlignment="1">
      <alignment vertical="center"/>
    </xf>
    <xf numFmtId="0" fontId="25" fillId="4" borderId="100" xfId="3" applyFont="1" applyFill="1" applyBorder="1" applyAlignment="1">
      <alignment vertical="center"/>
    </xf>
    <xf numFmtId="0" fontId="25" fillId="4" borderId="101" xfId="3" applyFont="1" applyFill="1" applyBorder="1" applyAlignment="1">
      <alignment vertical="center"/>
    </xf>
    <xf numFmtId="164" fontId="25" fillId="4" borderId="99"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3"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3" xfId="3" applyNumberFormat="1" applyFont="1" applyBorder="1" applyAlignment="1">
      <alignment horizontal="center" vertical="center" wrapText="1"/>
    </xf>
    <xf numFmtId="39" fontId="60" fillId="0" borderId="83"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1" fillId="0" borderId="101" xfId="14" applyFont="1" applyFill="1" applyBorder="1" applyAlignment="1">
      <alignment horizontal="center" vertical="center" wrapText="1"/>
    </xf>
    <xf numFmtId="43" fontId="70" fillId="0" borderId="78" xfId="15" applyFont="1" applyFill="1" applyBorder="1" applyAlignment="1">
      <alignment horizontal="left" vertical="center"/>
    </xf>
    <xf numFmtId="164" fontId="70" fillId="0" borderId="78" xfId="16" applyFont="1" applyFill="1" applyBorder="1" applyAlignment="1">
      <alignment horizontal="left" vertical="center"/>
    </xf>
    <xf numFmtId="43" fontId="51" fillId="8" borderId="103" xfId="4" applyFont="1" applyFill="1" applyBorder="1" applyAlignment="1">
      <alignment horizontal="center" vertical="center"/>
    </xf>
    <xf numFmtId="43" fontId="51" fillId="8" borderId="99" xfId="4" applyFont="1" applyFill="1" applyBorder="1" applyAlignment="1">
      <alignment horizontal="center" vertical="center"/>
    </xf>
    <xf numFmtId="43" fontId="70" fillId="0" borderId="78" xfId="4" applyFont="1" applyBorder="1"/>
    <xf numFmtId="43" fontId="70" fillId="0" borderId="78" xfId="15" applyFont="1" applyFill="1" applyBorder="1" applyAlignment="1">
      <alignment horizontal="left" vertical="center" wrapText="1"/>
    </xf>
    <xf numFmtId="43" fontId="70" fillId="0" borderId="78" xfId="14" applyFont="1" applyFill="1" applyBorder="1" applyAlignment="1">
      <alignment horizontal="left" vertical="center"/>
    </xf>
    <xf numFmtId="0" fontId="70" fillId="0" borderId="88" xfId="3" applyFont="1" applyBorder="1"/>
    <xf numFmtId="0" fontId="70" fillId="0" borderId="104" xfId="3" applyFont="1" applyBorder="1"/>
    <xf numFmtId="0" fontId="71" fillId="0" borderId="99" xfId="3" applyFont="1" applyBorder="1"/>
    <xf numFmtId="43" fontId="71" fillId="0" borderId="99" xfId="4" applyFont="1" applyBorder="1"/>
    <xf numFmtId="164" fontId="70" fillId="0" borderId="78" xfId="16" applyFont="1" applyFill="1" applyBorder="1" applyAlignment="1">
      <alignment horizontal="left" vertical="center" wrapText="1"/>
    </xf>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3" xfId="4" applyFont="1" applyBorder="1"/>
    <xf numFmtId="0" fontId="2" fillId="2" borderId="93"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5"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68" fontId="51" fillId="0" borderId="21" xfId="12" applyNumberFormat="1" applyFont="1" applyBorder="1"/>
    <xf numFmtId="168" fontId="51" fillId="0" borderId="23" xfId="12" applyNumberFormat="1"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3" xfId="0" applyFont="1" applyFill="1" applyBorder="1"/>
    <xf numFmtId="43" fontId="2" fillId="2" borderId="72" xfId="4" applyFont="1" applyFill="1" applyBorder="1" applyAlignment="1">
      <alignment horizontal="center"/>
    </xf>
    <xf numFmtId="0" fontId="0" fillId="0" borderId="107"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1" xfId="4" applyFont="1" applyBorder="1" applyAlignment="1">
      <alignment horizontal="center" vertical="center"/>
    </xf>
    <xf numFmtId="43" fontId="0" fillId="0" borderId="91"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99" xfId="17" applyNumberFormat="1" applyFont="1" applyBorder="1" applyAlignment="1">
      <alignment horizontal="center" vertical="center" wrapText="1"/>
    </xf>
    <xf numFmtId="1" fontId="69" fillId="10" borderId="99"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164" fontId="61" fillId="0" borderId="0" xfId="5" applyFont="1"/>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99" xfId="0" applyFont="1" applyBorder="1" applyAlignment="1">
      <alignment horizontal="center" vertical="center" wrapText="1"/>
    </xf>
    <xf numFmtId="0" fontId="2" fillId="0" borderId="99" xfId="0" applyFont="1" applyBorder="1" applyAlignment="1">
      <alignment horizontal="center" vertical="center"/>
    </xf>
    <xf numFmtId="43" fontId="2" fillId="0" borderId="99" xfId="4" applyFont="1" applyBorder="1" applyAlignment="1">
      <alignment horizontal="center" vertical="center"/>
    </xf>
    <xf numFmtId="0" fontId="2" fillId="0" borderId="0" xfId="0" applyFont="1" applyAlignment="1">
      <alignment horizontal="center" vertical="center"/>
    </xf>
    <xf numFmtId="0" fontId="0" fillId="0" borderId="99" xfId="0" quotePrefix="1" applyBorder="1" applyAlignment="1">
      <alignment horizontal="center"/>
    </xf>
    <xf numFmtId="0" fontId="0" fillId="0" borderId="99" xfId="0" applyBorder="1"/>
    <xf numFmtId="43" fontId="0" fillId="0" borderId="99" xfId="4" applyFont="1" applyBorder="1" applyAlignment="1">
      <alignment horizontal="center" vertical="center"/>
    </xf>
    <xf numFmtId="43" fontId="0" fillId="0" borderId="99" xfId="4" applyFont="1" applyBorder="1"/>
    <xf numFmtId="43" fontId="0" fillId="0" borderId="99" xfId="4" applyFont="1" applyFill="1" applyBorder="1" applyAlignment="1">
      <alignment horizontal="center" vertical="center"/>
    </xf>
    <xf numFmtId="43" fontId="2" fillId="0" borderId="99"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99" xfId="0" applyFont="1" applyFill="1" applyBorder="1" applyAlignment="1">
      <alignment horizontal="center" vertical="center"/>
    </xf>
    <xf numFmtId="164" fontId="75" fillId="13" borderId="99"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8" xfId="0" applyFont="1" applyBorder="1" applyAlignment="1">
      <alignment horizontal="center" vertical="center" wrapText="1"/>
    </xf>
    <xf numFmtId="0" fontId="47" fillId="0" borderId="86"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99" xfId="0" applyFont="1" applyBorder="1"/>
    <xf numFmtId="164" fontId="47" fillId="0" borderId="99" xfId="16" applyFont="1" applyBorder="1"/>
    <xf numFmtId="0" fontId="76" fillId="13" borderId="99" xfId="0" applyFont="1" applyFill="1" applyBorder="1" applyAlignment="1">
      <alignment vertical="center"/>
    </xf>
    <xf numFmtId="4" fontId="76" fillId="13" borderId="99" xfId="0" applyNumberFormat="1" applyFont="1" applyFill="1" applyBorder="1" applyAlignment="1">
      <alignment vertical="center"/>
    </xf>
    <xf numFmtId="164" fontId="76" fillId="13" borderId="99"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17" borderId="25" xfId="13" applyFont="1" applyFill="1" applyBorder="1" applyAlignment="1">
      <alignment horizontal="center" vertical="center" wrapText="1"/>
    </xf>
    <xf numFmtId="0" fontId="71" fillId="2" borderId="109" xfId="13" applyFont="1" applyFill="1" applyBorder="1" applyAlignment="1">
      <alignment horizontal="center" vertical="center" wrapText="1"/>
    </xf>
    <xf numFmtId="9" fontId="71" fillId="0" borderId="28" xfId="2" applyFont="1" applyBorder="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09" xfId="18" applyNumberFormat="1" applyFont="1" applyFill="1" applyBorder="1" applyAlignment="1">
      <alignment horizontal="center" vertical="center"/>
    </xf>
    <xf numFmtId="176" fontId="70" fillId="17" borderId="28" xfId="20" applyFont="1" applyFill="1" applyBorder="1" applyAlignment="1">
      <alignment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2" borderId="109" xfId="20" applyFont="1" applyFill="1" applyBorder="1" applyAlignment="1">
      <alignment vertical="center"/>
    </xf>
    <xf numFmtId="176" fontId="70" fillId="0" borderId="27" xfId="20" applyFont="1" applyFill="1" applyBorder="1" applyAlignment="1">
      <alignment vertical="center"/>
    </xf>
    <xf numFmtId="9" fontId="70" fillId="0" borderId="28" xfId="2" applyFont="1" applyFill="1" applyBorder="1" applyAlignment="1">
      <alignment vertical="center"/>
    </xf>
    <xf numFmtId="176" fontId="70" fillId="17" borderId="109" xfId="20" applyFont="1" applyFill="1" applyBorder="1" applyAlignment="1">
      <alignment vertical="center"/>
    </xf>
    <xf numFmtId="10" fontId="70" fillId="0" borderId="28" xfId="2" applyNumberFormat="1" applyFont="1" applyFill="1" applyBorder="1" applyAlignment="1">
      <alignment vertical="center"/>
    </xf>
    <xf numFmtId="0" fontId="70" fillId="0" borderId="28" xfId="19" applyFont="1" applyBorder="1" applyAlignment="1">
      <alignment vertical="center"/>
    </xf>
    <xf numFmtId="176" fontId="70" fillId="17" borderId="25" xfId="20" applyFont="1" applyFill="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0" fontId="81" fillId="0" borderId="25" xfId="19" applyFont="1" applyBorder="1" applyAlignment="1">
      <alignment horizontal="left" vertical="center"/>
    </xf>
    <xf numFmtId="164" fontId="70" fillId="0" borderId="28" xfId="22" applyFont="1" applyFill="1" applyBorder="1" applyAlignment="1">
      <alignment vertical="center"/>
    </xf>
    <xf numFmtId="164" fontId="70" fillId="0" borderId="109"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99" xfId="13" applyFont="1" applyFill="1" applyBorder="1" applyAlignment="1">
      <alignment horizontal="center" vertical="center"/>
    </xf>
    <xf numFmtId="43" fontId="71" fillId="8" borderId="99"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8" xfId="13" applyFont="1" applyBorder="1" applyAlignment="1">
      <alignment horizontal="left" vertical="center" indent="1"/>
    </xf>
    <xf numFmtId="43" fontId="70" fillId="0" borderId="108" xfId="4" applyFont="1" applyFill="1" applyBorder="1" applyAlignment="1">
      <alignment vertical="center"/>
    </xf>
    <xf numFmtId="43" fontId="70" fillId="0" borderId="108"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99" xfId="13" applyFont="1" applyBorder="1" applyAlignment="1">
      <alignment vertical="center"/>
    </xf>
    <xf numFmtId="43" fontId="71" fillId="0" borderId="99"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99" xfId="17" applyFont="1" applyFill="1" applyBorder="1" applyAlignment="1">
      <alignment horizontal="center" vertical="center"/>
    </xf>
    <xf numFmtId="0" fontId="86" fillId="3" borderId="99" xfId="17" applyFont="1" applyFill="1" applyBorder="1" applyAlignment="1">
      <alignment horizontal="right" vertical="center"/>
    </xf>
    <xf numFmtId="0" fontId="86" fillId="3" borderId="99" xfId="17" applyFont="1" applyFill="1" applyBorder="1" applyAlignment="1">
      <alignment vertical="center"/>
    </xf>
    <xf numFmtId="0" fontId="86" fillId="3" borderId="98" xfId="17" applyFont="1" applyFill="1" applyBorder="1" applyAlignment="1">
      <alignment vertical="center"/>
    </xf>
    <xf numFmtId="0" fontId="69" fillId="3" borderId="99" xfId="17" applyFont="1" applyFill="1" applyBorder="1" applyAlignment="1">
      <alignment vertical="center"/>
    </xf>
    <xf numFmtId="43" fontId="86" fillId="3" borderId="99"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99"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0" xfId="4" applyFont="1" applyBorder="1" applyAlignment="1">
      <alignment horizontal="center" vertical="center"/>
    </xf>
    <xf numFmtId="43" fontId="0" fillId="0" borderId="110" xfId="0" applyNumberFormat="1" applyBorder="1" applyAlignment="1">
      <alignment horizontal="center"/>
    </xf>
    <xf numFmtId="43" fontId="0" fillId="0" borderId="99"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0" xfId="1" applyFont="1" applyBorder="1" applyAlignment="1">
      <alignment horizontal="center"/>
    </xf>
    <xf numFmtId="43" fontId="0" fillId="0" borderId="0" xfId="0" applyNumberFormat="1" applyAlignment="1">
      <alignment vertical="center"/>
    </xf>
    <xf numFmtId="43" fontId="2" fillId="0" borderId="99" xfId="4" applyFont="1" applyBorder="1" applyAlignment="1">
      <alignment horizontal="center"/>
    </xf>
    <xf numFmtId="43" fontId="2" fillId="0" borderId="99"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0" fontId="71" fillId="2" borderId="47" xfId="13" applyFont="1" applyFill="1" applyBorder="1" applyAlignment="1">
      <alignment horizontal="center" vertical="center" wrapText="1"/>
    </xf>
    <xf numFmtId="38" fontId="70" fillId="2" borderId="47" xfId="18" applyNumberFormat="1" applyFont="1" applyFill="1" applyBorder="1" applyAlignment="1">
      <alignment vertical="center"/>
    </xf>
    <xf numFmtId="40" fontId="70" fillId="2" borderId="47" xfId="18" applyNumberFormat="1" applyFont="1" applyFill="1" applyBorder="1" applyAlignment="1">
      <alignment vertical="center"/>
    </xf>
    <xf numFmtId="164" fontId="70" fillId="2" borderId="47" xfId="21" applyFont="1" applyFill="1" applyBorder="1" applyAlignment="1">
      <alignment vertical="center"/>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2" xfId="13" applyFont="1" applyFill="1" applyBorder="1" applyAlignment="1">
      <alignment horizontal="center" vertical="center" wrapText="1"/>
    </xf>
    <xf numFmtId="38" fontId="70" fillId="2" borderId="112" xfId="18" applyNumberFormat="1" applyFont="1" applyFill="1" applyBorder="1" applyAlignment="1">
      <alignment vertical="center"/>
    </xf>
    <xf numFmtId="176" fontId="70" fillId="2" borderId="112" xfId="20" applyFont="1" applyFill="1" applyBorder="1" applyAlignment="1">
      <alignment vertical="center"/>
    </xf>
    <xf numFmtId="40" fontId="70" fillId="2" borderId="112" xfId="18" applyNumberFormat="1" applyFont="1" applyFill="1" applyBorder="1" applyAlignment="1">
      <alignment vertical="center"/>
    </xf>
    <xf numFmtId="164" fontId="70" fillId="2" borderId="112" xfId="21" applyFont="1" applyFill="1" applyBorder="1" applyAlignment="1">
      <alignment vertical="center"/>
    </xf>
    <xf numFmtId="43" fontId="70" fillId="2" borderId="112" xfId="1" applyFont="1" applyFill="1" applyBorder="1" applyAlignment="1">
      <alignmen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2" borderId="114" xfId="13" applyFont="1" applyFill="1" applyBorder="1" applyAlignment="1">
      <alignment horizontal="center" vertical="center" wrapText="1"/>
    </xf>
    <xf numFmtId="0" fontId="71" fillId="17" borderId="6" xfId="13" applyFont="1" applyFill="1" applyBorder="1" applyAlignment="1">
      <alignment horizontal="center" vertical="center" wrapText="1"/>
    </xf>
    <xf numFmtId="176" fontId="70" fillId="2" borderId="114" xfId="20" applyFont="1" applyFill="1" applyBorder="1" applyAlignment="1">
      <alignment vertical="center"/>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0" fontId="71" fillId="0" borderId="5" xfId="13" applyFont="1" applyBorder="1" applyAlignment="1">
      <alignment horizontal="center" vertical="center" wrapText="1"/>
    </xf>
    <xf numFmtId="0" fontId="71" fillId="0" borderId="25" xfId="13" applyFont="1" applyBorder="1" applyAlignment="1">
      <alignment vertical="center" wrapText="1"/>
    </xf>
    <xf numFmtId="0" fontId="71" fillId="17" borderId="109" xfId="13" applyFont="1" applyFill="1" applyBorder="1" applyAlignment="1">
      <alignment horizontal="center" vertical="center" wrapText="1"/>
    </xf>
    <xf numFmtId="0" fontId="71" fillId="17" borderId="28" xfId="13" applyFont="1" applyFill="1" applyBorder="1" applyAlignment="1">
      <alignment horizontal="center" vertical="center" wrapText="1"/>
    </xf>
    <xf numFmtId="0" fontId="71" fillId="0" borderId="118"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40" fontId="70" fillId="0" borderId="5" xfId="18" applyNumberFormat="1" applyFont="1" applyFill="1" applyBorder="1" applyAlignment="1">
      <alignment vertical="center"/>
    </xf>
    <xf numFmtId="0" fontId="71" fillId="17" borderId="113" xfId="13" applyFont="1" applyFill="1" applyBorder="1" applyAlignment="1">
      <alignment horizontal="center" vertical="center" wrapText="1"/>
    </xf>
    <xf numFmtId="43" fontId="70" fillId="17" borderId="113" xfId="1" applyFont="1" applyFill="1" applyBorder="1" applyAlignment="1">
      <alignment vertical="center"/>
    </xf>
    <xf numFmtId="164" fontId="70" fillId="17" borderId="113" xfId="21" applyFont="1" applyFill="1" applyBorder="1" applyAlignment="1">
      <alignment vertical="center"/>
    </xf>
    <xf numFmtId="43" fontId="70" fillId="17" borderId="28" xfId="4" applyFont="1" applyFill="1" applyBorder="1" applyAlignment="1">
      <alignment vertical="center"/>
    </xf>
    <xf numFmtId="43" fontId="84" fillId="17" borderId="28" xfId="1" applyFont="1" applyFill="1" applyBorder="1" applyAlignment="1">
      <alignment vertical="center"/>
    </xf>
    <xf numFmtId="0" fontId="70" fillId="17" borderId="28" xfId="13" applyFont="1" applyFill="1" applyBorder="1" applyAlignment="1">
      <alignment vertical="center"/>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8"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1" xfId="1" applyFont="1" applyFill="1" applyBorder="1"/>
    <xf numFmtId="43" fontId="51" fillId="0" borderId="91" xfId="1" applyFont="1" applyBorder="1"/>
    <xf numFmtId="43" fontId="51" fillId="0" borderId="56" xfId="1" applyFont="1" applyBorder="1"/>
    <xf numFmtId="43" fontId="2" fillId="0" borderId="92" xfId="1" applyFont="1" applyBorder="1"/>
    <xf numFmtId="43" fontId="2" fillId="0" borderId="60" xfId="1" applyFont="1" applyBorder="1"/>
    <xf numFmtId="43" fontId="48" fillId="0" borderId="86"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7"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20"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19" xfId="0" quotePrefix="1" applyBorder="1" applyAlignment="1">
      <alignment horizontal="center"/>
    </xf>
    <xf numFmtId="0" fontId="0" fillId="0" borderId="119" xfId="0" applyBorder="1" applyAlignment="1">
      <alignment horizontal="center"/>
    </xf>
    <xf numFmtId="43" fontId="48" fillId="0" borderId="0" xfId="1" applyFont="1"/>
    <xf numFmtId="3" fontId="18" fillId="0" borderId="83" xfId="9" applyNumberFormat="1" applyFont="1" applyBorder="1"/>
    <xf numFmtId="166" fontId="0" fillId="0" borderId="83" xfId="0" applyNumberFormat="1" applyBorder="1" applyAlignment="1">
      <alignment horizontal="left"/>
    </xf>
    <xf numFmtId="0" fontId="0" fillId="0" borderId="83"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8" xfId="0" quotePrefix="1" applyBorder="1" applyAlignment="1">
      <alignment horizontal="center"/>
    </xf>
    <xf numFmtId="43" fontId="0" fillId="0" borderId="111" xfId="1" applyFont="1" applyBorder="1" applyAlignment="1">
      <alignment horizontal="center"/>
    </xf>
    <xf numFmtId="164" fontId="48" fillId="0" borderId="79" xfId="1" applyNumberFormat="1" applyFont="1" applyBorder="1"/>
    <xf numFmtId="0" fontId="0" fillId="0" borderId="112" xfId="0" applyBorder="1" applyAlignment="1">
      <alignment horizontal="center"/>
    </xf>
    <xf numFmtId="0" fontId="48" fillId="0" borderId="119" xfId="12" applyFont="1" applyBorder="1" applyAlignment="1">
      <alignment horizontal="center"/>
    </xf>
    <xf numFmtId="0" fontId="2" fillId="0" borderId="120" xfId="0" applyFont="1" applyBorder="1"/>
    <xf numFmtId="0" fontId="0" fillId="0" borderId="54" xfId="0" applyBorder="1"/>
    <xf numFmtId="43" fontId="0" fillId="0" borderId="110" xfId="0" applyNumberFormat="1" applyBorder="1"/>
    <xf numFmtId="3" fontId="18" fillId="0" borderId="0" xfId="10" applyNumberFormat="1" applyFont="1" applyAlignment="1">
      <alignment vertical="top" wrapText="1"/>
    </xf>
    <xf numFmtId="43" fontId="37" fillId="0" borderId="0" xfId="1" applyFont="1"/>
    <xf numFmtId="0" fontId="69" fillId="0" borderId="0" xfId="17" applyFont="1" applyAlignment="1">
      <alignment horizontal="center" vertical="center"/>
    </xf>
    <xf numFmtId="43" fontId="89" fillId="3" borderId="99" xfId="17" applyNumberFormat="1" applyFont="1" applyFill="1" applyBorder="1" applyAlignment="1">
      <alignment vertical="center"/>
    </xf>
    <xf numFmtId="0" fontId="70" fillId="0" borderId="78" xfId="3" quotePrefix="1" applyFont="1" applyBorder="1" applyAlignment="1">
      <alignment horizontal="center"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71" fillId="0" borderId="99" xfId="3" applyFont="1" applyBorder="1" applyAlignment="1">
      <alignment horizontal="center" vertical="center" wrapText="1"/>
    </xf>
    <xf numFmtId="0" fontId="71" fillId="0" borderId="99" xfId="3" applyFont="1" applyBorder="1" applyAlignment="1">
      <alignment horizontal="center" vertical="center"/>
    </xf>
    <xf numFmtId="0" fontId="71" fillId="0" borderId="101" xfId="3" applyFont="1" applyBorder="1" applyAlignment="1">
      <alignment horizontal="center" vertical="center" wrapText="1"/>
    </xf>
    <xf numFmtId="0" fontId="70" fillId="0" borderId="99" xfId="3" applyFont="1" applyBorder="1" applyAlignment="1">
      <alignment horizontal="center" vertical="center"/>
    </xf>
    <xf numFmtId="0" fontId="71" fillId="0" borderId="103" xfId="3" applyFont="1" applyBorder="1" applyAlignment="1">
      <alignment horizontal="center" vertical="center" wrapText="1"/>
    </xf>
    <xf numFmtId="43" fontId="71" fillId="0" borderId="99" xfId="14" applyFont="1" applyFill="1" applyBorder="1" applyAlignment="1">
      <alignment horizontal="center" vertical="center" wrapText="1"/>
    </xf>
    <xf numFmtId="0" fontId="69" fillId="0" borderId="0" xfId="3" applyFont="1" applyAlignment="1">
      <alignment horizontal="center" vertical="center"/>
    </xf>
    <xf numFmtId="176" fontId="70" fillId="0" borderId="71" xfId="20" applyFont="1" applyFill="1" applyBorder="1" applyAlignment="1">
      <alignment vertical="center"/>
    </xf>
    <xf numFmtId="40" fontId="70" fillId="17" borderId="83" xfId="18" applyNumberFormat="1" applyFont="1" applyFill="1" applyBorder="1" applyAlignment="1">
      <alignment vertical="center"/>
    </xf>
    <xf numFmtId="0" fontId="0" fillId="0" borderId="121" xfId="0" applyBorder="1" applyAlignment="1">
      <alignment horizontal="center"/>
    </xf>
    <xf numFmtId="0" fontId="0" fillId="0" borderId="108" xfId="0" applyBorder="1"/>
    <xf numFmtId="43" fontId="0" fillId="0" borderId="108" xfId="1" applyFont="1" applyBorder="1"/>
    <xf numFmtId="0" fontId="0" fillId="0" borderId="122" xfId="0" applyBorder="1"/>
    <xf numFmtId="0" fontId="0" fillId="0" borderId="120" xfId="0" applyBorder="1" applyAlignment="1">
      <alignment horizontal="center"/>
    </xf>
    <xf numFmtId="0" fontId="0" fillId="0" borderId="92" xfId="0" applyBorder="1"/>
    <xf numFmtId="43" fontId="0" fillId="0" borderId="92" xfId="1" applyFont="1" applyBorder="1"/>
    <xf numFmtId="0" fontId="0" fillId="0" borderId="60" xfId="0" applyBorder="1"/>
    <xf numFmtId="0" fontId="0" fillId="0" borderId="86" xfId="0" applyBorder="1"/>
    <xf numFmtId="43" fontId="0" fillId="0" borderId="86" xfId="1" applyFont="1" applyBorder="1"/>
    <xf numFmtId="0" fontId="2" fillId="0" borderId="99" xfId="0" applyFont="1" applyBorder="1"/>
    <xf numFmtId="43" fontId="2" fillId="0" borderId="99" xfId="1" applyFont="1" applyBorder="1"/>
    <xf numFmtId="10" fontId="70" fillId="0" borderId="0" xfId="2" applyNumberFormat="1" applyFont="1" applyAlignment="1">
      <alignment vertical="center"/>
    </xf>
    <xf numFmtId="10" fontId="71" fillId="0" borderId="28" xfId="2" applyNumberFormat="1" applyFont="1" applyBorder="1" applyAlignment="1">
      <alignment horizontal="center" vertical="center" wrapText="1"/>
    </xf>
    <xf numFmtId="164" fontId="70" fillId="17" borderId="83" xfId="21" applyFont="1" applyFill="1" applyBorder="1" applyAlignment="1">
      <alignment vertical="center"/>
    </xf>
    <xf numFmtId="0" fontId="48" fillId="0" borderId="112"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23" xfId="12" applyFont="1" applyBorder="1" applyAlignment="1">
      <alignment horizontal="center"/>
    </xf>
    <xf numFmtId="0" fontId="48" fillId="0" borderId="96" xfId="12" applyFont="1" applyBorder="1" applyAlignment="1">
      <alignment horizontal="center"/>
    </xf>
    <xf numFmtId="43" fontId="0" fillId="0" borderId="75" xfId="1" applyFont="1" applyFill="1" applyBorder="1"/>
    <xf numFmtId="49" fontId="70" fillId="0" borderId="88" xfId="3" applyNumberFormat="1" applyFont="1" applyBorder="1" applyAlignment="1">
      <alignment vertical="center"/>
    </xf>
    <xf numFmtId="164" fontId="70" fillId="0" borderId="28" xfId="16" applyFont="1" applyFill="1" applyBorder="1" applyAlignment="1">
      <alignment horizontal="left" vertical="center"/>
    </xf>
    <xf numFmtId="49" fontId="70" fillId="0" borderId="25" xfId="3" applyNumberFormat="1" applyFont="1" applyBorder="1" applyAlignment="1">
      <alignment vertical="center"/>
    </xf>
    <xf numFmtId="17" fontId="70" fillId="0" borderId="88" xfId="3" applyNumberFormat="1" applyFont="1" applyBorder="1" applyAlignment="1">
      <alignment vertical="center"/>
    </xf>
    <xf numFmtId="49" fontId="70" fillId="0" borderId="78" xfId="3" applyNumberFormat="1" applyFont="1" applyBorder="1" applyAlignment="1">
      <alignment horizontal="left" vertical="center"/>
    </xf>
    <xf numFmtId="173" fontId="3" fillId="0" borderId="0" xfId="24"/>
    <xf numFmtId="173" fontId="61" fillId="0" borderId="0" xfId="24" applyFont="1"/>
    <xf numFmtId="38" fontId="70" fillId="17" borderId="83" xfId="18" applyNumberFormat="1" applyFont="1" applyFill="1" applyBorder="1" applyAlignment="1">
      <alignment vertical="center"/>
    </xf>
    <xf numFmtId="164" fontId="70" fillId="0" borderId="71" xfId="21" applyFont="1" applyFill="1" applyBorder="1" applyAlignment="1">
      <alignment vertical="center"/>
    </xf>
    <xf numFmtId="176" fontId="83" fillId="0" borderId="71" xfId="20"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70" fillId="0" borderId="39" xfId="4" applyFont="1" applyBorder="1" applyAlignment="1">
      <alignment vertical="center"/>
    </xf>
    <xf numFmtId="43" fontId="0" fillId="0" borderId="27" xfId="0" quotePrefix="1" applyNumberFormat="1" applyBorder="1"/>
    <xf numFmtId="43" fontId="0" fillId="0" borderId="28" xfId="0" applyNumberFormat="1" applyBorder="1"/>
    <xf numFmtId="40" fontId="0" fillId="0" borderId="27" xfId="0" quotePrefix="1"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15" xfId="20" applyFont="1" applyFill="1" applyBorder="1" applyAlignment="1">
      <alignment vertical="center"/>
    </xf>
    <xf numFmtId="176" fontId="68" fillId="0" borderId="0" xfId="13" applyNumberFormat="1" applyFont="1" applyAlignment="1">
      <alignment horizontal="left" vertical="center"/>
    </xf>
    <xf numFmtId="0" fontId="71" fillId="2" borderId="27" xfId="13" applyFont="1" applyFill="1" applyBorder="1" applyAlignment="1">
      <alignment horizontal="center" vertical="center" wrapText="1"/>
    </xf>
    <xf numFmtId="176" fontId="70" fillId="2" borderId="27" xfId="20" applyFont="1" applyFill="1" applyBorder="1" applyAlignment="1">
      <alignment vertical="center"/>
    </xf>
    <xf numFmtId="0" fontId="71" fillId="2" borderId="25" xfId="13" applyFont="1" applyFill="1" applyBorder="1" applyAlignment="1">
      <alignment horizontal="center" vertical="center" wrapText="1"/>
    </xf>
    <xf numFmtId="176" fontId="70" fillId="2" borderId="25" xfId="20" applyFont="1" applyFill="1" applyBorder="1" applyAlignment="1">
      <alignment vertical="center"/>
    </xf>
    <xf numFmtId="176" fontId="70" fillId="2" borderId="28" xfId="20" applyFont="1" applyFill="1" applyBorder="1" applyAlignment="1">
      <alignment vertical="center"/>
    </xf>
    <xf numFmtId="43" fontId="70" fillId="2" borderId="27" xfId="4" applyFont="1" applyFill="1" applyBorder="1" applyAlignment="1">
      <alignment vertical="center"/>
    </xf>
    <xf numFmtId="43" fontId="83" fillId="2" borderId="27" xfId="4" applyFont="1" applyFill="1" applyBorder="1" applyAlignment="1">
      <alignment vertical="center"/>
    </xf>
    <xf numFmtId="43" fontId="84" fillId="2" borderId="27" xfId="1" applyFont="1" applyFill="1" applyBorder="1" applyAlignment="1">
      <alignment vertical="center"/>
    </xf>
    <xf numFmtId="0" fontId="70" fillId="2" borderId="27" xfId="13" applyFont="1" applyFill="1" applyBorder="1" applyAlignment="1">
      <alignment vertical="center"/>
    </xf>
    <xf numFmtId="164" fontId="70" fillId="2" borderId="27" xfId="21" applyFont="1" applyFill="1" applyBorder="1" applyAlignment="1">
      <alignment vertical="center"/>
    </xf>
    <xf numFmtId="43" fontId="68" fillId="0" borderId="0" xfId="13" applyNumberFormat="1" applyFont="1" applyAlignment="1">
      <alignment horizontal="left" vertical="center"/>
    </xf>
    <xf numFmtId="176" fontId="70" fillId="2" borderId="47" xfId="20" applyFont="1" applyFill="1" applyBorder="1" applyAlignment="1">
      <alignment vertical="center"/>
    </xf>
    <xf numFmtId="43" fontId="48" fillId="0" borderId="78" xfId="1" applyFont="1" applyFill="1" applyBorder="1"/>
    <xf numFmtId="38" fontId="84" fillId="2" borderId="64" xfId="18" applyNumberFormat="1" applyFont="1" applyFill="1" applyBorder="1" applyAlignment="1">
      <alignment vertical="center"/>
    </xf>
    <xf numFmtId="176" fontId="84" fillId="2" borderId="112" xfId="20" applyFont="1" applyFill="1" applyBorder="1" applyAlignment="1">
      <alignment vertical="center"/>
    </xf>
    <xf numFmtId="0" fontId="71" fillId="2" borderId="118" xfId="13" applyFont="1" applyFill="1" applyBorder="1" applyAlignment="1">
      <alignment horizontal="center" vertical="center" wrapText="1"/>
    </xf>
    <xf numFmtId="0" fontId="71" fillId="0" borderId="18" xfId="13" applyFont="1" applyBorder="1" applyAlignment="1">
      <alignment horizontal="center" vertical="center" wrapText="1"/>
    </xf>
    <xf numFmtId="0" fontId="71" fillId="0" borderId="116" xfId="13" applyFont="1" applyBorder="1" applyAlignment="1">
      <alignment horizontal="center" vertical="center" wrapText="1"/>
    </xf>
    <xf numFmtId="0" fontId="71" fillId="0" borderId="91" xfId="13" applyFont="1" applyBorder="1" applyAlignment="1">
      <alignment horizontal="center" vertical="center" wrapText="1"/>
    </xf>
    <xf numFmtId="0" fontId="71" fillId="17" borderId="18" xfId="13" applyFont="1" applyFill="1" applyBorder="1" applyAlignment="1">
      <alignment horizontal="center" vertical="center"/>
    </xf>
    <xf numFmtId="0" fontId="71" fillId="2" borderId="116" xfId="13" applyFont="1" applyFill="1" applyBorder="1" applyAlignment="1">
      <alignment horizontal="center" vertical="center"/>
    </xf>
    <xf numFmtId="0" fontId="71" fillId="17" borderId="56" xfId="13" applyFont="1" applyFill="1" applyBorder="1" applyAlignment="1">
      <alignment horizontal="center" vertical="center" wrapText="1"/>
    </xf>
    <xf numFmtId="0" fontId="71" fillId="17" borderId="116" xfId="13" applyFont="1" applyFill="1" applyBorder="1" applyAlignment="1">
      <alignment horizontal="center" vertical="center" wrapText="1"/>
    </xf>
    <xf numFmtId="0" fontId="71" fillId="2" borderId="90" xfId="13" applyFont="1" applyFill="1" applyBorder="1" applyAlignment="1">
      <alignment horizontal="center" vertical="center"/>
    </xf>
    <xf numFmtId="0" fontId="71" fillId="2" borderId="117" xfId="13" applyFont="1" applyFill="1" applyBorder="1" applyAlignment="1">
      <alignment horizontal="center" vertical="center"/>
    </xf>
    <xf numFmtId="43" fontId="69" fillId="0" borderId="0" xfId="17" applyNumberFormat="1" applyFont="1" applyAlignment="1">
      <alignment vertical="center"/>
    </xf>
    <xf numFmtId="164" fontId="69" fillId="0" borderId="0" xfId="17" applyNumberFormat="1" applyFont="1" applyAlignment="1">
      <alignment vertical="center"/>
    </xf>
    <xf numFmtId="0" fontId="70" fillId="0" borderId="78" xfId="3" applyFont="1" applyBorder="1" applyAlignment="1">
      <alignment horizontal="center" vertical="center"/>
    </xf>
    <xf numFmtId="49" fontId="70" fillId="0" borderId="78" xfId="3" applyNumberFormat="1" applyFont="1" applyBorder="1" applyAlignment="1">
      <alignment horizontal="left" vertical="center" wrapText="1"/>
    </xf>
    <xf numFmtId="164" fontId="70" fillId="0" borderId="78" xfId="16" applyFont="1" applyBorder="1" applyAlignment="1">
      <alignment horizontal="left" vertical="center" wrapText="1"/>
    </xf>
    <xf numFmtId="176" fontId="70" fillId="0" borderId="114" xfId="20" applyFont="1" applyFill="1" applyBorder="1" applyAlignment="1">
      <alignment vertical="center"/>
    </xf>
    <xf numFmtId="0" fontId="71" fillId="0" borderId="0" xfId="13" applyFont="1" applyAlignment="1">
      <alignment horizontal="center" vertical="center" wrapText="1"/>
    </xf>
    <xf numFmtId="0" fontId="70" fillId="0" borderId="0" xfId="19" applyFont="1" applyAlignment="1">
      <alignment horizontal="center" vertical="center"/>
    </xf>
    <xf numFmtId="0" fontId="81" fillId="0" borderId="0" xfId="19" applyFont="1" applyAlignment="1">
      <alignment horizontal="center" vertical="center"/>
    </xf>
    <xf numFmtId="0" fontId="70" fillId="0" borderId="64" xfId="19" applyFont="1" applyBorder="1" applyAlignment="1">
      <alignment vertical="center"/>
    </xf>
    <xf numFmtId="0" fontId="71" fillId="17" borderId="27" xfId="13" applyFont="1" applyFill="1" applyBorder="1" applyAlignment="1">
      <alignment horizontal="center" vertical="center" wrapText="1"/>
    </xf>
    <xf numFmtId="176" fontId="70" fillId="17" borderId="27" xfId="20" applyFont="1" applyFill="1" applyBorder="1" applyAlignment="1">
      <alignment vertical="center"/>
    </xf>
    <xf numFmtId="0" fontId="71" fillId="0" borderId="9" xfId="13" applyFont="1" applyBorder="1" applyAlignment="1">
      <alignment horizontal="center" vertical="center" wrapText="1"/>
    </xf>
    <xf numFmtId="0" fontId="71" fillId="17" borderId="91" xfId="13" applyFont="1" applyFill="1" applyBorder="1" applyAlignment="1">
      <alignment horizontal="center" vertical="center" wrapText="1"/>
    </xf>
    <xf numFmtId="9" fontId="71" fillId="0" borderId="91" xfId="2" applyFont="1" applyBorder="1" applyAlignment="1">
      <alignment horizontal="center" vertical="center" wrapText="1"/>
    </xf>
    <xf numFmtId="10" fontId="71" fillId="0" borderId="91" xfId="2" applyNumberFormat="1" applyFont="1" applyBorder="1" applyAlignment="1">
      <alignment horizontal="center" vertical="center" wrapText="1"/>
    </xf>
    <xf numFmtId="0" fontId="71" fillId="2" borderId="18" xfId="13" applyFont="1" applyFill="1" applyBorder="1" applyAlignment="1">
      <alignment horizontal="center" vertical="center" wrapText="1"/>
    </xf>
    <xf numFmtId="0" fontId="70" fillId="18" borderId="98" xfId="13" applyFont="1" applyFill="1" applyBorder="1" applyAlignment="1">
      <alignment horizontal="right" vertical="center"/>
    </xf>
    <xf numFmtId="0" fontId="70" fillId="18" borderId="40" xfId="13" applyFont="1" applyFill="1" applyBorder="1" applyAlignment="1">
      <alignment horizontal="right" vertical="center"/>
    </xf>
    <xf numFmtId="0" fontId="70" fillId="18" borderId="40" xfId="13" applyFont="1" applyFill="1" applyBorder="1" applyAlignment="1">
      <alignment vertical="center"/>
    </xf>
    <xf numFmtId="40" fontId="71" fillId="18" borderId="43" xfId="13" applyNumberFormat="1" applyFont="1" applyFill="1" applyBorder="1" applyAlignment="1">
      <alignment horizontal="right" vertical="center"/>
    </xf>
    <xf numFmtId="43" fontId="71" fillId="18" borderId="124" xfId="4" applyFont="1" applyFill="1" applyBorder="1" applyAlignment="1">
      <alignment horizontal="center" vertical="center"/>
    </xf>
    <xf numFmtId="40" fontId="71" fillId="2" borderId="107" xfId="13" applyNumberFormat="1" applyFont="1" applyFill="1" applyBorder="1" applyAlignment="1">
      <alignment horizontal="right" vertical="center"/>
    </xf>
    <xf numFmtId="40" fontId="71" fillId="2" borderId="97" xfId="13" applyNumberFormat="1" applyFont="1" applyFill="1" applyBorder="1" applyAlignment="1">
      <alignment horizontal="right" vertical="center"/>
    </xf>
    <xf numFmtId="40" fontId="71" fillId="2" borderId="38" xfId="13" applyNumberFormat="1" applyFont="1" applyFill="1" applyBorder="1" applyAlignment="1">
      <alignment horizontal="right" vertical="center"/>
    </xf>
    <xf numFmtId="40" fontId="71" fillId="2" borderId="44" xfId="13" applyNumberFormat="1" applyFont="1" applyFill="1" applyBorder="1" applyAlignment="1">
      <alignment horizontal="right" vertical="center"/>
    </xf>
    <xf numFmtId="40" fontId="71" fillId="18" borderId="38" xfId="13" applyNumberFormat="1" applyFont="1" applyFill="1" applyBorder="1" applyAlignment="1">
      <alignment horizontal="right" vertical="center"/>
    </xf>
    <xf numFmtId="38" fontId="71" fillId="2" borderId="46" xfId="13" applyNumberFormat="1" applyFont="1" applyFill="1" applyBorder="1" applyAlignment="1">
      <alignment horizontal="right" vertical="center"/>
    </xf>
    <xf numFmtId="38" fontId="71" fillId="17" borderId="97" xfId="13" applyNumberFormat="1" applyFont="1" applyFill="1" applyBorder="1" applyAlignment="1">
      <alignment horizontal="right" vertical="center"/>
    </xf>
    <xf numFmtId="40" fontId="71" fillId="17" borderId="125" xfId="13" applyNumberFormat="1" applyFont="1" applyFill="1" applyBorder="1" applyAlignment="1">
      <alignment horizontal="right" vertical="center"/>
    </xf>
    <xf numFmtId="38" fontId="71" fillId="2" borderId="98" xfId="13" applyNumberFormat="1" applyFont="1" applyFill="1" applyBorder="1" applyAlignment="1">
      <alignment horizontal="right" vertical="center"/>
    </xf>
    <xf numFmtId="40" fontId="71" fillId="2" borderId="126" xfId="13" applyNumberFormat="1" applyFont="1" applyFill="1" applyBorder="1" applyAlignment="1">
      <alignment horizontal="right" vertical="center"/>
    </xf>
    <xf numFmtId="40" fontId="71" fillId="17" borderId="42" xfId="13" applyNumberFormat="1" applyFont="1" applyFill="1" applyBorder="1" applyAlignment="1">
      <alignment horizontal="right" vertical="center"/>
    </xf>
    <xf numFmtId="40" fontId="71" fillId="2" borderId="43" xfId="13" applyNumberFormat="1" applyFont="1" applyFill="1" applyBorder="1" applyAlignment="1">
      <alignment horizontal="right" vertical="center"/>
    </xf>
    <xf numFmtId="40" fontId="71" fillId="17" borderId="39" xfId="13" applyNumberFormat="1" applyFont="1" applyFill="1" applyBorder="1" applyAlignment="1">
      <alignment horizontal="right" vertical="center"/>
    </xf>
    <xf numFmtId="9" fontId="71" fillId="18" borderId="39" xfId="2" applyFont="1" applyFill="1" applyBorder="1" applyAlignment="1">
      <alignment horizontal="right" vertical="center"/>
    </xf>
    <xf numFmtId="10" fontId="71" fillId="18" borderId="39" xfId="2" applyNumberFormat="1" applyFont="1" applyFill="1" applyBorder="1" applyAlignment="1">
      <alignment horizontal="right" vertical="center"/>
    </xf>
    <xf numFmtId="40" fontId="71" fillId="2" borderId="40" xfId="13" applyNumberFormat="1" applyFont="1" applyFill="1" applyBorder="1" applyAlignment="1">
      <alignment horizontal="right" vertical="center"/>
    </xf>
    <xf numFmtId="40" fontId="71" fillId="17" borderId="124" xfId="13" applyNumberFormat="1" applyFont="1" applyFill="1" applyBorder="1" applyAlignment="1">
      <alignment horizontal="right" vertical="center"/>
    </xf>
    <xf numFmtId="40" fontId="71" fillId="17" borderId="40" xfId="13" applyNumberFormat="1" applyFont="1" applyFill="1" applyBorder="1" applyAlignment="1">
      <alignment horizontal="right" vertical="center"/>
    </xf>
    <xf numFmtId="40" fontId="71" fillId="2" borderId="124" xfId="13" applyNumberFormat="1" applyFont="1" applyFill="1" applyBorder="1" applyAlignment="1">
      <alignment horizontal="right" vertical="center"/>
    </xf>
    <xf numFmtId="40" fontId="71" fillId="17" borderId="43" xfId="13" applyNumberFormat="1" applyFont="1" applyFill="1" applyBorder="1" applyAlignment="1">
      <alignment horizontal="right" vertical="center"/>
    </xf>
    <xf numFmtId="43" fontId="0" fillId="0" borderId="33" xfId="0" applyNumberFormat="1" applyBorder="1"/>
    <xf numFmtId="0" fontId="71" fillId="0" borderId="8" xfId="13" applyFont="1" applyBorder="1" applyAlignment="1">
      <alignment horizontal="center" vertical="center"/>
    </xf>
    <xf numFmtId="43" fontId="70" fillId="19" borderId="108" xfId="4" applyFont="1" applyFill="1" applyBorder="1" applyAlignment="1">
      <alignment vertical="center"/>
    </xf>
    <xf numFmtId="43" fontId="70" fillId="0" borderId="28" xfId="4" applyFont="1" applyBorder="1" applyAlignment="1">
      <alignment vertical="center"/>
    </xf>
    <xf numFmtId="43" fontId="70" fillId="0" borderId="0" xfId="1" applyFont="1" applyAlignment="1">
      <alignment horizontal="center" vertical="center"/>
    </xf>
    <xf numFmtId="43" fontId="70" fillId="0" borderId="28" xfId="14" applyFont="1" applyFill="1" applyBorder="1" applyAlignment="1">
      <alignment horizontal="left" vertical="center"/>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89" xfId="4" applyFont="1" applyBorder="1"/>
    <xf numFmtId="43" fontId="48" fillId="0" borderId="80" xfId="4" applyFont="1" applyBorder="1"/>
    <xf numFmtId="43" fontId="51" fillId="0" borderId="18" xfId="4" applyFont="1" applyBorder="1" applyAlignment="1">
      <alignment horizontal="left"/>
    </xf>
    <xf numFmtId="43" fontId="51" fillId="0" borderId="90" xfId="4" applyFont="1" applyBorder="1" applyAlignment="1">
      <alignment horizontal="left"/>
    </xf>
    <xf numFmtId="43" fontId="48" fillId="0" borderId="95" xfId="4" applyFont="1" applyBorder="1"/>
    <xf numFmtId="43" fontId="48" fillId="0" borderId="74" xfId="4" applyFont="1" applyBorder="1"/>
    <xf numFmtId="43" fontId="48" fillId="0" borderId="88" xfId="4" applyFont="1" applyBorder="1"/>
    <xf numFmtId="43" fontId="48" fillId="0" borderId="77" xfId="4" applyFont="1" applyBorder="1"/>
    <xf numFmtId="0" fontId="51" fillId="0" borderId="106"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3"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3"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3" xfId="3" applyFont="1" applyBorder="1" applyAlignment="1">
      <alignment horizontal="left" vertical="center" wrapText="1"/>
    </xf>
    <xf numFmtId="172" fontId="60" fillId="0" borderId="103" xfId="3" applyNumberFormat="1" applyFont="1" applyBorder="1" applyAlignment="1">
      <alignment horizontal="center" vertical="center" wrapText="1"/>
    </xf>
    <xf numFmtId="172" fontId="60" fillId="0" borderId="101"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8" xfId="3" applyFont="1" applyBorder="1" applyAlignment="1">
      <alignment horizontal="center" vertical="center"/>
    </xf>
    <xf numFmtId="0" fontId="25" fillId="0" borderId="31" xfId="3" applyFont="1" applyBorder="1" applyAlignment="1">
      <alignment horizontal="center" vertical="center"/>
    </xf>
    <xf numFmtId="0" fontId="25" fillId="0" borderId="102" xfId="3" applyFont="1" applyBorder="1" applyAlignment="1">
      <alignment horizontal="center" vertical="center"/>
    </xf>
    <xf numFmtId="0" fontId="22" fillId="0" borderId="103" xfId="3" applyFont="1" applyBorder="1" applyAlignment="1">
      <alignment horizontal="left" vertical="center" indent="2"/>
    </xf>
    <xf numFmtId="0" fontId="22" fillId="0" borderId="100" xfId="3" applyFont="1" applyBorder="1" applyAlignment="1">
      <alignment horizontal="left" vertical="center" indent="2"/>
    </xf>
    <xf numFmtId="0" fontId="25" fillId="7" borderId="103" xfId="3" applyFont="1" applyFill="1" applyBorder="1" applyAlignment="1">
      <alignment horizontal="center" vertical="center" wrapText="1"/>
    </xf>
    <xf numFmtId="0" fontId="25" fillId="7" borderId="101"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17" fontId="69" fillId="10" borderId="103" xfId="17" quotePrefix="1" applyNumberFormat="1" applyFont="1" applyFill="1" applyBorder="1" applyAlignment="1">
      <alignment horizontal="center" vertical="center"/>
    </xf>
    <xf numFmtId="17" fontId="69" fillId="10" borderId="100" xfId="17" quotePrefix="1" applyNumberFormat="1" applyFont="1" applyFill="1" applyBorder="1" applyAlignment="1">
      <alignment horizontal="center" vertical="center"/>
    </xf>
    <xf numFmtId="0" fontId="47" fillId="0" borderId="0" xfId="0" applyFont="1"/>
    <xf numFmtId="4" fontId="47" fillId="0" borderId="108" xfId="0" applyNumberFormat="1" applyFont="1" applyBorder="1" applyAlignment="1">
      <alignment horizontal="right" vertical="center"/>
    </xf>
    <xf numFmtId="4" fontId="47" fillId="0" borderId="86" xfId="0" applyNumberFormat="1" applyFont="1" applyBorder="1" applyAlignment="1">
      <alignment horizontal="right"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3" xfId="0" applyFont="1" applyFill="1" applyBorder="1" applyAlignment="1">
      <alignment horizontal="center" vertical="center"/>
    </xf>
    <xf numFmtId="0" fontId="75" fillId="13" borderId="100" xfId="0" applyFont="1" applyFill="1" applyBorder="1" applyAlignment="1">
      <alignment horizontal="center" vertical="center"/>
    </xf>
    <xf numFmtId="0" fontId="75" fillId="13" borderId="101" xfId="0" applyFont="1" applyFill="1" applyBorder="1" applyAlignment="1">
      <alignment horizontal="center" vertical="center"/>
    </xf>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4" fontId="47" fillId="0" borderId="108" xfId="0" applyNumberFormat="1" applyFont="1" applyBorder="1" applyAlignment="1">
      <alignment horizontal="center" vertical="center"/>
    </xf>
    <xf numFmtId="4" fontId="47" fillId="0" borderId="86" xfId="0" applyNumberFormat="1" applyFont="1" applyBorder="1" applyAlignment="1">
      <alignment horizontal="center" vertical="center"/>
    </xf>
    <xf numFmtId="10" fontId="47" fillId="0" borderId="108" xfId="0" applyNumberFormat="1" applyFont="1" applyBorder="1" applyAlignment="1">
      <alignment horizontal="center" vertical="center"/>
    </xf>
    <xf numFmtId="10" fontId="47" fillId="0" borderId="86" xfId="0" applyNumberFormat="1" applyFont="1" applyBorder="1" applyAlignment="1">
      <alignment horizontal="center" vertical="center"/>
    </xf>
    <xf numFmtId="0" fontId="2" fillId="0" borderId="99" xfId="0" applyFont="1" applyBorder="1" applyAlignment="1">
      <alignment horizontal="center"/>
    </xf>
  </cellXfs>
  <cellStyles count="25">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5" xfId="9" xr:uid="{00000000-0005-0000-0000-000011000000}"/>
    <cellStyle name="Normal 35 2" xfId="10" xr:uid="{00000000-0005-0000-0000-000012000000}"/>
    <cellStyle name="Normal 37" xfId="7" xr:uid="{00000000-0005-0000-0000-000013000000}"/>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33">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numFmt numFmtId="14" formatCode="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double">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1" defaultTableStyle="TableStyleMedium2" defaultPivotStyle="PivotStyleLight16">
    <tableStyle name="Table Style 1" pivot="0" count="0" xr9:uid="{940EBF7E-71C5-44E3-897A-F9DD92F488E8}"/>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himal\OneDrive\Documents\Work\ECON\Omniyat\Payments\Contractor%20Payment%20Cerfificates\KCE\Main%20Contractor%20Payment\2%20January\IPA%2012\Copy%20of%20KCE%20PC%2012%20-%20Jan%202023%20R1(11589).xlsx" TargetMode="External"/><Relationship Id="rId1" Type="http://schemas.openxmlformats.org/officeDocument/2006/relationships/externalLinkPath" Target="/Users/himal/OneDrive/Documents/Work/ECON/Omniyat/Payments/Contractor%20Payment%20Cerfificates/KCE/Main%20Contractor%20Payment/2%20January/IPA%2012/Copy%20of%20KCE%20PC%2012%20-%20Jan%202023%20R1(1158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E-PC 12"/>
      <sheetName val="KCE-PC 12 INT"/>
      <sheetName val="Annexure-1 Est. Contract Price "/>
      <sheetName val="Annexure-2 GENERAL PRELIMS"/>
      <sheetName val="Annexure -3 Material Summary"/>
      <sheetName val="Annexure-4 Labour Cost Summary"/>
      <sheetName val="Annexure-5 Plant Summary"/>
      <sheetName val="Annexure 6-SC Summary "/>
      <sheetName val="Annexure 7-Overhead Summary"/>
      <sheetName val="Annexure 8-Committed Orders"/>
      <sheetName val="Committed Orders"/>
      <sheetName val="Annexure 9-OHP"/>
      <sheetName val="Annexure 10-Retention"/>
      <sheetName val="Annexure 11-Advance Recovery"/>
      <sheetName val="Annexure 12-Previous Payments "/>
      <sheetName val="Staff Cost Summary"/>
      <sheetName val="Civil Staff Cost January 23"/>
      <sheetName val="KMEP -IPC"/>
      <sheetName val="Adjustments"/>
      <sheetName val="Historical Deb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8069DC-0F21-48C0-B7A3-B19065553B78}" name="Table2" displayName="Table2" ref="A5:AE87" totalsRowShown="0" headerRowBorderDxfId="32" tableBorderDxfId="31">
  <autoFilter ref="A5:AE87" xr:uid="{928069DC-0F21-48C0-B7A3-B19065553B78}"/>
  <tableColumns count="31">
    <tableColumn id="1" xr3:uid="{D2372348-3019-4933-B4F2-2D6085511E59}" name="SN No" dataDxfId="30" dataCellStyle="Normal_KB 561-VAL 24 2"/>
    <tableColumn id="2" xr3:uid="{C61B2F56-AB43-4A1E-A7BE-8A7DE0AFB3B6}" name="Item" dataDxfId="29" dataCellStyle="Normal_KB 561-VAL 24 2"/>
    <tableColumn id="3" xr3:uid="{80B6136A-D507-4BDB-9CB3-8A3D05F15535}" name="Scope of work" dataDxfId="28" dataCellStyle="Normal_KB 561-VAL 24 2"/>
    <tableColumn id="4" xr3:uid="{3AA80D4E-C98E-4CA6-9509-69EC9A10CEA4}" name="Subcontract Order Amount" dataDxfId="27" dataCellStyle="Comma 5"/>
    <tableColumn id="5" xr3:uid="{0BDFC676-98AA-4FDC-A2D3-790F27D89B78}" name="Work Approval Reference" dataDxfId="26" dataCellStyle="Comma 5"/>
    <tableColumn id="6" xr3:uid="{5E03C544-A5B2-495D-95E0-DB8EA2E7CC44}" name="Previous Valuation" dataDxfId="25" dataCellStyle="Comma 2 2 4"/>
    <tableColumn id="7" xr3:uid="{9347E283-E95C-47CB-8990-C2FA2CE1711A}" name="This Month" dataDxfId="24" dataCellStyle="Comma 2 2 4"/>
    <tableColumn id="8" xr3:uid="{A58CDA8C-3347-4D87-A25F-CF04AFF5EC50}" name="This Month2" dataDxfId="23" dataCellStyle="Comma 2 2"/>
    <tableColumn id="9" xr3:uid="{A06529A9-1F9F-4BDA-8925-3ABEBEAB7AF5}" name="To Date" dataDxfId="22" dataCellStyle="Comma 2 2"/>
    <tableColumn id="10" xr3:uid="{7E7E04EB-33C9-442D-B206-BA8EB9C8E6FB}" name="To Date3" dataDxfId="21" dataCellStyle="Comma 2 2"/>
    <tableColumn id="11" xr3:uid="{0CBC38A7-442B-4400-BE1F-BF8BDA36521B}" name="BOQ Category" dataDxfId="20" dataCellStyle="Comma 2 2 4"/>
    <tableColumn id="12" xr3:uid="{0B523622-7B8C-47DA-BF7C-EF21FB68FDAB}" name="Materials On Site" dataDxfId="19" dataCellStyle="Comma 2 2 4"/>
    <tableColumn id="13" xr3:uid="{51707D2E-3D83-4560-9200-4E350F3BFB52}" name="Materials On Site4" dataDxfId="18" dataCellStyle="Comma 2 2 4"/>
    <tableColumn id="14" xr3:uid="{5E64A421-BC3A-468A-B6BA-6A4A78978386}" name="Material Off site" dataDxfId="17" dataCellStyle="Comma 2 2 4"/>
    <tableColumn id="15" xr3:uid="{D271EFCB-9FD6-4AF3-AA49-67314D8D322E}" name="Material Off site5" dataDxfId="16" dataCellStyle="Comma 2 2 4"/>
    <tableColumn id="16" xr3:uid="{13444E19-8FAD-4A2C-BB77-53C6AC11E114}" name="Variations_x000a_WFA" dataDxfId="15" dataCellStyle="Comma 2 2 4"/>
    <tableColumn id="17" xr3:uid="{8F882BA7-ADEF-4794-B577-C832807F9FF9}" name="Variations_x000a_WFA6" dataDxfId="14" dataCellStyle="Comma 2 2 4"/>
    <tableColumn id="18" xr3:uid="{CC2C4A6F-4FFF-4AF5-8655-8516F3C14E99}" name="Variations_x000a_KCE" dataDxfId="13" dataCellStyle="Comma 2 2 4"/>
    <tableColumn id="19" xr3:uid="{A2C2F9BC-4C3F-46C4-ACF2-562C9F42CBC0}" name="Variations_x000a_KCE7" dataDxfId="12" dataCellStyle="Comma 2 2 4"/>
    <tableColumn id="20" xr3:uid="{629B7FD6-38EF-420C-865E-4221BE2607B7}" name="Sub-Total" dataDxfId="11" dataCellStyle="Comma 2 2"/>
    <tableColumn id="21" xr3:uid="{DBBABACE-B3C2-4505-B185-1C7FD4DE7CA2}" name="Sub-Total8" dataDxfId="10" dataCellStyle="Comma 2 2"/>
    <tableColumn id="22" xr3:uid="{F19629CA-C974-47D9-A89C-98EFFB9878F3}" name="Advance" dataDxfId="9" dataCellStyle="Normal 10 2 2 2 10 10"/>
    <tableColumn id="23" xr3:uid="{B32BD0B3-2507-4EF7-8A68-30C4FD30994B}" name="Advance9" dataDxfId="8" dataCellStyle="Comma 4"/>
    <tableColumn id="24" xr3:uid="{2E3E24EA-8605-4146-B51F-5600C0CDABFE}" name="Advance % " dataDxfId="7" dataCellStyle="Percent"/>
    <tableColumn id="25" xr3:uid="{390FF537-8C49-4B15-9E5E-7BFA8C04B786}" name="Recovery %" dataDxfId="6" dataCellStyle="Percent"/>
    <tableColumn id="26" xr3:uid="{7C7FE8D5-ADCA-474D-AA52-D59DB08E93F3}" name="Recovery" dataDxfId="5" dataCellStyle="Comma 2 2"/>
    <tableColumn id="27" xr3:uid="{FA364BAE-50E8-41C6-BD32-9E705DD5852B}" name="Recovery10" dataDxfId="4" dataCellStyle="Comma 2 2"/>
    <tableColumn id="28" xr3:uid="{E5512CCF-48B6-4965-ACD8-24DC79E56A47}" name="Balance" dataDxfId="3" dataCellStyle="Comma 2 2"/>
    <tableColumn id="29" xr3:uid="{DA18CB53-1B8C-4F33-AA64-6B82E175FBAE}" name="Balance11" dataDxfId="2" dataCellStyle="Comma 2 2"/>
    <tableColumn id="30" xr3:uid="{57C7FBB9-7E69-4F6E-9A5B-3328E759C1F2}" name="Total Certified " dataDxfId="1" dataCellStyle="Comma 2 2"/>
    <tableColumn id="31" xr3:uid="{AF82461B-9B7B-4A07-954D-D2C0A99C2264}" name="Total Claimed" dataDxfId="0" dataCellStyle="Comma 2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tabSelected="1" view="pageBreakPreview" topLeftCell="D28" zoomScale="70" zoomScaleNormal="70" zoomScaleSheetLayoutView="70" workbookViewId="0">
      <selection activeCell="G49" sqref="G49"/>
    </sheetView>
  </sheetViews>
  <sheetFormatPr defaultColWidth="9.08984375" defaultRowHeight="13"/>
  <cols>
    <col min="1" max="2" width="1.54296875" style="124" customWidth="1"/>
    <col min="3" max="3" width="34.54296875" style="124" customWidth="1"/>
    <col min="4" max="4" width="31.08984375" style="124" customWidth="1"/>
    <col min="5" max="5" width="31.36328125" style="124" customWidth="1"/>
    <col min="6" max="7" width="35" style="124" customWidth="1"/>
    <col min="8" max="9" width="26.6328125" style="123" customWidth="1"/>
    <col min="10" max="10" width="22.6328125" style="123" customWidth="1"/>
    <col min="11" max="11" width="17.36328125" style="123" customWidth="1"/>
    <col min="12" max="12" width="23.90625" style="123" customWidth="1"/>
    <col min="13" max="13" width="29.54296875" style="123" customWidth="1"/>
    <col min="14" max="14" width="20.08984375" style="123" customWidth="1"/>
    <col min="15" max="16384" width="9.08984375" style="124"/>
  </cols>
  <sheetData>
    <row r="1" spans="1:14" ht="35.25" customHeight="1">
      <c r="A1" s="122"/>
      <c r="B1" s="1035" t="s">
        <v>75</v>
      </c>
      <c r="C1" s="1036"/>
      <c r="D1" s="1036"/>
      <c r="E1" s="1036"/>
      <c r="F1" s="1036"/>
      <c r="G1" s="1037"/>
    </row>
    <row r="2" spans="1:14" s="125" customFormat="1" ht="20">
      <c r="B2" s="126" t="s">
        <v>76</v>
      </c>
      <c r="C2" s="127"/>
      <c r="D2" s="127" t="s">
        <v>77</v>
      </c>
      <c r="E2" s="128"/>
      <c r="F2" s="129" t="s">
        <v>78</v>
      </c>
      <c r="G2" s="130" t="s">
        <v>929</v>
      </c>
      <c r="H2" s="131"/>
      <c r="I2" s="131"/>
      <c r="J2" s="131"/>
      <c r="K2" s="131"/>
      <c r="L2" s="131"/>
      <c r="M2" s="131"/>
      <c r="N2" s="131"/>
    </row>
    <row r="3" spans="1:14" s="125" customFormat="1" ht="18.5" thickBot="1">
      <c r="B3" s="132"/>
      <c r="C3" s="133"/>
      <c r="D3" s="133"/>
      <c r="E3" s="133"/>
      <c r="F3" s="134" t="s">
        <v>79</v>
      </c>
      <c r="G3" s="135">
        <f ca="1">TODAY()</f>
        <v>44979</v>
      </c>
      <c r="H3" s="131"/>
      <c r="I3" s="131"/>
      <c r="J3" s="131"/>
      <c r="K3" s="131"/>
      <c r="L3" s="131"/>
      <c r="M3" s="131"/>
      <c r="N3" s="131"/>
    </row>
    <row r="4" spans="1:14" ht="16.5">
      <c r="A4" s="122"/>
      <c r="B4" s="136"/>
      <c r="C4" s="137" t="s">
        <v>80</v>
      </c>
      <c r="D4" s="138" t="s">
        <v>81</v>
      </c>
      <c r="E4" s="139"/>
      <c r="F4" s="139" t="s">
        <v>82</v>
      </c>
      <c r="G4" s="140" t="s">
        <v>930</v>
      </c>
    </row>
    <row r="5" spans="1:14" ht="16.5">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5">
      <c r="A9" s="122"/>
      <c r="B9" s="141"/>
      <c r="C9" s="142"/>
      <c r="D9" s="142"/>
      <c r="E9" s="139"/>
      <c r="F9" s="139" t="s">
        <v>88</v>
      </c>
      <c r="G9" s="146">
        <f>J9</f>
        <v>44963</v>
      </c>
      <c r="J9" s="144">
        <v>44963</v>
      </c>
      <c r="L9" s="144"/>
    </row>
    <row r="10" spans="1:14" ht="16.5">
      <c r="A10" s="122"/>
      <c r="B10" s="141"/>
      <c r="C10" s="145" t="s">
        <v>89</v>
      </c>
      <c r="D10" s="142" t="s">
        <v>0</v>
      </c>
      <c r="E10" s="147"/>
      <c r="F10" s="139" t="s">
        <v>90</v>
      </c>
      <c r="G10" s="143" t="s">
        <v>934</v>
      </c>
      <c r="J10" s="144">
        <f>J9+10</f>
        <v>44973</v>
      </c>
    </row>
    <row r="11" spans="1:14" ht="16.5">
      <c r="A11" s="122"/>
      <c r="B11" s="141"/>
      <c r="C11" s="142"/>
      <c r="D11" s="142" t="s">
        <v>91</v>
      </c>
      <c r="E11" s="139"/>
      <c r="F11" s="139" t="s">
        <v>92</v>
      </c>
      <c r="G11" s="146">
        <f>J9+28-7</f>
        <v>44984</v>
      </c>
      <c r="H11" s="148"/>
      <c r="I11" s="148"/>
      <c r="J11" s="148"/>
    </row>
    <row r="12" spans="1:14" ht="16.5">
      <c r="A12" s="122"/>
      <c r="B12" s="141"/>
      <c r="C12" s="142"/>
      <c r="D12" s="142" t="s">
        <v>86</v>
      </c>
      <c r="E12" s="139"/>
      <c r="F12" s="139" t="s">
        <v>93</v>
      </c>
      <c r="G12" s="140" t="s">
        <v>9</v>
      </c>
      <c r="J12" s="144"/>
      <c r="L12" s="144"/>
    </row>
    <row r="13" spans="1:14" ht="20.399999999999999"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51">
        <f>G34/G23</f>
        <v>0.80482365622625429</v>
      </c>
    </row>
    <row r="17" spans="1:14" ht="18" customHeight="1">
      <c r="A17" s="122"/>
      <c r="B17" s="141"/>
      <c r="C17" s="145"/>
      <c r="D17" s="142"/>
      <c r="E17" s="147"/>
      <c r="F17" s="152" t="s">
        <v>99</v>
      </c>
      <c r="G17" s="151">
        <f>G36/G23</f>
        <v>0.90807625901670952</v>
      </c>
    </row>
    <row r="18" spans="1:14" ht="18" customHeight="1">
      <c r="A18" s="122"/>
      <c r="B18" s="141"/>
      <c r="C18" s="145"/>
      <c r="D18" s="142"/>
      <c r="E18" s="147"/>
      <c r="F18" s="150" t="s">
        <v>100</v>
      </c>
      <c r="G18" s="153"/>
    </row>
    <row r="19" spans="1:14" ht="4.5" customHeight="1" thickBot="1">
      <c r="A19" s="122"/>
      <c r="B19" s="154"/>
      <c r="C19" s="155"/>
      <c r="D19" s="156"/>
      <c r="E19" s="157"/>
      <c r="F19" s="158"/>
      <c r="G19" s="159"/>
    </row>
    <row r="20" spans="1:14" ht="16.5">
      <c r="A20" s="122"/>
      <c r="B20" s="160"/>
      <c r="C20" s="161"/>
      <c r="D20" s="162"/>
      <c r="E20" s="163"/>
      <c r="F20" s="164" t="s">
        <v>101</v>
      </c>
      <c r="G20" s="165" t="s">
        <v>9</v>
      </c>
      <c r="H20" s="123" t="s">
        <v>102</v>
      </c>
    </row>
    <row r="21" spans="1:14" s="166" customFormat="1" ht="16.5">
      <c r="B21" s="167"/>
      <c r="E21" s="168"/>
      <c r="F21" s="169" t="s">
        <v>103</v>
      </c>
      <c r="G21" s="170">
        <v>194951735</v>
      </c>
      <c r="H21" s="148"/>
      <c r="I21" s="171"/>
      <c r="J21" s="123"/>
      <c r="K21" s="123"/>
      <c r="L21" s="123"/>
      <c r="M21" s="123"/>
      <c r="N21" s="171"/>
    </row>
    <row r="22" spans="1:14" s="166" customFormat="1" ht="16.5">
      <c r="B22" s="167"/>
      <c r="E22" s="168"/>
      <c r="F22" s="169" t="s">
        <v>104</v>
      </c>
      <c r="G22" s="170">
        <v>0</v>
      </c>
      <c r="H22" s="171"/>
      <c r="J22" s="123"/>
      <c r="K22" s="123"/>
      <c r="L22" s="123"/>
      <c r="M22" s="123"/>
      <c r="N22" s="171"/>
    </row>
    <row r="23" spans="1:14" s="166" customFormat="1" ht="22.25" customHeight="1" thickBot="1">
      <c r="B23" s="167"/>
      <c r="E23" s="168"/>
      <c r="F23" s="169" t="s">
        <v>105</v>
      </c>
      <c r="G23" s="172">
        <f>SUM(G21:G22)</f>
        <v>194951735</v>
      </c>
      <c r="H23" s="171"/>
      <c r="I23" s="171"/>
      <c r="J23" s="123"/>
      <c r="K23" s="123"/>
      <c r="L23" s="123"/>
      <c r="M23" s="123"/>
      <c r="N23" s="171"/>
    </row>
    <row r="24" spans="1:14" ht="3.75" customHeight="1" thickTop="1" thickBot="1">
      <c r="A24" s="122"/>
      <c r="B24" s="173"/>
      <c r="C24" s="174"/>
      <c r="D24" s="175"/>
      <c r="E24" s="176"/>
      <c r="F24" s="177"/>
      <c r="G24" s="178"/>
    </row>
    <row r="25" spans="1:14" ht="16.5">
      <c r="A25" s="122"/>
      <c r="B25" s="154"/>
      <c r="C25" s="145" t="s">
        <v>106</v>
      </c>
      <c r="D25" s="142"/>
      <c r="E25" s="142"/>
      <c r="F25" s="139"/>
      <c r="G25" s="179">
        <f>E31</f>
        <v>20129274.057265088</v>
      </c>
    </row>
    <row r="26" spans="1:14" ht="16.5">
      <c r="A26" s="122"/>
      <c r="B26" s="154"/>
      <c r="C26" s="180"/>
      <c r="D26" s="142"/>
      <c r="E26" s="181"/>
      <c r="F26" s="139"/>
      <c r="G26" s="182"/>
    </row>
    <row r="27" spans="1:14" ht="24.75" customHeight="1">
      <c r="A27" s="122"/>
      <c r="B27" s="183"/>
      <c r="C27" s="184" t="s">
        <v>107</v>
      </c>
      <c r="D27" s="185"/>
      <c r="E27" s="186">
        <f>'Annexure 11-Advance Recovery'!H17</f>
        <v>23959229.225000001</v>
      </c>
      <c r="F27" s="139"/>
      <c r="G27" s="182"/>
    </row>
    <row r="28" spans="1:14" ht="6" customHeight="1">
      <c r="A28" s="122"/>
      <c r="B28" s="183"/>
      <c r="C28" s="184"/>
      <c r="D28" s="185"/>
      <c r="E28" s="186"/>
      <c r="F28" s="139"/>
      <c r="G28" s="182"/>
      <c r="H28" s="187"/>
      <c r="I28" s="187"/>
    </row>
    <row r="29" spans="1:14" ht="16.5">
      <c r="A29" s="122"/>
      <c r="B29" s="183"/>
      <c r="C29" s="184" t="s">
        <v>832</v>
      </c>
      <c r="D29" s="185"/>
      <c r="E29" s="186">
        <f>'Annexure 11-Advance Recovery'!H24</f>
        <v>3829955.1677349117</v>
      </c>
      <c r="F29" s="139"/>
      <c r="G29" s="182"/>
    </row>
    <row r="30" spans="1:14" s="123" customFormat="1" ht="5.25" customHeight="1">
      <c r="A30" s="122"/>
      <c r="B30" s="183"/>
      <c r="C30" s="184"/>
      <c r="D30" s="185"/>
      <c r="E30" s="188"/>
      <c r="F30" s="139"/>
      <c r="G30" s="182"/>
    </row>
    <row r="31" spans="1:14" s="123" customFormat="1" ht="16.5">
      <c r="A31" s="122"/>
      <c r="B31" s="183"/>
      <c r="C31" s="184" t="s">
        <v>108</v>
      </c>
      <c r="D31" s="185"/>
      <c r="E31" s="186">
        <f>E27-E29</f>
        <v>20129274.057265088</v>
      </c>
      <c r="F31" s="139"/>
      <c r="G31" s="182"/>
    </row>
    <row r="32" spans="1:14" s="123" customFormat="1" ht="9.75" customHeight="1">
      <c r="A32" s="122"/>
      <c r="B32" s="183"/>
      <c r="C32" s="184"/>
      <c r="D32" s="185"/>
      <c r="E32" s="189"/>
      <c r="F32" s="139"/>
      <c r="G32" s="182"/>
      <c r="H32" s="171"/>
      <c r="I32" s="171"/>
    </row>
    <row r="33" spans="1:14" s="123" customFormat="1" ht="20">
      <c r="A33" s="122"/>
      <c r="B33" s="190"/>
      <c r="C33" s="191"/>
      <c r="D33" s="192"/>
      <c r="E33" s="193"/>
      <c r="F33" s="194"/>
      <c r="G33" s="195"/>
      <c r="H33" s="187"/>
      <c r="I33" s="187"/>
    </row>
    <row r="34" spans="1:14" s="123" customFormat="1" ht="18">
      <c r="A34" s="125"/>
      <c r="B34" s="196"/>
      <c r="C34" s="145" t="s">
        <v>109</v>
      </c>
      <c r="D34" s="142"/>
      <c r="E34" s="197"/>
      <c r="F34" s="198"/>
      <c r="G34" s="179">
        <f>'Annexure-1 Est. Contract Price '!I65</f>
        <v>156901768.15035182</v>
      </c>
    </row>
    <row r="35" spans="1:14" s="123" customFormat="1" ht="3" customHeight="1">
      <c r="A35" s="166"/>
      <c r="B35" s="199"/>
      <c r="C35" s="200"/>
      <c r="D35" s="201"/>
      <c r="E35" s="201"/>
      <c r="F35" s="202"/>
      <c r="G35" s="195"/>
    </row>
    <row r="36" spans="1:14" s="123" customFormat="1" ht="20">
      <c r="A36" s="125"/>
      <c r="B36" s="196"/>
      <c r="C36" s="145" t="s">
        <v>110</v>
      </c>
      <c r="D36" s="142"/>
      <c r="E36" s="142"/>
      <c r="F36" s="198"/>
      <c r="G36" s="179">
        <f>G25+G34</f>
        <v>177031042.20761693</v>
      </c>
      <c r="I36" s="734">
        <f>G36-12000000</f>
        <v>165031042.20761693</v>
      </c>
      <c r="M36" s="187"/>
    </row>
    <row r="37" spans="1:14" s="123" customFormat="1" ht="9.65" customHeight="1">
      <c r="A37" s="166"/>
      <c r="B37" s="167"/>
      <c r="C37" s="1038"/>
      <c r="D37" s="1038"/>
      <c r="E37" s="142"/>
      <c r="F37" s="198"/>
      <c r="G37" s="203"/>
      <c r="K37" s="123" t="s">
        <v>881</v>
      </c>
    </row>
    <row r="38" spans="1:14" s="123" customFormat="1" ht="16.5">
      <c r="A38" s="166"/>
      <c r="B38" s="167"/>
      <c r="C38" s="145" t="s">
        <v>833</v>
      </c>
      <c r="D38" s="204"/>
      <c r="E38" s="142"/>
      <c r="F38" s="198"/>
      <c r="G38" s="205">
        <f>-'Annexure 10-Retention'!J20</f>
        <v>-7365784.8009452708</v>
      </c>
    </row>
    <row r="39" spans="1:14" s="123" customFormat="1" ht="9.65" customHeight="1">
      <c r="A39" s="166"/>
      <c r="B39" s="167"/>
      <c r="C39" s="145"/>
      <c r="D39" s="204"/>
      <c r="E39" s="142"/>
      <c r="F39" s="198"/>
      <c r="G39" s="206"/>
    </row>
    <row r="40" spans="1:14" s="123" customFormat="1" ht="20">
      <c r="A40" s="166"/>
      <c r="B40" s="167"/>
      <c r="C40" s="207" t="s">
        <v>111</v>
      </c>
      <c r="D40" s="208"/>
      <c r="E40" s="142"/>
      <c r="F40" s="198"/>
      <c r="G40" s="209">
        <v>0</v>
      </c>
      <c r="M40" s="187"/>
    </row>
    <row r="41" spans="1:14" s="123" customFormat="1" ht="9.65" customHeight="1">
      <c r="A41" s="166"/>
      <c r="B41" s="199"/>
      <c r="C41" s="200"/>
      <c r="D41" s="201"/>
      <c r="E41" s="201"/>
      <c r="F41" s="202"/>
      <c r="G41" s="195"/>
    </row>
    <row r="42" spans="1:14" s="123" customFormat="1" ht="16.5">
      <c r="A42" s="166"/>
      <c r="B42" s="167"/>
      <c r="C42" s="145" t="s">
        <v>112</v>
      </c>
      <c r="D42" s="142"/>
      <c r="E42" s="142"/>
      <c r="F42" s="198"/>
      <c r="G42" s="179">
        <f>+G36+(G38+G40)</f>
        <v>169665257.40667164</v>
      </c>
    </row>
    <row r="43" spans="1:14" s="123" customFormat="1" ht="8" customHeight="1">
      <c r="A43" s="166"/>
      <c r="B43" s="167"/>
      <c r="C43" s="142"/>
      <c r="D43" s="142"/>
      <c r="E43" s="142"/>
      <c r="F43" s="198"/>
      <c r="G43" s="182"/>
    </row>
    <row r="44" spans="1:14" s="123" customFormat="1" ht="16.5">
      <c r="A44" s="166"/>
      <c r="B44" s="167"/>
      <c r="C44" s="145" t="s">
        <v>834</v>
      </c>
      <c r="D44" s="142"/>
      <c r="E44" s="210"/>
      <c r="F44" s="198"/>
      <c r="G44" s="211">
        <f>-'Annexure 12-Previous Payments '!G41</f>
        <v>-145454358.78503764</v>
      </c>
    </row>
    <row r="45" spans="1:14" ht="3.75" customHeight="1" thickBot="1">
      <c r="A45" s="166"/>
      <c r="B45" s="212"/>
      <c r="C45" s="213"/>
      <c r="D45" s="214"/>
      <c r="E45" s="214"/>
      <c r="F45" s="215"/>
      <c r="G45" s="216"/>
    </row>
    <row r="46" spans="1:14" s="166" customFormat="1" ht="44" customHeight="1" thickBot="1">
      <c r="B46" s="217"/>
      <c r="C46" s="1039" t="s">
        <v>113</v>
      </c>
      <c r="D46" s="1039"/>
      <c r="E46" s="1039"/>
      <c r="F46" s="218" t="s">
        <v>9</v>
      </c>
      <c r="G46" s="219">
        <f>+G42+G44</f>
        <v>24210898.621634007</v>
      </c>
      <c r="H46" s="220"/>
      <c r="I46" s="187"/>
      <c r="J46" s="123"/>
      <c r="K46" s="123"/>
      <c r="L46" s="123"/>
      <c r="N46" s="171"/>
    </row>
    <row r="47" spans="1:14" s="166" customFormat="1" ht="30" customHeight="1">
      <c r="B47" s="167"/>
      <c r="C47" s="221" t="s">
        <v>114</v>
      </c>
      <c r="D47" s="185"/>
      <c r="E47" s="222"/>
      <c r="F47" s="223"/>
      <c r="G47" s="224">
        <f>G46*5%</f>
        <v>1210544.9310817004</v>
      </c>
      <c r="H47" s="123"/>
      <c r="I47" s="123"/>
      <c r="J47" s="123"/>
      <c r="K47" s="123"/>
      <c r="L47" s="123"/>
      <c r="N47" s="171"/>
    </row>
    <row r="48" spans="1:14" s="166" customFormat="1" ht="26" customHeight="1" thickBot="1">
      <c r="B48" s="225"/>
      <c r="C48" s="221" t="s">
        <v>115</v>
      </c>
      <c r="D48" s="185"/>
      <c r="E48" s="222"/>
      <c r="F48" s="223"/>
      <c r="G48" s="226">
        <v>0</v>
      </c>
      <c r="H48" s="123"/>
      <c r="I48" s="123"/>
      <c r="J48" s="123"/>
      <c r="K48" s="123"/>
      <c r="L48" s="123"/>
      <c r="N48" s="171"/>
    </row>
    <row r="49" spans="1:14" ht="36" customHeight="1" thickBot="1">
      <c r="A49" s="122"/>
      <c r="B49" s="1040" t="s">
        <v>116</v>
      </c>
      <c r="C49" s="1041"/>
      <c r="D49" s="1041"/>
      <c r="E49" s="1041"/>
      <c r="F49" s="218" t="s">
        <v>9</v>
      </c>
      <c r="G49" s="219">
        <f>G46+G47</f>
        <v>25421443.552715708</v>
      </c>
      <c r="I49" s="898"/>
    </row>
    <row r="50" spans="1:14" ht="10.25" customHeight="1" thickBot="1">
      <c r="A50" s="122"/>
      <c r="B50" s="173"/>
      <c r="C50" s="174"/>
      <c r="D50" s="174"/>
      <c r="E50" s="176"/>
      <c r="F50" s="176"/>
      <c r="G50" s="227"/>
    </row>
    <row r="51" spans="1:14" ht="34.25" customHeight="1">
      <c r="A51" s="122"/>
      <c r="B51" s="1042" t="s">
        <v>117</v>
      </c>
      <c r="C51" s="1043"/>
      <c r="D51" s="1044" t="s">
        <v>935</v>
      </c>
      <c r="E51" s="1045"/>
      <c r="F51" s="1045"/>
      <c r="G51" s="1046"/>
    </row>
    <row r="52" spans="1:14" ht="27.65" customHeight="1">
      <c r="A52" s="122"/>
      <c r="B52" s="1047" t="s">
        <v>118</v>
      </c>
      <c r="C52" s="1048"/>
      <c r="D52" s="1049" t="s">
        <v>119</v>
      </c>
      <c r="E52" s="1050"/>
      <c r="F52" s="1050"/>
      <c r="G52" s="1051"/>
    </row>
    <row r="53" spans="1:14" ht="2.4" customHeight="1" thickBot="1">
      <c r="A53" s="122"/>
      <c r="B53" s="228"/>
      <c r="C53" s="229"/>
      <c r="D53" s="230"/>
      <c r="E53" s="231"/>
      <c r="F53" s="231"/>
      <c r="G53" s="232"/>
    </row>
    <row r="54" spans="1:14" ht="23.5" thickBot="1">
      <c r="A54" s="122"/>
      <c r="B54" s="233"/>
      <c r="C54" s="1052" t="s">
        <v>120</v>
      </c>
      <c r="D54" s="1052"/>
      <c r="E54" s="1052"/>
      <c r="F54" s="1052"/>
      <c r="G54" s="1053"/>
    </row>
    <row r="55" spans="1:14" ht="21" customHeight="1">
      <c r="A55" s="122"/>
      <c r="B55" s="234"/>
      <c r="C55" s="235" t="s">
        <v>121</v>
      </c>
      <c r="D55" s="236"/>
      <c r="E55" s="237"/>
      <c r="F55" s="237"/>
      <c r="G55" s="238"/>
    </row>
    <row r="56" spans="1:14" ht="21" customHeight="1">
      <c r="A56" s="122"/>
      <c r="B56" s="234"/>
      <c r="C56" s="235"/>
      <c r="D56" s="236"/>
      <c r="E56" s="237"/>
      <c r="F56" s="237"/>
      <c r="G56" s="238"/>
    </row>
    <row r="57" spans="1:14" s="125" customFormat="1" ht="68" customHeight="1" thickBot="1">
      <c r="B57" s="239"/>
      <c r="C57" s="240"/>
      <c r="D57" s="241"/>
      <c r="E57" s="242"/>
      <c r="F57" s="241"/>
      <c r="G57" s="243"/>
      <c r="H57" s="123"/>
      <c r="I57" s="123"/>
      <c r="J57" s="123"/>
      <c r="K57" s="123"/>
      <c r="L57" s="123"/>
      <c r="N57" s="131"/>
    </row>
    <row r="58" spans="1:14" s="244" customFormat="1" ht="22.5" customHeight="1">
      <c r="B58" s="245"/>
      <c r="C58" s="246" t="s">
        <v>122</v>
      </c>
      <c r="D58" s="247"/>
      <c r="E58" s="242"/>
      <c r="F58" s="248"/>
      <c r="G58" s="249" t="s">
        <v>123</v>
      </c>
      <c r="H58" s="123"/>
      <c r="I58" s="123"/>
      <c r="J58" s="123"/>
      <c r="K58" s="123"/>
      <c r="L58" s="123"/>
      <c r="N58" s="250"/>
    </row>
    <row r="59" spans="1:14" s="125" customFormat="1" ht="19.5" customHeight="1" thickBot="1">
      <c r="B59" s="245"/>
      <c r="C59" s="247"/>
      <c r="D59" s="247"/>
      <c r="E59" s="242"/>
      <c r="F59" s="1054"/>
      <c r="G59" s="1055"/>
      <c r="H59" s="123"/>
      <c r="I59" s="123"/>
      <c r="J59" s="123"/>
      <c r="K59" s="123"/>
      <c r="L59" s="123"/>
      <c r="N59" s="131"/>
    </row>
    <row r="60" spans="1:14" s="125" customFormat="1" ht="22.5" customHeight="1" thickBot="1">
      <c r="B60" s="233"/>
      <c r="C60" s="1052" t="s">
        <v>124</v>
      </c>
      <c r="D60" s="1052"/>
      <c r="E60" s="1052"/>
      <c r="F60" s="1052"/>
      <c r="G60" s="1053"/>
      <c r="H60" s="123"/>
      <c r="I60" s="123"/>
      <c r="J60" s="123"/>
      <c r="K60" s="123"/>
      <c r="L60" s="123"/>
      <c r="N60" s="131"/>
    </row>
    <row r="61" spans="1:14" s="125" customFormat="1" ht="22.5" customHeight="1">
      <c r="B61" s="239"/>
      <c r="C61" s="251" t="s">
        <v>125</v>
      </c>
      <c r="D61" s="252"/>
      <c r="E61" s="253"/>
      <c r="F61" s="251"/>
      <c r="G61" s="254"/>
      <c r="H61" s="123"/>
      <c r="I61" s="123"/>
      <c r="J61" s="123"/>
      <c r="K61" s="123"/>
      <c r="L61" s="123"/>
      <c r="N61" s="131"/>
    </row>
    <row r="62" spans="1:14" s="125" customFormat="1" ht="78.650000000000006" customHeight="1" thickBot="1">
      <c r="B62" s="239"/>
      <c r="C62" s="240"/>
      <c r="D62" s="241"/>
      <c r="E62" s="255"/>
      <c r="F62" s="241"/>
      <c r="G62" s="256"/>
      <c r="H62" s="123"/>
      <c r="I62" s="123"/>
      <c r="J62" s="123"/>
      <c r="K62" s="123"/>
      <c r="L62" s="123"/>
      <c r="N62" s="131"/>
    </row>
    <row r="63" spans="1:14" s="125" customFormat="1" ht="21.75" customHeight="1">
      <c r="B63" s="239"/>
      <c r="C63" s="235" t="s">
        <v>126</v>
      </c>
      <c r="D63" s="241"/>
      <c r="E63" s="255"/>
      <c r="F63" s="257"/>
      <c r="G63" s="249" t="s">
        <v>123</v>
      </c>
      <c r="H63" s="123"/>
      <c r="I63" s="123"/>
      <c r="J63" s="123"/>
      <c r="K63" s="123"/>
      <c r="L63" s="123"/>
      <c r="M63" s="123"/>
      <c r="N63" s="131"/>
    </row>
    <row r="64" spans="1:14" s="125" customFormat="1" ht="21.75" customHeight="1">
      <c r="B64" s="282"/>
      <c r="C64" s="235"/>
      <c r="D64" s="241"/>
      <c r="E64" s="255"/>
      <c r="F64" s="257"/>
      <c r="G64" s="884"/>
      <c r="H64" s="123"/>
      <c r="I64" s="123"/>
      <c r="J64" s="123"/>
      <c r="K64" s="123"/>
      <c r="L64" s="123"/>
      <c r="M64" s="123"/>
      <c r="N64" s="131"/>
    </row>
    <row r="65" spans="1:14" s="125" customFormat="1" ht="12.75" customHeight="1" thickBot="1">
      <c r="B65" s="258"/>
      <c r="C65" s="259"/>
      <c r="D65" s="240"/>
      <c r="E65" s="259"/>
      <c r="F65" s="259"/>
      <c r="G65" s="260"/>
      <c r="H65" s="123"/>
      <c r="I65" s="123"/>
      <c r="J65" s="123"/>
      <c r="K65" s="123"/>
      <c r="L65" s="123"/>
      <c r="M65" s="123"/>
      <c r="N65" s="131"/>
    </row>
    <row r="66" spans="1:14" ht="14">
      <c r="A66" s="122"/>
      <c r="B66" s="122"/>
    </row>
    <row r="67" spans="1:14" ht="14">
      <c r="A67" s="122"/>
      <c r="B67" s="122"/>
    </row>
    <row r="68" spans="1:14" ht="14">
      <c r="A68" s="261"/>
      <c r="B68" s="261"/>
    </row>
    <row r="69" spans="1:14" ht="14">
      <c r="A69" s="122"/>
      <c r="B69" s="122"/>
    </row>
    <row r="70" spans="1:14" ht="14">
      <c r="A70" s="122"/>
      <c r="B70" s="122"/>
    </row>
    <row r="71" spans="1:14" ht="14">
      <c r="A71" s="122"/>
      <c r="B71" s="122"/>
    </row>
    <row r="72" spans="1:14" ht="14">
      <c r="A72" s="122"/>
      <c r="B72" s="122"/>
    </row>
    <row r="73" spans="1:14" ht="14">
      <c r="A73" s="122"/>
      <c r="B73" s="122"/>
    </row>
    <row r="74" spans="1:14" ht="14">
      <c r="A74" s="122"/>
      <c r="B74" s="122"/>
    </row>
    <row r="75" spans="1:14" ht="14">
      <c r="A75" s="122"/>
      <c r="B75" s="122"/>
    </row>
    <row r="76" spans="1:14" ht="14">
      <c r="A76" s="122"/>
      <c r="B76" s="122"/>
    </row>
    <row r="77" spans="1:14" ht="14">
      <c r="A77" s="122"/>
      <c r="B77" s="122"/>
    </row>
    <row r="78" spans="1:14" ht="14">
      <c r="A78" s="122"/>
      <c r="B78" s="122"/>
    </row>
  </sheetData>
  <mergeCells count="11">
    <mergeCell ref="B52:C52"/>
    <mergeCell ref="D52:G52"/>
    <mergeCell ref="C54:G54"/>
    <mergeCell ref="F59:G59"/>
    <mergeCell ref="C60:G60"/>
    <mergeCell ref="B1:G1"/>
    <mergeCell ref="C37:D37"/>
    <mergeCell ref="C46:E46"/>
    <mergeCell ref="B49:E49"/>
    <mergeCell ref="B51:C51"/>
    <mergeCell ref="D51:G51"/>
  </mergeCells>
  <pageMargins left="0.5" right="0.4" top="0.75" bottom="0.4" header="0.3" footer="0.3"/>
  <pageSetup scale="56"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5"/>
  <sheetViews>
    <sheetView view="pageBreakPreview" topLeftCell="A10" zoomScale="90" zoomScaleNormal="100" zoomScaleSheetLayoutView="90" workbookViewId="0">
      <selection activeCell="E36" sqref="E36"/>
    </sheetView>
  </sheetViews>
  <sheetFormatPr defaultColWidth="8.90625" defaultRowHeight="14.5"/>
  <cols>
    <col min="1" max="1" width="9.6328125" style="311" customWidth="1"/>
    <col min="2" max="2" width="22.453125" style="311" customWidth="1"/>
    <col min="3" max="3" width="14.90625" style="311" customWidth="1"/>
    <col min="4" max="4" width="15.54296875" style="311" customWidth="1"/>
    <col min="5" max="5" width="15.54296875" style="312" customWidth="1"/>
    <col min="6" max="6" width="19.453125" style="312" customWidth="1"/>
    <col min="7" max="7" width="13.6328125" style="311" customWidth="1"/>
    <col min="8" max="8" width="8.90625" style="311"/>
    <col min="9" max="9" width="20.36328125" style="313" customWidth="1"/>
    <col min="10" max="10" width="19.36328125" style="311" customWidth="1"/>
    <col min="11" max="11" width="12.54296875" style="311" bestFit="1" customWidth="1"/>
    <col min="12" max="16384" width="8.90625" style="311"/>
  </cols>
  <sheetData>
    <row r="1" spans="1:9" ht="18">
      <c r="A1" s="1081" t="s">
        <v>0</v>
      </c>
      <c r="B1" s="1081"/>
      <c r="C1" s="1081"/>
      <c r="D1" s="1081"/>
      <c r="E1" s="1081"/>
      <c r="F1" s="1081"/>
    </row>
    <row r="2" spans="1:9" ht="16" thickBot="1">
      <c r="A2" s="1080" t="s">
        <v>928</v>
      </c>
      <c r="B2" s="1080"/>
      <c r="C2" s="1080"/>
      <c r="D2" s="1080"/>
      <c r="E2" s="1080"/>
      <c r="F2" s="1080"/>
    </row>
    <row r="3" spans="1:9">
      <c r="A3" s="285"/>
      <c r="B3" s="286"/>
      <c r="C3" s="286"/>
      <c r="D3" s="287"/>
      <c r="E3" s="346"/>
      <c r="F3" s="288"/>
    </row>
    <row r="4" spans="1:9">
      <c r="A4" s="314" t="s">
        <v>137</v>
      </c>
      <c r="B4" t="s">
        <v>138</v>
      </c>
      <c r="E4" s="315" t="s">
        <v>3</v>
      </c>
      <c r="F4" s="316">
        <f ca="1">'KCE-PC 12 INT'!G3</f>
        <v>44979</v>
      </c>
    </row>
    <row r="5" spans="1:9">
      <c r="A5" s="314" t="s">
        <v>156</v>
      </c>
      <c r="B5" t="s">
        <v>95</v>
      </c>
      <c r="E5" s="315" t="s">
        <v>5</v>
      </c>
      <c r="F5" s="317" t="str">
        <f>+'Annexure-4 Labour Cost Summary'!H5</f>
        <v>KCE-12</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20" customHeight="1">
      <c r="A9" s="351" t="s">
        <v>157</v>
      </c>
      <c r="B9" s="1085" t="s">
        <v>803</v>
      </c>
      <c r="C9" s="1086"/>
      <c r="D9" s="864" t="s">
        <v>158</v>
      </c>
      <c r="E9" s="865" t="s">
        <v>143</v>
      </c>
      <c r="F9" s="352" t="s">
        <v>144</v>
      </c>
      <c r="I9" s="354"/>
    </row>
    <row r="10" spans="1:9">
      <c r="A10" s="355" t="s">
        <v>805</v>
      </c>
      <c r="B10" s="1093" t="s">
        <v>841</v>
      </c>
      <c r="C10" s="1094"/>
      <c r="D10" s="356">
        <v>371666.73000000004</v>
      </c>
      <c r="E10" s="863">
        <f>F10-D10</f>
        <v>-137000.00000000003</v>
      </c>
      <c r="F10" s="357">
        <f>+'Committed Orders'!H5</f>
        <v>234666.73</v>
      </c>
    </row>
    <row r="11" spans="1:9">
      <c r="A11" s="355" t="s">
        <v>806</v>
      </c>
      <c r="B11" s="1095" t="s">
        <v>175</v>
      </c>
      <c r="C11" s="1096"/>
      <c r="D11" s="356">
        <v>473591.41000000003</v>
      </c>
      <c r="E11" s="863">
        <f>F11-D11</f>
        <v>232462.86</v>
      </c>
      <c r="F11" s="866">
        <f>+'Committed Orders'!H6</f>
        <v>706054.27</v>
      </c>
    </row>
    <row r="12" spans="1:9">
      <c r="A12" s="355" t="s">
        <v>807</v>
      </c>
      <c r="B12" s="1095" t="s">
        <v>43</v>
      </c>
      <c r="C12" s="1096"/>
      <c r="D12" s="358">
        <v>16500</v>
      </c>
      <c r="E12" s="863">
        <f>F12-D12</f>
        <v>-10750</v>
      </c>
      <c r="F12" s="326">
        <f>+'Committed Orders'!H7</f>
        <v>5750</v>
      </c>
    </row>
    <row r="13" spans="1:9">
      <c r="A13" s="359" t="s">
        <v>808</v>
      </c>
      <c r="B13" s="1089" t="s">
        <v>254</v>
      </c>
      <c r="C13" s="1090"/>
      <c r="D13" s="360">
        <v>814586.1</v>
      </c>
      <c r="E13" s="856">
        <f>F13-D13</f>
        <v>12296.310000000056</v>
      </c>
      <c r="F13" s="332">
        <f>+'Committed Orders'!H8</f>
        <v>826882.41</v>
      </c>
    </row>
    <row r="14" spans="1:9" ht="15" thickBot="1">
      <c r="A14" s="361"/>
      <c r="B14" s="1091" t="s">
        <v>155</v>
      </c>
      <c r="C14" s="1092"/>
      <c r="D14" s="859">
        <f>SUM(D10:D13)</f>
        <v>1676344.2400000002</v>
      </c>
      <c r="E14" s="859">
        <f>SUM(E10:E13)</f>
        <v>97009.170000000013</v>
      </c>
      <c r="F14" s="860">
        <f>SUM(F10:F13)</f>
        <v>1773353.4100000001</v>
      </c>
    </row>
    <row r="34" spans="5:6">
      <c r="E34" s="312">
        <v>97009.168999999994</v>
      </c>
      <c r="F34" s="312">
        <v>1773353.4099999997</v>
      </c>
    </row>
    <row r="35" spans="5:6">
      <c r="E35" s="312">
        <f>E14-E34</f>
        <v>1.0000000183936208E-3</v>
      </c>
      <c r="F35" s="312">
        <f>F14-F34</f>
        <v>0</v>
      </c>
    </row>
  </sheetData>
  <mergeCells count="8">
    <mergeCell ref="B13:C13"/>
    <mergeCell ref="B14:C14"/>
    <mergeCell ref="A1:F1"/>
    <mergeCell ref="A2:F2"/>
    <mergeCell ref="B9:C9"/>
    <mergeCell ref="B10:C10"/>
    <mergeCell ref="B11:C11"/>
    <mergeCell ref="B12:C12"/>
  </mergeCells>
  <pageMargins left="0.7" right="0.7" top="0.75" bottom="0.75" header="0.3" footer="0.3"/>
  <pageSetup scale="92"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74"/>
  <sheetViews>
    <sheetView view="pageBreakPreview" topLeftCell="A46" zoomScale="70" zoomScaleNormal="70" zoomScaleSheetLayoutView="70" workbookViewId="0">
      <selection activeCell="B6" sqref="B6"/>
    </sheetView>
  </sheetViews>
  <sheetFormatPr defaultColWidth="9.08984375" defaultRowHeight="14.5"/>
  <cols>
    <col min="1" max="1" width="8.6328125" style="911" customWidth="1"/>
    <col min="2" max="2" width="91.6328125" style="530" customWidth="1"/>
    <col min="3" max="3" width="26" style="530" customWidth="1"/>
    <col min="4" max="4" width="32.6328125" style="531" customWidth="1"/>
    <col min="5" max="5" width="43.54296875" style="530" customWidth="1"/>
    <col min="6" max="6" width="9.08984375" style="530"/>
    <col min="7" max="7" width="29.54296875" style="530" customWidth="1"/>
    <col min="8" max="8" width="18.54296875" style="530" bestFit="1" customWidth="1"/>
    <col min="9" max="9" width="9.08984375" style="530"/>
    <col min="10" max="10" width="17.36328125" style="530" customWidth="1"/>
    <col min="11" max="11" width="9.08984375" style="530"/>
    <col min="12" max="12" width="18.6328125" style="530" customWidth="1"/>
    <col min="13" max="252" width="9.08984375" style="530"/>
    <col min="253" max="253" width="11.6328125" style="530" customWidth="1"/>
    <col min="254" max="254" width="60.6328125" style="530" customWidth="1"/>
    <col min="255" max="255" width="20.6328125" style="530" customWidth="1"/>
    <col min="256" max="256" width="13.6328125" style="530" customWidth="1"/>
    <col min="257" max="508" width="9.08984375" style="530"/>
    <col min="509" max="509" width="11.6328125" style="530" customWidth="1"/>
    <col min="510" max="510" width="60.6328125" style="530" customWidth="1"/>
    <col min="511" max="511" width="20.6328125" style="530" customWidth="1"/>
    <col min="512" max="512" width="13.6328125" style="530" customWidth="1"/>
    <col min="513" max="764" width="9.08984375" style="530"/>
    <col min="765" max="765" width="11.6328125" style="530" customWidth="1"/>
    <col min="766" max="766" width="60.6328125" style="530" customWidth="1"/>
    <col min="767" max="767" width="20.6328125" style="530" customWidth="1"/>
    <col min="768" max="768" width="13.6328125" style="530" customWidth="1"/>
    <col min="769" max="1020" width="9.08984375" style="530"/>
    <col min="1021" max="1021" width="11.6328125" style="530" customWidth="1"/>
    <col min="1022" max="1022" width="60.6328125" style="530" customWidth="1"/>
    <col min="1023" max="1023" width="20.6328125" style="530" customWidth="1"/>
    <col min="1024" max="1024" width="13.6328125" style="530" customWidth="1"/>
    <col min="1025" max="1276" width="9.08984375" style="530"/>
    <col min="1277" max="1277" width="11.6328125" style="530" customWidth="1"/>
    <col min="1278" max="1278" width="60.6328125" style="530" customWidth="1"/>
    <col min="1279" max="1279" width="20.6328125" style="530" customWidth="1"/>
    <col min="1280" max="1280" width="13.6328125" style="530" customWidth="1"/>
    <col min="1281" max="1532" width="9.08984375" style="530"/>
    <col min="1533" max="1533" width="11.6328125" style="530" customWidth="1"/>
    <col min="1534" max="1534" width="60.6328125" style="530" customWidth="1"/>
    <col min="1535" max="1535" width="20.6328125" style="530" customWidth="1"/>
    <col min="1536" max="1536" width="13.6328125" style="530" customWidth="1"/>
    <col min="1537" max="1788" width="9.08984375" style="530"/>
    <col min="1789" max="1789" width="11.6328125" style="530" customWidth="1"/>
    <col min="1790" max="1790" width="60.6328125" style="530" customWidth="1"/>
    <col min="1791" max="1791" width="20.6328125" style="530" customWidth="1"/>
    <col min="1792" max="1792" width="13.6328125" style="530" customWidth="1"/>
    <col min="1793" max="2044" width="9.08984375" style="530"/>
    <col min="2045" max="2045" width="11.6328125" style="530" customWidth="1"/>
    <col min="2046" max="2046" width="60.6328125" style="530" customWidth="1"/>
    <col min="2047" max="2047" width="20.6328125" style="530" customWidth="1"/>
    <col min="2048" max="2048" width="13.6328125" style="530" customWidth="1"/>
    <col min="2049" max="2300" width="9.08984375" style="530"/>
    <col min="2301" max="2301" width="11.6328125" style="530" customWidth="1"/>
    <col min="2302" max="2302" width="60.6328125" style="530" customWidth="1"/>
    <col min="2303" max="2303" width="20.6328125" style="530" customWidth="1"/>
    <col min="2304" max="2304" width="13.6328125" style="530" customWidth="1"/>
    <col min="2305" max="2556" width="9.08984375" style="530"/>
    <col min="2557" max="2557" width="11.6328125" style="530" customWidth="1"/>
    <col min="2558" max="2558" width="60.6328125" style="530" customWidth="1"/>
    <col min="2559" max="2559" width="20.6328125" style="530" customWidth="1"/>
    <col min="2560" max="2560" width="13.6328125" style="530" customWidth="1"/>
    <col min="2561" max="2812" width="9.08984375" style="530"/>
    <col min="2813" max="2813" width="11.6328125" style="530" customWidth="1"/>
    <col min="2814" max="2814" width="60.6328125" style="530" customWidth="1"/>
    <col min="2815" max="2815" width="20.6328125" style="530" customWidth="1"/>
    <col min="2816" max="2816" width="13.6328125" style="530" customWidth="1"/>
    <col min="2817" max="3068" width="9.08984375" style="530"/>
    <col min="3069" max="3069" width="11.6328125" style="530" customWidth="1"/>
    <col min="3070" max="3070" width="60.6328125" style="530" customWidth="1"/>
    <col min="3071" max="3071" width="20.6328125" style="530" customWidth="1"/>
    <col min="3072" max="3072" width="13.6328125" style="530" customWidth="1"/>
    <col min="3073" max="3324" width="9.08984375" style="530"/>
    <col min="3325" max="3325" width="11.6328125" style="530" customWidth="1"/>
    <col min="3326" max="3326" width="60.6328125" style="530" customWidth="1"/>
    <col min="3327" max="3327" width="20.6328125" style="530" customWidth="1"/>
    <col min="3328" max="3328" width="13.6328125" style="530" customWidth="1"/>
    <col min="3329" max="3580" width="9.08984375" style="530"/>
    <col min="3581" max="3581" width="11.6328125" style="530" customWidth="1"/>
    <col min="3582" max="3582" width="60.6328125" style="530" customWidth="1"/>
    <col min="3583" max="3583" width="20.6328125" style="530" customWidth="1"/>
    <col min="3584" max="3584" width="13.6328125" style="530" customWidth="1"/>
    <col min="3585" max="3836" width="9.08984375" style="530"/>
    <col min="3837" max="3837" width="11.6328125" style="530" customWidth="1"/>
    <col min="3838" max="3838" width="60.6328125" style="530" customWidth="1"/>
    <col min="3839" max="3839" width="20.6328125" style="530" customWidth="1"/>
    <col min="3840" max="3840" width="13.6328125" style="530" customWidth="1"/>
    <col min="3841" max="4092" width="9.08984375" style="530"/>
    <col min="4093" max="4093" width="11.6328125" style="530" customWidth="1"/>
    <col min="4094" max="4094" width="60.6328125" style="530" customWidth="1"/>
    <col min="4095" max="4095" width="20.6328125" style="530" customWidth="1"/>
    <col min="4096" max="4096" width="13.6328125" style="530" customWidth="1"/>
    <col min="4097" max="4348" width="9.08984375" style="530"/>
    <col min="4349" max="4349" width="11.6328125" style="530" customWidth="1"/>
    <col min="4350" max="4350" width="60.6328125" style="530" customWidth="1"/>
    <col min="4351" max="4351" width="20.6328125" style="530" customWidth="1"/>
    <col min="4352" max="4352" width="13.6328125" style="530" customWidth="1"/>
    <col min="4353" max="4604" width="9.08984375" style="530"/>
    <col min="4605" max="4605" width="11.6328125" style="530" customWidth="1"/>
    <col min="4606" max="4606" width="60.6328125" style="530" customWidth="1"/>
    <col min="4607" max="4607" width="20.6328125" style="530" customWidth="1"/>
    <col min="4608" max="4608" width="13.6328125" style="530" customWidth="1"/>
    <col min="4609" max="4860" width="9.08984375" style="530"/>
    <col min="4861" max="4861" width="11.6328125" style="530" customWidth="1"/>
    <col min="4862" max="4862" width="60.6328125" style="530" customWidth="1"/>
    <col min="4863" max="4863" width="20.6328125" style="530" customWidth="1"/>
    <col min="4864" max="4864" width="13.6328125" style="530" customWidth="1"/>
    <col min="4865" max="5116" width="9.08984375" style="530"/>
    <col min="5117" max="5117" width="11.6328125" style="530" customWidth="1"/>
    <col min="5118" max="5118" width="60.6328125" style="530" customWidth="1"/>
    <col min="5119" max="5119" width="20.6328125" style="530" customWidth="1"/>
    <col min="5120" max="5120" width="13.6328125" style="530" customWidth="1"/>
    <col min="5121" max="5372" width="9.08984375" style="530"/>
    <col min="5373" max="5373" width="11.6328125" style="530" customWidth="1"/>
    <col min="5374" max="5374" width="60.6328125" style="530" customWidth="1"/>
    <col min="5375" max="5375" width="20.6328125" style="530" customWidth="1"/>
    <col min="5376" max="5376" width="13.6328125" style="530" customWidth="1"/>
    <col min="5377" max="5628" width="9.08984375" style="530"/>
    <col min="5629" max="5629" width="11.6328125" style="530" customWidth="1"/>
    <col min="5630" max="5630" width="60.6328125" style="530" customWidth="1"/>
    <col min="5631" max="5631" width="20.6328125" style="530" customWidth="1"/>
    <col min="5632" max="5632" width="13.6328125" style="530" customWidth="1"/>
    <col min="5633" max="5884" width="9.08984375" style="530"/>
    <col min="5885" max="5885" width="11.6328125" style="530" customWidth="1"/>
    <col min="5886" max="5886" width="60.6328125" style="530" customWidth="1"/>
    <col min="5887" max="5887" width="20.6328125" style="530" customWidth="1"/>
    <col min="5888" max="5888" width="13.6328125" style="530" customWidth="1"/>
    <col min="5889" max="6140" width="9.08984375" style="530"/>
    <col min="6141" max="6141" width="11.6328125" style="530" customWidth="1"/>
    <col min="6142" max="6142" width="60.6328125" style="530" customWidth="1"/>
    <col min="6143" max="6143" width="20.6328125" style="530" customWidth="1"/>
    <col min="6144" max="6144" width="13.6328125" style="530" customWidth="1"/>
    <col min="6145" max="6396" width="9.08984375" style="530"/>
    <col min="6397" max="6397" width="11.6328125" style="530" customWidth="1"/>
    <col min="6398" max="6398" width="60.6328125" style="530" customWidth="1"/>
    <col min="6399" max="6399" width="20.6328125" style="530" customWidth="1"/>
    <col min="6400" max="6400" width="13.6328125" style="530" customWidth="1"/>
    <col min="6401" max="6652" width="9.08984375" style="530"/>
    <col min="6653" max="6653" width="11.6328125" style="530" customWidth="1"/>
    <col min="6654" max="6654" width="60.6328125" style="530" customWidth="1"/>
    <col min="6655" max="6655" width="20.6328125" style="530" customWidth="1"/>
    <col min="6656" max="6656" width="13.6328125" style="530" customWidth="1"/>
    <col min="6657" max="6908" width="9.08984375" style="530"/>
    <col min="6909" max="6909" width="11.6328125" style="530" customWidth="1"/>
    <col min="6910" max="6910" width="60.6328125" style="530" customWidth="1"/>
    <col min="6911" max="6911" width="20.6328125" style="530" customWidth="1"/>
    <col min="6912" max="6912" width="13.6328125" style="530" customWidth="1"/>
    <col min="6913" max="7164" width="9.08984375" style="530"/>
    <col min="7165" max="7165" width="11.6328125" style="530" customWidth="1"/>
    <col min="7166" max="7166" width="60.6328125" style="530" customWidth="1"/>
    <col min="7167" max="7167" width="20.6328125" style="530" customWidth="1"/>
    <col min="7168" max="7168" width="13.6328125" style="530" customWidth="1"/>
    <col min="7169" max="7420" width="9.08984375" style="530"/>
    <col min="7421" max="7421" width="11.6328125" style="530" customWidth="1"/>
    <col min="7422" max="7422" width="60.6328125" style="530" customWidth="1"/>
    <col min="7423" max="7423" width="20.6328125" style="530" customWidth="1"/>
    <col min="7424" max="7424" width="13.6328125" style="530" customWidth="1"/>
    <col min="7425" max="7676" width="9.08984375" style="530"/>
    <col min="7677" max="7677" width="11.6328125" style="530" customWidth="1"/>
    <col min="7678" max="7678" width="60.6328125" style="530" customWidth="1"/>
    <col min="7679" max="7679" width="20.6328125" style="530" customWidth="1"/>
    <col min="7680" max="7680" width="13.6328125" style="530" customWidth="1"/>
    <col min="7681" max="7932" width="9.08984375" style="530"/>
    <col min="7933" max="7933" width="11.6328125" style="530" customWidth="1"/>
    <col min="7934" max="7934" width="60.6328125" style="530" customWidth="1"/>
    <col min="7935" max="7935" width="20.6328125" style="530" customWidth="1"/>
    <col min="7936" max="7936" width="13.6328125" style="530" customWidth="1"/>
    <col min="7937" max="8188" width="9.08984375" style="530"/>
    <col min="8189" max="8189" width="11.6328125" style="530" customWidth="1"/>
    <col min="8190" max="8190" width="60.6328125" style="530" customWidth="1"/>
    <col min="8191" max="8191" width="20.6328125" style="530" customWidth="1"/>
    <col min="8192" max="8192" width="13.6328125" style="530" customWidth="1"/>
    <col min="8193" max="8444" width="9.08984375" style="530"/>
    <col min="8445" max="8445" width="11.6328125" style="530" customWidth="1"/>
    <col min="8446" max="8446" width="60.6328125" style="530" customWidth="1"/>
    <col min="8447" max="8447" width="20.6328125" style="530" customWidth="1"/>
    <col min="8448" max="8448" width="13.6328125" style="530" customWidth="1"/>
    <col min="8449" max="8700" width="9.08984375" style="530"/>
    <col min="8701" max="8701" width="11.6328125" style="530" customWidth="1"/>
    <col min="8702" max="8702" width="60.6328125" style="530" customWidth="1"/>
    <col min="8703" max="8703" width="20.6328125" style="530" customWidth="1"/>
    <col min="8704" max="8704" width="13.6328125" style="530" customWidth="1"/>
    <col min="8705" max="8956" width="9.08984375" style="530"/>
    <col min="8957" max="8957" width="11.6328125" style="530" customWidth="1"/>
    <col min="8958" max="8958" width="60.6328125" style="530" customWidth="1"/>
    <col min="8959" max="8959" width="20.6328125" style="530" customWidth="1"/>
    <col min="8960" max="8960" width="13.6328125" style="530" customWidth="1"/>
    <col min="8961" max="9212" width="9.08984375" style="530"/>
    <col min="9213" max="9213" width="11.6328125" style="530" customWidth="1"/>
    <col min="9214" max="9214" width="60.6328125" style="530" customWidth="1"/>
    <col min="9215" max="9215" width="20.6328125" style="530" customWidth="1"/>
    <col min="9216" max="9216" width="13.6328125" style="530" customWidth="1"/>
    <col min="9217" max="9468" width="9.08984375" style="530"/>
    <col min="9469" max="9469" width="11.6328125" style="530" customWidth="1"/>
    <col min="9470" max="9470" width="60.6328125" style="530" customWidth="1"/>
    <col min="9471" max="9471" width="20.6328125" style="530" customWidth="1"/>
    <col min="9472" max="9472" width="13.6328125" style="530" customWidth="1"/>
    <col min="9473" max="9724" width="9.08984375" style="530"/>
    <col min="9725" max="9725" width="11.6328125" style="530" customWidth="1"/>
    <col min="9726" max="9726" width="60.6328125" style="530" customWidth="1"/>
    <col min="9727" max="9727" width="20.6328125" style="530" customWidth="1"/>
    <col min="9728" max="9728" width="13.6328125" style="530" customWidth="1"/>
    <col min="9729" max="9980" width="9.08984375" style="530"/>
    <col min="9981" max="9981" width="11.6328125" style="530" customWidth="1"/>
    <col min="9982" max="9982" width="60.6328125" style="530" customWidth="1"/>
    <col min="9983" max="9983" width="20.6328125" style="530" customWidth="1"/>
    <col min="9984" max="9984" width="13.6328125" style="530" customWidth="1"/>
    <col min="9985" max="10236" width="9.08984375" style="530"/>
    <col min="10237" max="10237" width="11.6328125" style="530" customWidth="1"/>
    <col min="10238" max="10238" width="60.6328125" style="530" customWidth="1"/>
    <col min="10239" max="10239" width="20.6328125" style="530" customWidth="1"/>
    <col min="10240" max="10240" width="13.6328125" style="530" customWidth="1"/>
    <col min="10241" max="10492" width="9.08984375" style="530"/>
    <col min="10493" max="10493" width="11.6328125" style="530" customWidth="1"/>
    <col min="10494" max="10494" width="60.6328125" style="530" customWidth="1"/>
    <col min="10495" max="10495" width="20.6328125" style="530" customWidth="1"/>
    <col min="10496" max="10496" width="13.6328125" style="530" customWidth="1"/>
    <col min="10497" max="10748" width="9.08984375" style="530"/>
    <col min="10749" max="10749" width="11.6328125" style="530" customWidth="1"/>
    <col min="10750" max="10750" width="60.6328125" style="530" customWidth="1"/>
    <col min="10751" max="10751" width="20.6328125" style="530" customWidth="1"/>
    <col min="10752" max="10752" width="13.6328125" style="530" customWidth="1"/>
    <col min="10753" max="11004" width="9.08984375" style="530"/>
    <col min="11005" max="11005" width="11.6328125" style="530" customWidth="1"/>
    <col min="11006" max="11006" width="60.6328125" style="530" customWidth="1"/>
    <col min="11007" max="11007" width="20.6328125" style="530" customWidth="1"/>
    <col min="11008" max="11008" width="13.6328125" style="530" customWidth="1"/>
    <col min="11009" max="11260" width="9.08984375" style="530"/>
    <col min="11261" max="11261" width="11.6328125" style="530" customWidth="1"/>
    <col min="11262" max="11262" width="60.6328125" style="530" customWidth="1"/>
    <col min="11263" max="11263" width="20.6328125" style="530" customWidth="1"/>
    <col min="11264" max="11264" width="13.6328125" style="530" customWidth="1"/>
    <col min="11265" max="11516" width="9.08984375" style="530"/>
    <col min="11517" max="11517" width="11.6328125" style="530" customWidth="1"/>
    <col min="11518" max="11518" width="60.6328125" style="530" customWidth="1"/>
    <col min="11519" max="11519" width="20.6328125" style="530" customWidth="1"/>
    <col min="11520" max="11520" width="13.6328125" style="530" customWidth="1"/>
    <col min="11521" max="11772" width="9.08984375" style="530"/>
    <col min="11773" max="11773" width="11.6328125" style="530" customWidth="1"/>
    <col min="11774" max="11774" width="60.6328125" style="530" customWidth="1"/>
    <col min="11775" max="11775" width="20.6328125" style="530" customWidth="1"/>
    <col min="11776" max="11776" width="13.6328125" style="530" customWidth="1"/>
    <col min="11777" max="12028" width="9.08984375" style="530"/>
    <col min="12029" max="12029" width="11.6328125" style="530" customWidth="1"/>
    <col min="12030" max="12030" width="60.6328125" style="530" customWidth="1"/>
    <col min="12031" max="12031" width="20.6328125" style="530" customWidth="1"/>
    <col min="12032" max="12032" width="13.6328125" style="530" customWidth="1"/>
    <col min="12033" max="12284" width="9.08984375" style="530"/>
    <col min="12285" max="12285" width="11.6328125" style="530" customWidth="1"/>
    <col min="12286" max="12286" width="60.6328125" style="530" customWidth="1"/>
    <col min="12287" max="12287" width="20.6328125" style="530" customWidth="1"/>
    <col min="12288" max="12288" width="13.6328125" style="530" customWidth="1"/>
    <col min="12289" max="12540" width="9.08984375" style="530"/>
    <col min="12541" max="12541" width="11.6328125" style="530" customWidth="1"/>
    <col min="12542" max="12542" width="60.6328125" style="530" customWidth="1"/>
    <col min="12543" max="12543" width="20.6328125" style="530" customWidth="1"/>
    <col min="12544" max="12544" width="13.6328125" style="530" customWidth="1"/>
    <col min="12545" max="12796" width="9.08984375" style="530"/>
    <col min="12797" max="12797" width="11.6328125" style="530" customWidth="1"/>
    <col min="12798" max="12798" width="60.6328125" style="530" customWidth="1"/>
    <col min="12799" max="12799" width="20.6328125" style="530" customWidth="1"/>
    <col min="12800" max="12800" width="13.6328125" style="530" customWidth="1"/>
    <col min="12801" max="13052" width="9.08984375" style="530"/>
    <col min="13053" max="13053" width="11.6328125" style="530" customWidth="1"/>
    <col min="13054" max="13054" width="60.6328125" style="530" customWidth="1"/>
    <col min="13055" max="13055" width="20.6328125" style="530" customWidth="1"/>
    <col min="13056" max="13056" width="13.6328125" style="530" customWidth="1"/>
    <col min="13057" max="13308" width="9.08984375" style="530"/>
    <col min="13309" max="13309" width="11.6328125" style="530" customWidth="1"/>
    <col min="13310" max="13310" width="60.6328125" style="530" customWidth="1"/>
    <col min="13311" max="13311" width="20.6328125" style="530" customWidth="1"/>
    <col min="13312" max="13312" width="13.6328125" style="530" customWidth="1"/>
    <col min="13313" max="13564" width="9.08984375" style="530"/>
    <col min="13565" max="13565" width="11.6328125" style="530" customWidth="1"/>
    <col min="13566" max="13566" width="60.6328125" style="530" customWidth="1"/>
    <col min="13567" max="13567" width="20.6328125" style="530" customWidth="1"/>
    <col min="13568" max="13568" width="13.6328125" style="530" customWidth="1"/>
    <col min="13569" max="13820" width="9.08984375" style="530"/>
    <col min="13821" max="13821" width="11.6328125" style="530" customWidth="1"/>
    <col min="13822" max="13822" width="60.6328125" style="530" customWidth="1"/>
    <col min="13823" max="13823" width="20.6328125" style="530" customWidth="1"/>
    <col min="13824" max="13824" width="13.6328125" style="530" customWidth="1"/>
    <col min="13825" max="14076" width="9.08984375" style="530"/>
    <col min="14077" max="14077" width="11.6328125" style="530" customWidth="1"/>
    <col min="14078" max="14078" width="60.6328125" style="530" customWidth="1"/>
    <col min="14079" max="14079" width="20.6328125" style="530" customWidth="1"/>
    <col min="14080" max="14080" width="13.6328125" style="530" customWidth="1"/>
    <col min="14081" max="14332" width="9.08984375" style="530"/>
    <col min="14333" max="14333" width="11.6328125" style="530" customWidth="1"/>
    <col min="14334" max="14334" width="60.6328125" style="530" customWidth="1"/>
    <col min="14335" max="14335" width="20.6328125" style="530" customWidth="1"/>
    <col min="14336" max="14336" width="13.6328125" style="530" customWidth="1"/>
    <col min="14337" max="14588" width="9.08984375" style="530"/>
    <col min="14589" max="14589" width="11.6328125" style="530" customWidth="1"/>
    <col min="14590" max="14590" width="60.6328125" style="530" customWidth="1"/>
    <col min="14591" max="14591" width="20.6328125" style="530" customWidth="1"/>
    <col min="14592" max="14592" width="13.6328125" style="530" customWidth="1"/>
    <col min="14593" max="14844" width="9.08984375" style="530"/>
    <col min="14845" max="14845" width="11.6328125" style="530" customWidth="1"/>
    <col min="14846" max="14846" width="60.6328125" style="530" customWidth="1"/>
    <col min="14847" max="14847" width="20.6328125" style="530" customWidth="1"/>
    <col min="14848" max="14848" width="13.6328125" style="530" customWidth="1"/>
    <col min="14849" max="15100" width="9.08984375" style="530"/>
    <col min="15101" max="15101" width="11.6328125" style="530" customWidth="1"/>
    <col min="15102" max="15102" width="60.6328125" style="530" customWidth="1"/>
    <col min="15103" max="15103" width="20.6328125" style="530" customWidth="1"/>
    <col min="15104" max="15104" width="13.6328125" style="530" customWidth="1"/>
    <col min="15105" max="15356" width="9.08984375" style="530"/>
    <col min="15357" max="15357" width="11.6328125" style="530" customWidth="1"/>
    <col min="15358" max="15358" width="60.6328125" style="530" customWidth="1"/>
    <col min="15359" max="15359" width="20.6328125" style="530" customWidth="1"/>
    <col min="15360" max="15360" width="13.6328125" style="530" customWidth="1"/>
    <col min="15361" max="15612" width="9.08984375" style="530"/>
    <col min="15613" max="15613" width="11.6328125" style="530" customWidth="1"/>
    <col min="15614" max="15614" width="60.6328125" style="530" customWidth="1"/>
    <col min="15615" max="15615" width="20.6328125" style="530" customWidth="1"/>
    <col min="15616" max="15616" width="13.6328125" style="530" customWidth="1"/>
    <col min="15617" max="15868" width="9.08984375" style="530"/>
    <col min="15869" max="15869" width="11.6328125" style="530" customWidth="1"/>
    <col min="15870" max="15870" width="60.6328125" style="530" customWidth="1"/>
    <col min="15871" max="15871" width="20.6328125" style="530" customWidth="1"/>
    <col min="15872" max="15872" width="13.6328125" style="530" customWidth="1"/>
    <col min="15873" max="16124" width="9.08984375" style="530"/>
    <col min="16125" max="16125" width="11.6328125" style="530" customWidth="1"/>
    <col min="16126" max="16126" width="60.6328125" style="530" customWidth="1"/>
    <col min="16127" max="16127" width="20.6328125" style="530" customWidth="1"/>
    <col min="16128" max="16128" width="13.6328125" style="530" customWidth="1"/>
    <col min="16129" max="16384" width="9.08984375" style="530"/>
  </cols>
  <sheetData>
    <row r="1" spans="1:8" ht="20.399999999999999" customHeight="1">
      <c r="A1" s="529" t="s">
        <v>0</v>
      </c>
      <c r="E1" s="903"/>
    </row>
    <row r="2" spans="1:8" ht="20.399999999999999" customHeight="1">
      <c r="A2" s="529" t="s">
        <v>828</v>
      </c>
      <c r="E2" s="904"/>
    </row>
    <row r="3" spans="1:8" ht="26" customHeight="1">
      <c r="A3" s="905" t="s">
        <v>207</v>
      </c>
      <c r="B3" s="906" t="s">
        <v>141</v>
      </c>
      <c r="C3" s="907" t="s">
        <v>251</v>
      </c>
      <c r="D3" s="532" t="s">
        <v>252</v>
      </c>
      <c r="E3" s="532" t="s">
        <v>164</v>
      </c>
    </row>
    <row r="4" spans="1:8" ht="26.4" customHeight="1">
      <c r="A4" s="901" t="s">
        <v>145</v>
      </c>
      <c r="B4" s="937" t="s">
        <v>253</v>
      </c>
      <c r="C4" s="533">
        <v>528371.34</v>
      </c>
      <c r="D4" s="533">
        <v>83360</v>
      </c>
      <c r="E4" s="534" t="s">
        <v>254</v>
      </c>
      <c r="G4" s="535" t="s">
        <v>255</v>
      </c>
      <c r="H4" s="536" t="s">
        <v>256</v>
      </c>
    </row>
    <row r="5" spans="1:8" ht="26.4" customHeight="1">
      <c r="A5" s="901" t="s">
        <v>147</v>
      </c>
      <c r="B5" s="937" t="s">
        <v>257</v>
      </c>
      <c r="C5" s="534">
        <v>154032</v>
      </c>
      <c r="D5" s="533">
        <v>30240</v>
      </c>
      <c r="E5" s="534" t="s">
        <v>254</v>
      </c>
      <c r="G5" s="322" t="s">
        <v>159</v>
      </c>
      <c r="H5" s="537">
        <f>SUMIF(E$4:E$89,G5,D$4:D$89)</f>
        <v>234666.73</v>
      </c>
    </row>
    <row r="6" spans="1:8" ht="26.4" customHeight="1">
      <c r="A6" s="901" t="s">
        <v>149</v>
      </c>
      <c r="B6" s="941" t="s">
        <v>258</v>
      </c>
      <c r="C6" s="538">
        <v>6500</v>
      </c>
      <c r="D6" s="533">
        <v>6500</v>
      </c>
      <c r="E6" s="534" t="s">
        <v>160</v>
      </c>
      <c r="G6" s="540" t="s">
        <v>160</v>
      </c>
      <c r="H6" s="537">
        <f>SUMIF(E$4:E$89,G6,D$4:D$89)</f>
        <v>706054.27</v>
      </c>
    </row>
    <row r="7" spans="1:8" ht="26.4" customHeight="1">
      <c r="A7" s="901" t="s">
        <v>151</v>
      </c>
      <c r="B7" s="941" t="s">
        <v>259</v>
      </c>
      <c r="C7" s="538">
        <v>4900</v>
      </c>
      <c r="D7" s="533">
        <v>0</v>
      </c>
      <c r="E7" s="534" t="s">
        <v>159</v>
      </c>
      <c r="G7" s="541" t="s">
        <v>43</v>
      </c>
      <c r="H7" s="537">
        <f>SUMIF(E$4:E$89,G7,D$4:D$89)</f>
        <v>5750</v>
      </c>
    </row>
    <row r="8" spans="1:8" ht="26.4" customHeight="1">
      <c r="A8" s="901" t="s">
        <v>153</v>
      </c>
      <c r="B8" s="937" t="s">
        <v>260</v>
      </c>
      <c r="C8" s="533">
        <v>15000</v>
      </c>
      <c r="D8" s="533">
        <v>3438.16</v>
      </c>
      <c r="E8" s="539" t="s">
        <v>159</v>
      </c>
      <c r="G8" s="541" t="s">
        <v>254</v>
      </c>
      <c r="H8" s="537">
        <f>SUMIF(E$4:E$89,G8,D$4:D$89)</f>
        <v>826882.41</v>
      </c>
    </row>
    <row r="9" spans="1:8" ht="26.4" customHeight="1">
      <c r="A9" s="901" t="s">
        <v>261</v>
      </c>
      <c r="B9" s="937" t="s">
        <v>262</v>
      </c>
      <c r="C9" s="533">
        <v>13790</v>
      </c>
      <c r="D9" s="533">
        <v>0</v>
      </c>
      <c r="E9" s="539" t="s">
        <v>159</v>
      </c>
      <c r="G9" s="542" t="s">
        <v>155</v>
      </c>
      <c r="H9" s="543">
        <f>SUM(H5:H8)</f>
        <v>1773353.4100000001</v>
      </c>
    </row>
    <row r="10" spans="1:8" ht="26.4" customHeight="1">
      <c r="A10" s="901" t="s">
        <v>263</v>
      </c>
      <c r="B10" s="937" t="s">
        <v>891</v>
      </c>
      <c r="C10" s="544">
        <v>166700</v>
      </c>
      <c r="D10" s="533">
        <v>77893.56</v>
      </c>
      <c r="E10" s="539" t="s">
        <v>160</v>
      </c>
    </row>
    <row r="11" spans="1:8" ht="26.4" customHeight="1">
      <c r="A11" s="901" t="s">
        <v>264</v>
      </c>
      <c r="B11" s="937" t="s">
        <v>265</v>
      </c>
      <c r="C11" s="534">
        <v>72900</v>
      </c>
      <c r="D11" s="533">
        <v>72900</v>
      </c>
      <c r="E11" s="534" t="s">
        <v>159</v>
      </c>
    </row>
    <row r="12" spans="1:8" ht="26.4" customHeight="1">
      <c r="A12" s="901" t="s">
        <v>266</v>
      </c>
      <c r="B12" s="937" t="s">
        <v>267</v>
      </c>
      <c r="C12" s="544">
        <v>72900</v>
      </c>
      <c r="D12" s="533">
        <v>72900</v>
      </c>
      <c r="E12" s="539" t="s">
        <v>159</v>
      </c>
    </row>
    <row r="13" spans="1:8" ht="26.4" customHeight="1">
      <c r="A13" s="901" t="s">
        <v>268</v>
      </c>
      <c r="B13" s="937" t="s">
        <v>269</v>
      </c>
      <c r="C13" s="533">
        <v>7600</v>
      </c>
      <c r="D13" s="533">
        <v>0</v>
      </c>
      <c r="E13" s="539" t="s">
        <v>159</v>
      </c>
    </row>
    <row r="14" spans="1:8" ht="26.4" customHeight="1">
      <c r="A14" s="901" t="s">
        <v>270</v>
      </c>
      <c r="B14" s="937" t="s">
        <v>893</v>
      </c>
      <c r="C14" s="533">
        <v>28207</v>
      </c>
      <c r="D14" s="533">
        <v>0</v>
      </c>
      <c r="E14" s="539" t="s">
        <v>159</v>
      </c>
    </row>
    <row r="15" spans="1:8" ht="26.4" customHeight="1">
      <c r="A15" s="901" t="s">
        <v>271</v>
      </c>
      <c r="B15" s="937" t="s">
        <v>272</v>
      </c>
      <c r="C15" s="533">
        <v>587200</v>
      </c>
      <c r="D15" s="533">
        <v>78601</v>
      </c>
      <c r="E15" s="539" t="s">
        <v>160</v>
      </c>
    </row>
    <row r="16" spans="1:8" ht="26.4" customHeight="1">
      <c r="A16" s="901" t="s">
        <v>273</v>
      </c>
      <c r="B16" s="941" t="s">
        <v>274</v>
      </c>
      <c r="C16" s="533">
        <v>19435</v>
      </c>
      <c r="D16" s="533">
        <v>9717.5</v>
      </c>
      <c r="E16" s="539" t="s">
        <v>254</v>
      </c>
    </row>
    <row r="17" spans="1:6" ht="26.4" customHeight="1">
      <c r="A17" s="901" t="s">
        <v>275</v>
      </c>
      <c r="B17" s="937" t="s">
        <v>964</v>
      </c>
      <c r="C17" s="544">
        <v>19435</v>
      </c>
      <c r="D17" s="533">
        <v>19435</v>
      </c>
      <c r="E17" s="539" t="s">
        <v>254</v>
      </c>
    </row>
    <row r="18" spans="1:6" ht="26.4" customHeight="1">
      <c r="A18" s="901" t="s">
        <v>276</v>
      </c>
      <c r="B18" s="937" t="s">
        <v>277</v>
      </c>
      <c r="C18" s="544">
        <v>91817</v>
      </c>
      <c r="D18" s="533">
        <v>64271.9</v>
      </c>
      <c r="E18" s="539" t="s">
        <v>160</v>
      </c>
    </row>
    <row r="19" spans="1:6" ht="26.4" customHeight="1">
      <c r="A19" s="901" t="s">
        <v>278</v>
      </c>
      <c r="B19" s="937" t="s">
        <v>279</v>
      </c>
      <c r="C19" s="538">
        <v>42920</v>
      </c>
      <c r="D19" s="533">
        <v>30044</v>
      </c>
      <c r="E19" s="539" t="s">
        <v>160</v>
      </c>
      <c r="F19" s="902"/>
    </row>
    <row r="20" spans="1:6" ht="26.4" customHeight="1">
      <c r="A20" s="901" t="s">
        <v>280</v>
      </c>
      <c r="B20" s="941" t="s">
        <v>281</v>
      </c>
      <c r="C20" s="538">
        <v>5350</v>
      </c>
      <c r="D20" s="533">
        <v>0</v>
      </c>
      <c r="E20" s="539" t="s">
        <v>159</v>
      </c>
    </row>
    <row r="21" spans="1:6" ht="26.4" customHeight="1">
      <c r="A21" s="901" t="s">
        <v>282</v>
      </c>
      <c r="B21" s="937" t="s">
        <v>283</v>
      </c>
      <c r="C21" s="534">
        <v>10000</v>
      </c>
      <c r="D21" s="533">
        <v>10000</v>
      </c>
      <c r="E21" s="539" t="s">
        <v>159</v>
      </c>
    </row>
    <row r="22" spans="1:6" ht="26.4" customHeight="1">
      <c r="A22" s="901" t="s">
        <v>284</v>
      </c>
      <c r="B22" s="941" t="s">
        <v>285</v>
      </c>
      <c r="C22" s="538">
        <v>11110</v>
      </c>
      <c r="D22" s="533">
        <v>2110.9</v>
      </c>
      <c r="E22" s="539" t="s">
        <v>160</v>
      </c>
    </row>
    <row r="23" spans="1:6" ht="26.4" customHeight="1">
      <c r="A23" s="901" t="s">
        <v>286</v>
      </c>
      <c r="B23" s="937" t="s">
        <v>965</v>
      </c>
      <c r="C23" s="534">
        <f>160000</f>
        <v>160000</v>
      </c>
      <c r="D23" s="533">
        <v>16000</v>
      </c>
      <c r="E23" s="539" t="s">
        <v>159</v>
      </c>
    </row>
    <row r="24" spans="1:6" ht="26.4" customHeight="1">
      <c r="A24" s="901" t="s">
        <v>287</v>
      </c>
      <c r="B24" s="937" t="s">
        <v>966</v>
      </c>
      <c r="C24" s="534">
        <v>128000</v>
      </c>
      <c r="D24" s="533">
        <v>16000</v>
      </c>
      <c r="E24" s="539" t="s">
        <v>159</v>
      </c>
    </row>
    <row r="25" spans="1:6" customFormat="1" ht="26" customHeight="1">
      <c r="A25" s="901" t="s">
        <v>288</v>
      </c>
      <c r="B25" s="940" t="s">
        <v>968</v>
      </c>
      <c r="C25" s="544">
        <v>64000</v>
      </c>
      <c r="D25" s="533">
        <v>16000</v>
      </c>
      <c r="E25" s="539" t="s">
        <v>159</v>
      </c>
    </row>
    <row r="26" spans="1:6" ht="26.4" customHeight="1">
      <c r="A26" s="901" t="s">
        <v>289</v>
      </c>
      <c r="B26" s="940" t="s">
        <v>967</v>
      </c>
      <c r="C26" s="538">
        <v>96000</v>
      </c>
      <c r="D26" s="533">
        <v>16000</v>
      </c>
      <c r="E26" s="539" t="s">
        <v>159</v>
      </c>
    </row>
    <row r="27" spans="1:6" customFormat="1" ht="26" customHeight="1">
      <c r="A27" s="901" t="s">
        <v>290</v>
      </c>
      <c r="B27" s="941" t="s">
        <v>969</v>
      </c>
      <c r="C27" s="538">
        <v>240812.4</v>
      </c>
      <c r="D27" s="533">
        <v>16566.5</v>
      </c>
      <c r="E27" s="539" t="s">
        <v>254</v>
      </c>
    </row>
    <row r="28" spans="1:6" ht="26.4" customHeight="1">
      <c r="A28" s="901" t="s">
        <v>291</v>
      </c>
      <c r="B28" s="937" t="s">
        <v>888</v>
      </c>
      <c r="C28" s="544">
        <v>8400</v>
      </c>
      <c r="D28" s="533">
        <v>0</v>
      </c>
      <c r="E28" s="539" t="s">
        <v>160</v>
      </c>
    </row>
    <row r="29" spans="1:6" ht="26.4" customHeight="1">
      <c r="A29" s="901" t="s">
        <v>292</v>
      </c>
      <c r="B29" s="941" t="s">
        <v>293</v>
      </c>
      <c r="C29" s="538">
        <v>18000</v>
      </c>
      <c r="D29" s="533">
        <v>0</v>
      </c>
      <c r="E29" s="539" t="s">
        <v>160</v>
      </c>
    </row>
    <row r="30" spans="1:6" ht="26.4" customHeight="1">
      <c r="A30" s="901" t="s">
        <v>294</v>
      </c>
      <c r="B30" s="937" t="s">
        <v>892</v>
      </c>
      <c r="C30" s="534">
        <v>62299.3</v>
      </c>
      <c r="D30" s="533">
        <v>32454.799999999999</v>
      </c>
      <c r="E30" s="539" t="s">
        <v>254</v>
      </c>
    </row>
    <row r="31" spans="1:6" customFormat="1" ht="26" customHeight="1">
      <c r="A31" s="901" t="s">
        <v>295</v>
      </c>
      <c r="B31" s="937" t="s">
        <v>296</v>
      </c>
      <c r="C31" s="544">
        <v>67371.210000000006</v>
      </c>
      <c r="D31" s="533">
        <v>51376.140000000007</v>
      </c>
      <c r="E31" s="539" t="s">
        <v>160</v>
      </c>
    </row>
    <row r="32" spans="1:6" ht="26.4" customHeight="1">
      <c r="A32" s="901" t="s">
        <v>297</v>
      </c>
      <c r="B32" s="937" t="s">
        <v>889</v>
      </c>
      <c r="C32" s="534">
        <v>12760</v>
      </c>
      <c r="D32" s="533">
        <v>0</v>
      </c>
      <c r="E32" s="539" t="s">
        <v>159</v>
      </c>
    </row>
    <row r="33" spans="1:5" ht="26.4" customHeight="1">
      <c r="A33" s="901" t="s">
        <v>298</v>
      </c>
      <c r="B33" s="941" t="s">
        <v>890</v>
      </c>
      <c r="C33" s="538">
        <f>9742</f>
        <v>9742</v>
      </c>
      <c r="D33" s="533">
        <v>0</v>
      </c>
      <c r="E33" s="539" t="s">
        <v>159</v>
      </c>
    </row>
    <row r="34" spans="1:5" ht="26.4" customHeight="1">
      <c r="A34" s="901" t="s">
        <v>299</v>
      </c>
      <c r="B34" s="937" t="s">
        <v>745</v>
      </c>
      <c r="C34" s="534">
        <v>5000</v>
      </c>
      <c r="D34" s="533">
        <v>0</v>
      </c>
      <c r="E34" s="539" t="s">
        <v>43</v>
      </c>
    </row>
    <row r="35" spans="1:5" ht="26.4" customHeight="1">
      <c r="A35" s="901" t="s">
        <v>300</v>
      </c>
      <c r="B35" s="937" t="s">
        <v>301</v>
      </c>
      <c r="C35" s="538">
        <v>15300</v>
      </c>
      <c r="D35" s="533">
        <v>0</v>
      </c>
      <c r="E35" s="539" t="s">
        <v>160</v>
      </c>
    </row>
    <row r="36" spans="1:5" ht="26.4" customHeight="1">
      <c r="A36" s="901" t="s">
        <v>302</v>
      </c>
      <c r="B36" s="937" t="s">
        <v>894</v>
      </c>
      <c r="C36" s="534">
        <v>420090</v>
      </c>
      <c r="D36" s="533">
        <v>0</v>
      </c>
      <c r="E36" s="539" t="s">
        <v>160</v>
      </c>
    </row>
    <row r="37" spans="1:5" ht="26.4" customHeight="1">
      <c r="A37" s="901" t="s">
        <v>303</v>
      </c>
      <c r="B37" s="937" t="s">
        <v>735</v>
      </c>
      <c r="C37" s="534">
        <v>18900</v>
      </c>
      <c r="D37" s="533">
        <v>0</v>
      </c>
      <c r="E37" s="539" t="s">
        <v>160</v>
      </c>
    </row>
    <row r="38" spans="1:5" ht="26.4" customHeight="1">
      <c r="A38" s="901" t="s">
        <v>746</v>
      </c>
      <c r="B38" s="937" t="s">
        <v>736</v>
      </c>
      <c r="C38" s="534">
        <v>150516</v>
      </c>
      <c r="D38" s="533">
        <v>11129</v>
      </c>
      <c r="E38" s="539" t="s">
        <v>160</v>
      </c>
    </row>
    <row r="39" spans="1:5" ht="26.4" customHeight="1">
      <c r="A39" s="901" t="s">
        <v>747</v>
      </c>
      <c r="B39" s="937" t="s">
        <v>737</v>
      </c>
      <c r="C39" s="534">
        <v>137000</v>
      </c>
      <c r="D39" s="533">
        <v>0</v>
      </c>
      <c r="E39" s="539" t="s">
        <v>159</v>
      </c>
    </row>
    <row r="40" spans="1:5" ht="26.4" customHeight="1">
      <c r="A40" s="901" t="s">
        <v>748</v>
      </c>
      <c r="B40" s="937" t="s">
        <v>738</v>
      </c>
      <c r="C40" s="534">
        <v>12202</v>
      </c>
      <c r="D40" s="533">
        <v>11952</v>
      </c>
      <c r="E40" s="539" t="s">
        <v>254</v>
      </c>
    </row>
    <row r="41" spans="1:5" ht="26.4" customHeight="1">
      <c r="A41" s="901" t="s">
        <v>749</v>
      </c>
      <c r="B41" s="937" t="s">
        <v>739</v>
      </c>
      <c r="C41" s="534">
        <v>9000</v>
      </c>
      <c r="D41" s="533">
        <v>0</v>
      </c>
      <c r="E41" s="539" t="s">
        <v>160</v>
      </c>
    </row>
    <row r="42" spans="1:5" ht="26.4" customHeight="1">
      <c r="A42" s="901" t="s">
        <v>750</v>
      </c>
      <c r="B42" s="937" t="s">
        <v>896</v>
      </c>
      <c r="C42" s="534">
        <v>90586.4</v>
      </c>
      <c r="D42" s="533">
        <v>90586.4</v>
      </c>
      <c r="E42" s="539" t="s">
        <v>254</v>
      </c>
    </row>
    <row r="43" spans="1:5" ht="26.4" customHeight="1">
      <c r="A43" s="901" t="s">
        <v>751</v>
      </c>
      <c r="B43" s="937" t="s">
        <v>740</v>
      </c>
      <c r="C43" s="534">
        <v>57018</v>
      </c>
      <c r="D43" s="533">
        <v>0</v>
      </c>
      <c r="E43" s="539" t="s">
        <v>254</v>
      </c>
    </row>
    <row r="44" spans="1:5" ht="26.4" customHeight="1">
      <c r="A44" s="901" t="s">
        <v>752</v>
      </c>
      <c r="B44" s="937" t="s">
        <v>741</v>
      </c>
      <c r="C44" s="534">
        <v>14928.57</v>
      </c>
      <c r="D44" s="533">
        <v>11428.57</v>
      </c>
      <c r="E44" s="539" t="s">
        <v>159</v>
      </c>
    </row>
    <row r="45" spans="1:5" ht="26.4" customHeight="1">
      <c r="A45" s="901" t="s">
        <v>753</v>
      </c>
      <c r="B45" s="937" t="s">
        <v>742</v>
      </c>
      <c r="C45" s="534">
        <v>3003</v>
      </c>
      <c r="D45" s="533">
        <v>0</v>
      </c>
      <c r="E45" s="539" t="s">
        <v>159</v>
      </c>
    </row>
    <row r="46" spans="1:5" ht="26.4" customHeight="1">
      <c r="A46" s="901" t="s">
        <v>754</v>
      </c>
      <c r="B46" s="937" t="s">
        <v>743</v>
      </c>
      <c r="C46" s="534">
        <v>26500</v>
      </c>
      <c r="D46" s="533">
        <v>0</v>
      </c>
      <c r="E46" s="539" t="s">
        <v>159</v>
      </c>
    </row>
    <row r="47" spans="1:5" ht="26.4" customHeight="1">
      <c r="A47" s="901" t="s">
        <v>755</v>
      </c>
      <c r="B47" s="937" t="s">
        <v>744</v>
      </c>
      <c r="C47" s="534">
        <v>13640</v>
      </c>
      <c r="D47" s="533">
        <v>13640</v>
      </c>
      <c r="E47" s="539" t="s">
        <v>254</v>
      </c>
    </row>
    <row r="48" spans="1:5" ht="26.4" customHeight="1">
      <c r="A48" s="901" t="s">
        <v>756</v>
      </c>
      <c r="B48" s="937" t="s">
        <v>887</v>
      </c>
      <c r="C48" s="534">
        <v>11500</v>
      </c>
      <c r="D48" s="533">
        <v>5750</v>
      </c>
      <c r="E48" s="539" t="s">
        <v>43</v>
      </c>
    </row>
    <row r="49" spans="1:5" ht="26.4" customHeight="1">
      <c r="A49" s="901" t="s">
        <v>757</v>
      </c>
      <c r="B49" s="937" t="s">
        <v>860</v>
      </c>
      <c r="C49" s="534">
        <v>8518</v>
      </c>
      <c r="D49" s="533">
        <v>0</v>
      </c>
      <c r="E49" s="539" t="s">
        <v>160</v>
      </c>
    </row>
    <row r="50" spans="1:5" ht="26.4" customHeight="1">
      <c r="A50" s="901" t="s">
        <v>758</v>
      </c>
      <c r="B50" s="937" t="s">
        <v>861</v>
      </c>
      <c r="C50" s="534">
        <v>2770</v>
      </c>
      <c r="D50" s="533">
        <v>0</v>
      </c>
      <c r="E50" s="539" t="s">
        <v>160</v>
      </c>
    </row>
    <row r="51" spans="1:5" ht="26.4" customHeight="1">
      <c r="A51" s="901" t="s">
        <v>853</v>
      </c>
      <c r="B51" s="937" t="s">
        <v>970</v>
      </c>
      <c r="C51" s="534">
        <v>31500</v>
      </c>
      <c r="D51" s="533">
        <v>12600</v>
      </c>
      <c r="E51" s="539" t="s">
        <v>160</v>
      </c>
    </row>
    <row r="52" spans="1:5" ht="26.4" customHeight="1">
      <c r="A52" s="901" t="s">
        <v>854</v>
      </c>
      <c r="B52" s="937" t="s">
        <v>971</v>
      </c>
      <c r="C52" s="534">
        <v>6875</v>
      </c>
      <c r="D52" s="533">
        <v>3079.99</v>
      </c>
      <c r="E52" s="539" t="s">
        <v>160</v>
      </c>
    </row>
    <row r="53" spans="1:5" ht="26.4" customHeight="1">
      <c r="A53" s="901" t="s">
        <v>855</v>
      </c>
      <c r="B53" s="937" t="s">
        <v>972</v>
      </c>
      <c r="C53" s="534">
        <v>480000</v>
      </c>
      <c r="D53" s="533">
        <v>358694.40000000002</v>
      </c>
      <c r="E53" s="539" t="s">
        <v>254</v>
      </c>
    </row>
    <row r="54" spans="1:5" ht="26.4" customHeight="1">
      <c r="A54" s="901" t="s">
        <v>856</v>
      </c>
      <c r="B54" s="937" t="s">
        <v>895</v>
      </c>
      <c r="C54" s="534">
        <v>1439</v>
      </c>
      <c r="D54" s="533">
        <v>0</v>
      </c>
      <c r="E54" s="539" t="s">
        <v>159</v>
      </c>
    </row>
    <row r="55" spans="1:5" ht="26.4" customHeight="1">
      <c r="A55" s="901" t="s">
        <v>857</v>
      </c>
      <c r="B55" s="937" t="s">
        <v>862</v>
      </c>
      <c r="C55" s="534">
        <v>223860.28</v>
      </c>
      <c r="D55" s="533">
        <v>83528.28</v>
      </c>
      <c r="E55" s="539" t="s">
        <v>160</v>
      </c>
    </row>
    <row r="56" spans="1:5" ht="26.4" customHeight="1">
      <c r="A56" s="901" t="s">
        <v>858</v>
      </c>
      <c r="B56" s="939" t="s">
        <v>897</v>
      </c>
      <c r="C56" s="938">
        <v>17100</v>
      </c>
      <c r="D56" s="533">
        <v>17100</v>
      </c>
      <c r="E56" s="539" t="s">
        <v>254</v>
      </c>
    </row>
    <row r="57" spans="1:5" ht="26.4" customHeight="1">
      <c r="A57" s="901" t="s">
        <v>859</v>
      </c>
      <c r="B57" s="939" t="s">
        <v>898</v>
      </c>
      <c r="C57" s="938">
        <v>13148</v>
      </c>
      <c r="D57" s="533">
        <v>13148</v>
      </c>
      <c r="E57" s="1034" t="s">
        <v>254</v>
      </c>
    </row>
    <row r="58" spans="1:5" ht="26.4" customHeight="1">
      <c r="A58" s="901" t="s">
        <v>900</v>
      </c>
      <c r="B58" s="939" t="s">
        <v>899</v>
      </c>
      <c r="C58" s="938">
        <v>46000</v>
      </c>
      <c r="D58" s="533">
        <v>6125.1299999999974</v>
      </c>
      <c r="E58" s="1034" t="s">
        <v>254</v>
      </c>
    </row>
    <row r="59" spans="1:5" ht="25.9" customHeight="1">
      <c r="A59" s="989">
        <f t="shared" ref="A59:A66" si="0">1+A58</f>
        <v>56</v>
      </c>
      <c r="B59" s="990" t="s">
        <v>956</v>
      </c>
      <c r="C59" s="991">
        <v>98548.1</v>
      </c>
      <c r="D59" s="533">
        <v>78838.48000000001</v>
      </c>
      <c r="E59" s="530" t="s">
        <v>254</v>
      </c>
    </row>
    <row r="60" spans="1:5" ht="25.9" customHeight="1">
      <c r="A60" s="989">
        <f t="shared" si="0"/>
        <v>57</v>
      </c>
      <c r="B60" s="990" t="s">
        <v>957</v>
      </c>
      <c r="C60" s="991">
        <v>40786</v>
      </c>
      <c r="D60" s="533">
        <v>36707.4</v>
      </c>
      <c r="E60" s="530" t="s">
        <v>254</v>
      </c>
    </row>
    <row r="61" spans="1:5" ht="25.9" customHeight="1">
      <c r="A61" s="989">
        <f t="shared" si="0"/>
        <v>58</v>
      </c>
      <c r="B61" s="990" t="s">
        <v>958</v>
      </c>
      <c r="C61" s="544">
        <v>237500</v>
      </c>
      <c r="D61" s="533">
        <v>57137.5</v>
      </c>
      <c r="E61" s="530" t="s">
        <v>160</v>
      </c>
    </row>
    <row r="62" spans="1:5" ht="25.9" customHeight="1">
      <c r="A62" s="989">
        <f t="shared" si="0"/>
        <v>59</v>
      </c>
      <c r="B62" s="990" t="s">
        <v>959</v>
      </c>
      <c r="C62" s="544">
        <v>138000</v>
      </c>
      <c r="D62" s="533">
        <v>103500</v>
      </c>
      <c r="E62" s="530" t="s">
        <v>160</v>
      </c>
    </row>
    <row r="63" spans="1:5" ht="25.9" customHeight="1">
      <c r="A63" s="989">
        <f t="shared" si="0"/>
        <v>60</v>
      </c>
      <c r="B63" s="990" t="s">
        <v>960</v>
      </c>
      <c r="C63" s="544">
        <v>126000</v>
      </c>
      <c r="D63" s="533">
        <v>68502</v>
      </c>
      <c r="E63" s="530" t="s">
        <v>160</v>
      </c>
    </row>
    <row r="64" spans="1:5" ht="25.9" customHeight="1">
      <c r="A64" s="989">
        <f t="shared" si="0"/>
        <v>61</v>
      </c>
      <c r="B64" s="990" t="s">
        <v>961</v>
      </c>
      <c r="C64" s="544">
        <v>19000</v>
      </c>
      <c r="D64" s="533">
        <v>19000</v>
      </c>
      <c r="E64" s="530" t="s">
        <v>160</v>
      </c>
    </row>
    <row r="65" spans="1:5" ht="25.9" customHeight="1">
      <c r="A65" s="989">
        <f t="shared" si="0"/>
        <v>62</v>
      </c>
      <c r="B65" s="990" t="s">
        <v>962</v>
      </c>
      <c r="C65" s="544">
        <v>13984.5</v>
      </c>
      <c r="D65" s="533">
        <v>8316.7999999999993</v>
      </c>
      <c r="E65" s="530" t="s">
        <v>254</v>
      </c>
    </row>
    <row r="66" spans="1:5" ht="25.9" customHeight="1">
      <c r="A66" s="989">
        <f t="shared" si="0"/>
        <v>63</v>
      </c>
      <c r="B66" s="990" t="s">
        <v>963</v>
      </c>
      <c r="C66" s="544">
        <v>63900</v>
      </c>
      <c r="D66" s="533">
        <v>36780</v>
      </c>
      <c r="E66" s="530" t="s">
        <v>160</v>
      </c>
    </row>
    <row r="67" spans="1:5" ht="26.4" customHeight="1">
      <c r="A67" s="908"/>
      <c r="B67" s="909" t="s">
        <v>304</v>
      </c>
      <c r="C67" s="910">
        <f>SUM(C4:C66)</f>
        <v>5279665.0999999987</v>
      </c>
      <c r="D67" s="910">
        <f>SUM(D4:D66)</f>
        <v>1773353.41</v>
      </c>
      <c r="E67" s="910"/>
    </row>
    <row r="68" spans="1:5" ht="26.4" customHeight="1"/>
    <row r="69" spans="1:5" ht="26.4" customHeight="1">
      <c r="A69" s="530"/>
    </row>
    <row r="70" spans="1:5" ht="26.4" customHeight="1">
      <c r="A70" s="530"/>
    </row>
    <row r="71" spans="1:5" customFormat="1" ht="26" customHeight="1">
      <c r="A71" s="530"/>
      <c r="B71" s="530"/>
      <c r="C71" s="530"/>
      <c r="D71" s="531"/>
      <c r="E71" s="530"/>
    </row>
    <row r="72" spans="1:5" ht="26.4" customHeight="1">
      <c r="A72" s="530"/>
    </row>
    <row r="73" spans="1:5" customFormat="1" ht="26" customHeight="1">
      <c r="A73" s="530"/>
      <c r="B73" s="530"/>
      <c r="C73" s="530"/>
      <c r="D73" s="531"/>
      <c r="E73" s="530"/>
    </row>
    <row r="74" spans="1:5" ht="30.65" customHeight="1">
      <c r="A74" s="530"/>
    </row>
  </sheetData>
  <phoneticPr fontId="90" type="noConversion"/>
  <pageMargins left="0.7" right="0.7" top="0.75" bottom="0.75" header="0.3" footer="0.3"/>
  <pageSetup paperSize="9" scale="43" fitToHeight="0" orientation="portrait" r:id="rId1"/>
  <rowBreaks count="1" manualBreakCount="1">
    <brk id="67" max="4" man="1"/>
  </rowBreak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2"/>
  <sheetViews>
    <sheetView view="pageBreakPreview" topLeftCell="A19" zoomScale="70" zoomScaleNormal="70" zoomScaleSheetLayoutView="70" workbookViewId="0">
      <selection activeCell="G27" sqref="G27"/>
    </sheetView>
  </sheetViews>
  <sheetFormatPr defaultColWidth="9.08984375" defaultRowHeight="12.5"/>
  <cols>
    <col min="1" max="1" width="2.453125" style="4" customWidth="1"/>
    <col min="2" max="2" width="5.6328125" style="4" customWidth="1"/>
    <col min="3" max="3" width="59.453125" style="4" customWidth="1"/>
    <col min="4" max="4" width="13.54296875" style="4" customWidth="1"/>
    <col min="5" max="6" width="9.36328125" style="4" customWidth="1"/>
    <col min="7" max="7" width="23.6328125" style="468" customWidth="1"/>
    <col min="8" max="8" width="1.6328125" style="411" customWidth="1"/>
    <col min="9" max="9" width="26" style="735" customWidth="1"/>
    <col min="10" max="10" width="17.6328125" style="4" bestFit="1" customWidth="1"/>
    <col min="11" max="11" width="20.54296875" style="4" hidden="1" customWidth="1"/>
    <col min="12" max="12" width="18.36328125" style="4" bestFit="1" customWidth="1"/>
    <col min="13" max="13" width="22.453125" style="4" customWidth="1"/>
    <col min="14" max="14" width="18.36328125" style="4" bestFit="1" customWidth="1"/>
    <col min="15" max="16384" width="9.08984375" style="4"/>
  </cols>
  <sheetData>
    <row r="2" spans="2:9" ht="23" customHeight="1">
      <c r="B2" s="1099" t="s">
        <v>0</v>
      </c>
      <c r="C2" s="1099"/>
      <c r="D2" s="1099"/>
      <c r="E2" s="1099"/>
      <c r="F2" s="1099"/>
      <c r="G2" s="1099"/>
    </row>
    <row r="3" spans="2:9" ht="24" customHeight="1" thickBot="1">
      <c r="B3" s="1080" t="s">
        <v>812</v>
      </c>
      <c r="C3" s="1080"/>
      <c r="D3" s="1080"/>
      <c r="E3" s="1080"/>
      <c r="F3" s="1080"/>
      <c r="G3" s="1080"/>
    </row>
    <row r="4" spans="2:9" ht="15.65" customHeight="1">
      <c r="B4" s="285"/>
      <c r="C4" s="10"/>
      <c r="D4" s="286"/>
      <c r="E4" s="286"/>
      <c r="F4" s="287"/>
      <c r="G4" s="288"/>
    </row>
    <row r="5" spans="2:9" s="18" customFormat="1" ht="18.649999999999999" customHeight="1">
      <c r="B5" s="413" t="s">
        <v>2</v>
      </c>
      <c r="D5" s="415" t="s">
        <v>3</v>
      </c>
      <c r="E5" s="414"/>
      <c r="F5" s="1100">
        <f ca="1">'KCE-PC 12'!G3</f>
        <v>44979</v>
      </c>
      <c r="G5" s="1101"/>
      <c r="H5" s="416"/>
      <c r="I5" s="736"/>
    </row>
    <row r="6" spans="2:9" s="18" customFormat="1" ht="23.4" customHeight="1">
      <c r="B6" s="413" t="s">
        <v>4</v>
      </c>
      <c r="D6" s="415" t="s">
        <v>5</v>
      </c>
      <c r="E6" s="414"/>
      <c r="F6" s="417" t="str">
        <f>'KCE-PC 12'!G2</f>
        <v>KCE-12</v>
      </c>
      <c r="G6" s="513"/>
      <c r="H6" s="416"/>
      <c r="I6" s="736"/>
    </row>
    <row r="7" spans="2:9" s="18" customFormat="1" ht="25.25" customHeight="1">
      <c r="B7" s="413" t="s">
        <v>184</v>
      </c>
      <c r="D7" s="415" t="s">
        <v>8</v>
      </c>
      <c r="E7" s="414"/>
      <c r="F7" s="414" t="s">
        <v>9</v>
      </c>
      <c r="G7" s="513"/>
      <c r="H7" s="416"/>
      <c r="I7" s="736"/>
    </row>
    <row r="8" spans="2:9" ht="4.5" customHeight="1" thickBot="1">
      <c r="B8" s="419"/>
      <c r="C8" s="29"/>
      <c r="D8" s="421"/>
      <c r="E8" s="421"/>
      <c r="F8" s="420"/>
      <c r="G8" s="514"/>
    </row>
    <row r="9" spans="2:9" s="423" customFormat="1" ht="3.75" customHeight="1" thickBot="1">
      <c r="C9" s="424"/>
      <c r="D9" s="425"/>
      <c r="E9" s="425"/>
      <c r="F9" s="425"/>
      <c r="G9" s="515"/>
      <c r="H9" s="427"/>
      <c r="I9" s="737"/>
    </row>
    <row r="10" spans="2:9" s="423" customFormat="1" ht="24" customHeight="1" thickBot="1">
      <c r="B10" s="1102" t="s">
        <v>141</v>
      </c>
      <c r="C10" s="1103"/>
      <c r="D10" s="1103"/>
      <c r="E10" s="1104"/>
      <c r="F10" s="1105" t="s">
        <v>176</v>
      </c>
      <c r="G10" s="1106"/>
      <c r="H10" s="427"/>
      <c r="I10" s="737"/>
    </row>
    <row r="11" spans="2:9" s="423" customFormat="1" ht="3.75" customHeight="1">
      <c r="B11" s="428"/>
      <c r="C11" s="429"/>
      <c r="D11" s="430"/>
      <c r="E11" s="431"/>
      <c r="F11" s="432"/>
      <c r="G11" s="516"/>
      <c r="H11" s="427"/>
      <c r="I11" s="737"/>
    </row>
    <row r="12" spans="2:9" s="423" customFormat="1" ht="15.5">
      <c r="B12" s="434"/>
      <c r="C12" s="435"/>
      <c r="D12" s="436"/>
      <c r="E12" s="436"/>
      <c r="F12" s="437"/>
      <c r="G12" s="517"/>
      <c r="H12" s="427"/>
      <c r="I12" s="737"/>
    </row>
    <row r="13" spans="2:9" s="423" customFormat="1" ht="23.4" customHeight="1">
      <c r="B13" s="440"/>
      <c r="C13" s="436"/>
      <c r="D13" s="436"/>
      <c r="E13" s="436"/>
      <c r="F13" s="441"/>
      <c r="G13" s="518"/>
      <c r="H13" s="427"/>
      <c r="I13" s="737"/>
    </row>
    <row r="14" spans="2:9" s="423" customFormat="1" ht="23.4" customHeight="1">
      <c r="B14" s="440" t="s">
        <v>185</v>
      </c>
      <c r="C14" s="519" t="s">
        <v>62</v>
      </c>
      <c r="D14" s="436"/>
      <c r="E14" s="436"/>
      <c r="F14" s="441"/>
      <c r="G14" s="518"/>
      <c r="H14" s="427"/>
      <c r="I14" s="737"/>
    </row>
    <row r="15" spans="2:9" s="423" customFormat="1" ht="23.4" customHeight="1">
      <c r="B15" s="440"/>
      <c r="C15" s="436" t="s">
        <v>236</v>
      </c>
      <c r="D15" s="436"/>
      <c r="E15" s="436"/>
      <c r="F15" s="441"/>
      <c r="G15" s="518">
        <f>+'Annexure-1 Est. Contract Price '!H19</f>
        <v>11221514.310000001</v>
      </c>
      <c r="H15" s="427"/>
      <c r="I15" s="737"/>
    </row>
    <row r="16" spans="2:9" s="423" customFormat="1" ht="23.4" customHeight="1">
      <c r="B16" s="440"/>
      <c r="C16" s="436" t="s">
        <v>237</v>
      </c>
      <c r="D16" s="436"/>
      <c r="E16" s="436"/>
      <c r="F16" s="441"/>
      <c r="G16" s="518">
        <f>+'Annexure-1 Est. Contract Price '!H28</f>
        <v>28482920.000000004</v>
      </c>
      <c r="H16" s="427"/>
      <c r="I16" s="737"/>
    </row>
    <row r="17" spans="2:9" s="423" customFormat="1" ht="23.4" customHeight="1">
      <c r="B17" s="440"/>
      <c r="C17" s="436" t="s">
        <v>238</v>
      </c>
      <c r="D17" s="436"/>
      <c r="E17" s="436"/>
      <c r="F17" s="441"/>
      <c r="G17" s="518">
        <f>+'Annexure-1 Est. Contract Price '!H52</f>
        <v>4284933.3</v>
      </c>
      <c r="H17" s="427"/>
      <c r="I17" s="737"/>
    </row>
    <row r="18" spans="2:9" s="423" customFormat="1" ht="23.4" customHeight="1">
      <c r="B18" s="440"/>
      <c r="C18" s="436" t="s">
        <v>239</v>
      </c>
      <c r="D18" s="436"/>
      <c r="E18" s="436"/>
      <c r="F18" s="441"/>
      <c r="G18" s="518">
        <f>SUM('Annexure 6-SC Summary '!AB31:AB37)</f>
        <v>929013.38099999994</v>
      </c>
      <c r="H18" s="427"/>
      <c r="I18" s="737"/>
    </row>
    <row r="19" spans="2:9" s="423" customFormat="1" ht="9" customHeight="1">
      <c r="B19" s="440"/>
      <c r="C19" s="436"/>
      <c r="D19" s="436"/>
      <c r="E19" s="436"/>
      <c r="F19" s="441"/>
      <c r="G19" s="518"/>
      <c r="H19" s="427"/>
      <c r="I19" s="737"/>
    </row>
    <row r="20" spans="2:9" s="423" customFormat="1" ht="23.4" customHeight="1" thickBot="1">
      <c r="B20" s="440"/>
      <c r="C20" s="520" t="s">
        <v>240</v>
      </c>
      <c r="D20" s="520"/>
      <c r="E20" s="520"/>
      <c r="F20" s="521"/>
      <c r="G20" s="522">
        <f>SUM(G15:G19)</f>
        <v>44918380.990999997</v>
      </c>
      <c r="H20" s="427"/>
      <c r="I20" s="737"/>
    </row>
    <row r="21" spans="2:9" s="423" customFormat="1" ht="23.4" customHeight="1" thickTop="1">
      <c r="B21" s="440"/>
      <c r="C21" s="436"/>
      <c r="D21" s="436"/>
      <c r="E21" s="436"/>
      <c r="F21" s="441"/>
      <c r="G21" s="518"/>
      <c r="H21" s="427"/>
      <c r="I21" s="737"/>
    </row>
    <row r="22" spans="2:9" s="423" customFormat="1" ht="23.4" customHeight="1">
      <c r="B22" s="440"/>
      <c r="C22" s="436"/>
      <c r="D22" s="436"/>
      <c r="E22" s="436"/>
      <c r="F22" s="441"/>
      <c r="G22" s="518"/>
      <c r="H22" s="427"/>
      <c r="I22" s="737"/>
    </row>
    <row r="23" spans="2:9" s="423" customFormat="1" ht="23.4" customHeight="1">
      <c r="B23" s="440" t="s">
        <v>191</v>
      </c>
      <c r="C23" s="519" t="s">
        <v>63</v>
      </c>
      <c r="D23" s="436"/>
      <c r="E23" s="436"/>
      <c r="F23" s="441"/>
      <c r="G23" s="518"/>
      <c r="H23" s="427"/>
      <c r="I23" s="737"/>
    </row>
    <row r="24" spans="2:9" s="423" customFormat="1" ht="15.5">
      <c r="B24" s="523"/>
      <c r="C24" s="524" t="s">
        <v>241</v>
      </c>
      <c r="D24" s="436"/>
      <c r="E24" s="436"/>
      <c r="F24" s="441"/>
      <c r="G24" s="518"/>
      <c r="H24" s="427"/>
      <c r="I24" s="737"/>
    </row>
    <row r="25" spans="2:9" s="423" customFormat="1" ht="23.4" customHeight="1">
      <c r="B25" s="440"/>
      <c r="C25" s="525" t="s">
        <v>66</v>
      </c>
      <c r="E25" s="436"/>
      <c r="F25" s="441"/>
      <c r="G25" s="518">
        <f>+'Annexure-1 Est. Contract Price '!H65</f>
        <v>49604165.233875006</v>
      </c>
      <c r="H25" s="427"/>
      <c r="I25" s="737"/>
    </row>
    <row r="26" spans="2:9" s="423" customFormat="1" ht="15.5">
      <c r="B26" s="523"/>
      <c r="C26" s="524" t="s">
        <v>242</v>
      </c>
      <c r="D26" s="436"/>
      <c r="E26" s="436"/>
      <c r="F26" s="441"/>
      <c r="G26" s="518"/>
      <c r="H26" s="427"/>
      <c r="I26" s="737"/>
    </row>
    <row r="27" spans="2:9" s="423" customFormat="1" ht="23.4" customHeight="1">
      <c r="B27" s="440"/>
      <c r="C27" s="525" t="s">
        <v>731</v>
      </c>
      <c r="E27" s="436"/>
      <c r="F27" s="441"/>
      <c r="G27" s="518">
        <f>-SUM('Annexure 6-SC Summary '!AB31:AB37)*12.5%</f>
        <v>-116126.67262499999</v>
      </c>
      <c r="H27" s="427"/>
      <c r="I27" s="737"/>
    </row>
    <row r="28" spans="2:9" s="423" customFormat="1" ht="9" customHeight="1">
      <c r="B28" s="440"/>
      <c r="C28" s="436"/>
      <c r="D28" s="436"/>
      <c r="E28" s="436"/>
      <c r="F28" s="441"/>
      <c r="G28" s="518"/>
      <c r="H28" s="427"/>
      <c r="I28" s="737"/>
    </row>
    <row r="29" spans="2:9" s="423" customFormat="1" ht="23.4" customHeight="1" thickBot="1">
      <c r="B29" s="440"/>
      <c r="C29" s="508" t="s">
        <v>243</v>
      </c>
      <c r="D29" s="520"/>
      <c r="E29" s="520"/>
      <c r="F29" s="521"/>
      <c r="G29" s="522">
        <f>SUM(G24:G28)</f>
        <v>49488038.561250009</v>
      </c>
      <c r="H29" s="427"/>
      <c r="I29" s="737"/>
    </row>
    <row r="30" spans="2:9" s="423" customFormat="1" ht="23.4" customHeight="1" thickTop="1">
      <c r="B30" s="440"/>
      <c r="C30" s="436"/>
      <c r="D30" s="436"/>
      <c r="E30" s="436"/>
      <c r="F30" s="441"/>
      <c r="G30" s="518"/>
      <c r="H30" s="427"/>
      <c r="I30" s="737"/>
    </row>
    <row r="31" spans="2:9" s="423" customFormat="1" ht="23.4" customHeight="1">
      <c r="B31" s="440"/>
      <c r="C31" s="436"/>
      <c r="D31" s="436"/>
      <c r="E31" s="436"/>
      <c r="F31" s="441"/>
      <c r="G31" s="518"/>
      <c r="H31" s="427"/>
      <c r="I31" s="737"/>
    </row>
    <row r="32" spans="2:9" s="423" customFormat="1" ht="23.4" customHeight="1">
      <c r="B32" s="440" t="s">
        <v>244</v>
      </c>
      <c r="C32" s="519" t="s">
        <v>64</v>
      </c>
      <c r="D32" s="436"/>
      <c r="E32" s="436"/>
      <c r="F32" s="441"/>
      <c r="G32" s="518"/>
      <c r="H32" s="427"/>
      <c r="I32" s="737"/>
    </row>
    <row r="33" spans="2:14" s="423" customFormat="1" ht="15.5">
      <c r="B33" s="526"/>
      <c r="C33" s="524" t="s">
        <v>241</v>
      </c>
      <c r="D33" s="436"/>
      <c r="E33" s="436"/>
      <c r="F33" s="441"/>
      <c r="G33" s="518"/>
      <c r="H33" s="427"/>
      <c r="I33" s="737"/>
    </row>
    <row r="34" spans="2:14" s="423" customFormat="1" ht="23.4" customHeight="1">
      <c r="B34" s="440"/>
      <c r="C34" s="525" t="s">
        <v>245</v>
      </c>
      <c r="E34" s="436"/>
      <c r="F34" s="441"/>
      <c r="G34" s="518">
        <f>+'Annexure-1 Est. Contract Price '!G19</f>
        <v>27398951.141244046</v>
      </c>
      <c r="H34" s="427"/>
      <c r="I34" s="737">
        <f>G34</f>
        <v>27398951.141244046</v>
      </c>
    </row>
    <row r="35" spans="2:14" s="423" customFormat="1" ht="23.4" customHeight="1">
      <c r="B35" s="440"/>
      <c r="C35" s="525" t="s">
        <v>246</v>
      </c>
      <c r="E35" s="436"/>
      <c r="F35" s="441"/>
      <c r="G35" s="518">
        <f>+'Annexure-1 Est. Contract Price '!G28</f>
        <v>21760602.959586494</v>
      </c>
      <c r="H35" s="427"/>
      <c r="I35" s="737">
        <f t="shared" ref="I35:I36" si="0">G35</f>
        <v>21760602.959586494</v>
      </c>
    </row>
    <row r="36" spans="2:14" s="423" customFormat="1" ht="23.4" customHeight="1">
      <c r="B36" s="440"/>
      <c r="C36" s="525" t="s">
        <v>247</v>
      </c>
      <c r="E36" s="436"/>
      <c r="F36" s="441"/>
      <c r="G36" s="518">
        <f>+'Annexure-1 Est. Contract Price '!G52</f>
        <v>41722627.1194527</v>
      </c>
      <c r="H36" s="427"/>
      <c r="I36" s="737">
        <f t="shared" si="0"/>
        <v>41722627.1194527</v>
      </c>
    </row>
    <row r="37" spans="2:14" s="423" customFormat="1" ht="23.4" customHeight="1">
      <c r="B37" s="440"/>
      <c r="C37" s="525" t="s">
        <v>248</v>
      </c>
      <c r="E37" s="436"/>
      <c r="F37" s="441"/>
      <c r="G37" s="518">
        <f>'Annexure 6-SC Summary '!AB87-(SUM('Annexure 6-SC Summary '!AB31:AB37,'Annexure 6-SC Summary '!AB28))</f>
        <v>3133288.9702650867</v>
      </c>
      <c r="H37" s="427"/>
      <c r="I37" s="737">
        <f>'Annexure 6-SC Summary '!AC87-(SUM('Annexure 6-SC Summary '!AC31:AC37,'Annexure 6-SC Summary '!AC28))</f>
        <v>2955093.1000000006</v>
      </c>
    </row>
    <row r="38" spans="2:14" s="423" customFormat="1" ht="15.5">
      <c r="B38" s="526"/>
      <c r="C38" s="524" t="s">
        <v>242</v>
      </c>
      <c r="D38" s="436"/>
      <c r="E38" s="436"/>
      <c r="F38" s="441"/>
      <c r="G38" s="518"/>
      <c r="H38" s="427"/>
      <c r="I38" s="737"/>
    </row>
    <row r="39" spans="2:14" s="423" customFormat="1" ht="23.4" customHeight="1">
      <c r="B39" s="440"/>
      <c r="C39" s="525" t="s">
        <v>249</v>
      </c>
      <c r="E39" s="435"/>
      <c r="F39" s="441"/>
      <c r="G39" s="518">
        <f>-'Annexure 6-SC Summary '!T28</f>
        <v>-2282527.4700000002</v>
      </c>
      <c r="H39" s="427"/>
      <c r="I39" s="737">
        <f>-'Annexure 6-SC Summary '!U28</f>
        <v>-2663978.0699999998</v>
      </c>
    </row>
    <row r="40" spans="2:14" s="423" customFormat="1" ht="15.5">
      <c r="B40" s="440"/>
      <c r="C40" s="445"/>
      <c r="D40" s="445"/>
      <c r="E40" s="446"/>
      <c r="F40" s="447"/>
      <c r="G40" s="518"/>
      <c r="H40" s="449"/>
      <c r="I40" s="737"/>
    </row>
    <row r="41" spans="2:14" s="423" customFormat="1" ht="23.4" customHeight="1" thickBot="1">
      <c r="B41" s="440"/>
      <c r="C41" s="520" t="s">
        <v>250</v>
      </c>
      <c r="D41" s="520"/>
      <c r="E41" s="520"/>
      <c r="F41" s="521"/>
      <c r="G41" s="522">
        <f>SUM(G34:G40)</f>
        <v>91732942.720548332</v>
      </c>
      <c r="H41" s="427"/>
      <c r="I41" s="737">
        <f>SUM(I34:I39)</f>
        <v>91173296.250283241</v>
      </c>
    </row>
    <row r="42" spans="2:14" s="423" customFormat="1" ht="16.5" thickTop="1" thickBot="1">
      <c r="B42" s="458"/>
      <c r="C42" s="459"/>
      <c r="D42" s="460"/>
      <c r="E42" s="461"/>
      <c r="F42" s="462"/>
      <c r="G42" s="527"/>
      <c r="H42" s="427"/>
      <c r="I42" s="737"/>
    </row>
    <row r="43" spans="2:14" ht="11" customHeight="1">
      <c r="C43" s="464"/>
      <c r="D43" s="464"/>
      <c r="E43" s="464"/>
      <c r="F43" s="464"/>
      <c r="G43" s="528"/>
      <c r="J43" s="423"/>
    </row>
    <row r="44" spans="2:14" ht="15.5">
      <c r="J44" s="423"/>
    </row>
    <row r="45" spans="2:14" ht="15.5">
      <c r="J45" s="423"/>
    </row>
    <row r="46" spans="2:14" ht="15.5">
      <c r="J46" s="423"/>
    </row>
    <row r="47" spans="2:14" ht="15.5">
      <c r="J47" s="423"/>
    </row>
    <row r="48" spans="2:14" s="411" customFormat="1" ht="15.5">
      <c r="C48" s="4"/>
      <c r="D48" s="4"/>
      <c r="E48" s="4"/>
      <c r="F48" s="4"/>
      <c r="G48" s="468"/>
      <c r="I48" s="735"/>
      <c r="J48" s="423"/>
      <c r="K48" s="4"/>
      <c r="L48" s="4"/>
      <c r="M48" s="4"/>
      <c r="N48" s="4"/>
    </row>
    <row r="49" spans="3:14" ht="15.5">
      <c r="J49" s="423"/>
    </row>
    <row r="50" spans="3:14" ht="15.5">
      <c r="J50" s="423"/>
    </row>
    <row r="51" spans="3:14" s="411" customFormat="1">
      <c r="C51" s="4"/>
      <c r="D51" s="4"/>
      <c r="E51" s="4"/>
      <c r="F51" s="4"/>
      <c r="G51" s="468"/>
      <c r="I51" s="735"/>
      <c r="J51" s="4"/>
      <c r="K51" s="4"/>
      <c r="L51" s="4"/>
      <c r="M51" s="4"/>
      <c r="N51" s="4"/>
    </row>
    <row r="52" spans="3:14" s="411" customFormat="1">
      <c r="C52" s="4"/>
      <c r="D52" s="469"/>
      <c r="E52" s="4"/>
      <c r="F52" s="4"/>
      <c r="G52" s="468"/>
      <c r="I52" s="735"/>
      <c r="J52" s="4"/>
      <c r="K52" s="4"/>
      <c r="L52" s="4"/>
      <c r="M52" s="4"/>
      <c r="N52" s="4"/>
    </row>
  </sheetData>
  <mergeCells count="5">
    <mergeCell ref="B2:G2"/>
    <mergeCell ref="B3:G3"/>
    <mergeCell ref="F5:G5"/>
    <mergeCell ref="B10:E10"/>
    <mergeCell ref="F10:G10"/>
  </mergeCells>
  <pageMargins left="0.7" right="0.7" top="0.75" bottom="0.75" header="0.3" footer="0.3"/>
  <pageSetup scale="7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J16" sqref="J16"/>
    </sheetView>
  </sheetViews>
  <sheetFormatPr defaultColWidth="9.08984375" defaultRowHeight="12.5"/>
  <cols>
    <col min="1" max="1" width="2.36328125" style="363" customWidth="1"/>
    <col min="2" max="2" width="13.453125" style="363" customWidth="1"/>
    <col min="3" max="3" width="9.08984375" style="363"/>
    <col min="4" max="5" width="8.90625" style="363" customWidth="1"/>
    <col min="6" max="6" width="15.453125" style="363" customWidth="1"/>
    <col min="7" max="7" width="9.08984375" style="363"/>
    <col min="8" max="8" width="10.54296875" style="363" customWidth="1"/>
    <col min="9" max="9" width="4.90625" style="363" customWidth="1"/>
    <col min="10" max="10" width="16.36328125" style="363" customWidth="1"/>
    <col min="11" max="11" width="20.6328125" style="362" customWidth="1"/>
    <col min="12" max="12" width="16" style="363" customWidth="1"/>
    <col min="13" max="13" width="9.08984375" style="363"/>
    <col min="14" max="14" width="15.6328125" style="363" customWidth="1"/>
    <col min="15" max="16384" width="9.08984375" style="363"/>
  </cols>
  <sheetData>
    <row r="2" spans="2:14" ht="23.5">
      <c r="B2" s="1109" t="s">
        <v>0</v>
      </c>
      <c r="C2" s="1109"/>
      <c r="D2" s="1109"/>
      <c r="E2" s="1109"/>
      <c r="F2" s="1109"/>
      <c r="G2" s="1109"/>
      <c r="H2" s="1109"/>
      <c r="I2" s="1109"/>
      <c r="J2" s="1109"/>
    </row>
    <row r="3" spans="2:14" ht="19" thickBot="1">
      <c r="B3" s="1110" t="s">
        <v>813</v>
      </c>
      <c r="C3" s="1110"/>
      <c r="D3" s="1110"/>
      <c r="E3" s="1110"/>
      <c r="F3" s="1110"/>
      <c r="G3" s="1110"/>
      <c r="H3" s="1110"/>
      <c r="I3" s="1110"/>
      <c r="J3" s="1110"/>
    </row>
    <row r="4" spans="2:14">
      <c r="B4" s="364"/>
      <c r="C4" s="365"/>
      <c r="D4" s="365"/>
      <c r="E4" s="365"/>
      <c r="F4" s="365"/>
      <c r="G4" s="366"/>
      <c r="H4" s="366"/>
      <c r="I4" s="365"/>
      <c r="J4" s="367"/>
    </row>
    <row r="5" spans="2:14" s="369" customFormat="1" ht="15.5">
      <c r="B5" s="368" t="s">
        <v>2</v>
      </c>
      <c r="G5" s="370" t="s">
        <v>3</v>
      </c>
      <c r="I5" s="1111">
        <f ca="1">+'Annexure 11-Advance Recovery'!G5</f>
        <v>44979</v>
      </c>
      <c r="J5" s="1112"/>
      <c r="K5" s="371"/>
      <c r="L5" s="363"/>
      <c r="M5" s="363"/>
      <c r="N5" s="363"/>
    </row>
    <row r="6" spans="2:14" s="369" customFormat="1" ht="15.5">
      <c r="B6" s="368" t="s">
        <v>4</v>
      </c>
      <c r="G6" s="370" t="s">
        <v>5</v>
      </c>
      <c r="I6" s="373" t="str">
        <f>+'Annexure 11-Advance Recovery'!G6</f>
        <v>KCE-12</v>
      </c>
      <c r="J6" s="372"/>
      <c r="K6" s="371"/>
      <c r="L6" s="363"/>
      <c r="M6" s="363"/>
      <c r="N6" s="363"/>
    </row>
    <row r="7" spans="2:14" s="369" customFormat="1" ht="15.5">
      <c r="B7" s="368" t="s">
        <v>7</v>
      </c>
      <c r="C7" s="374"/>
      <c r="G7" s="370" t="s">
        <v>8</v>
      </c>
      <c r="I7" s="369" t="str">
        <f>+'Annexure 11-Advance Recovery'!G7</f>
        <v>AED</v>
      </c>
      <c r="J7" s="372"/>
      <c r="K7" s="371"/>
      <c r="L7" s="363"/>
      <c r="M7" s="363"/>
      <c r="N7" s="363"/>
    </row>
    <row r="8" spans="2:14" ht="13" thickBot="1">
      <c r="B8" s="375"/>
      <c r="C8" s="376"/>
      <c r="D8" s="376"/>
      <c r="E8" s="376"/>
      <c r="F8" s="376"/>
      <c r="G8" s="377"/>
      <c r="H8" s="377"/>
      <c r="I8" s="376"/>
      <c r="J8" s="378"/>
    </row>
    <row r="9" spans="2:14" s="381" customFormat="1" ht="16" thickBot="1">
      <c r="B9" s="379"/>
      <c r="C9" s="380"/>
      <c r="J9" s="382"/>
      <c r="K9" s="383"/>
      <c r="L9" s="363"/>
      <c r="M9" s="363"/>
      <c r="N9" s="363"/>
    </row>
    <row r="10" spans="2:14" s="381" customFormat="1" ht="16" thickBot="1">
      <c r="B10" s="1113" t="s">
        <v>141</v>
      </c>
      <c r="C10" s="1114"/>
      <c r="D10" s="1114"/>
      <c r="E10" s="1114"/>
      <c r="F10" s="1114"/>
      <c r="G10" s="1114"/>
      <c r="H10" s="1115"/>
      <c r="I10" s="1116" t="s">
        <v>176</v>
      </c>
      <c r="J10" s="1117"/>
      <c r="K10" s="383"/>
      <c r="L10" s="363"/>
      <c r="M10" s="363"/>
      <c r="N10" s="363"/>
    </row>
    <row r="11" spans="2:14" s="381" customFormat="1" ht="15.5">
      <c r="B11" s="384"/>
      <c r="C11" s="385"/>
      <c r="D11" s="385"/>
      <c r="E11" s="385"/>
      <c r="F11" s="385"/>
      <c r="G11" s="385"/>
      <c r="H11" s="386"/>
      <c r="I11" s="387"/>
      <c r="J11" s="388"/>
      <c r="K11" s="383"/>
      <c r="L11" s="363"/>
      <c r="M11" s="363"/>
      <c r="N11" s="363"/>
    </row>
    <row r="12" spans="2:14" s="381" customFormat="1" ht="15.5">
      <c r="B12" s="389" t="s">
        <v>177</v>
      </c>
      <c r="C12" s="390"/>
      <c r="D12" s="390"/>
      <c r="E12" s="390"/>
      <c r="F12" s="390"/>
      <c r="G12" s="390"/>
      <c r="H12" s="391"/>
      <c r="I12" s="392"/>
      <c r="J12" s="393">
        <f>'Annexure-1 Est. Contract Price '!H65</f>
        <v>49604165.233875006</v>
      </c>
      <c r="K12" s="383"/>
      <c r="L12" s="363"/>
      <c r="M12" s="363"/>
      <c r="N12" s="363"/>
    </row>
    <row r="13" spans="2:14" s="381" customFormat="1" ht="15.5">
      <c r="B13" s="389" t="s">
        <v>178</v>
      </c>
      <c r="C13" s="390"/>
      <c r="D13" s="390"/>
      <c r="E13" s="390"/>
      <c r="F13" s="390"/>
      <c r="G13" s="390"/>
      <c r="H13" s="391"/>
      <c r="I13" s="392"/>
      <c r="J13" s="394">
        <f>-'Annexure-1 Est. Contract Price '!H18</f>
        <v>-1601392.92</v>
      </c>
      <c r="K13" s="383"/>
      <c r="L13" s="363"/>
      <c r="M13" s="363"/>
      <c r="N13" s="363"/>
    </row>
    <row r="14" spans="2:14" s="381" customFormat="1" ht="15.5">
      <c r="B14" s="389" t="s">
        <v>179</v>
      </c>
      <c r="C14" s="390"/>
      <c r="D14" s="390"/>
      <c r="E14" s="390"/>
      <c r="F14" s="390"/>
      <c r="G14" s="390"/>
      <c r="H14" s="391"/>
      <c r="I14" s="392"/>
      <c r="J14" s="394">
        <f>-'Annexure-1 Est. Contract Price '!H60</f>
        <v>-5614797.6238749996</v>
      </c>
      <c r="K14" s="383"/>
      <c r="L14" s="363"/>
      <c r="M14" s="363"/>
      <c r="N14" s="363"/>
    </row>
    <row r="15" spans="2:14" s="381" customFormat="1" ht="15.5">
      <c r="B15" s="389" t="s">
        <v>180</v>
      </c>
      <c r="C15" s="390"/>
      <c r="D15" s="390"/>
      <c r="E15" s="390"/>
      <c r="F15" s="390"/>
      <c r="G15" s="390"/>
      <c r="H15" s="391"/>
      <c r="I15" s="392"/>
      <c r="J15" s="394">
        <f>-'Annexure-1 Est. Contract Price '!I16</f>
        <v>-9620121.3900000006</v>
      </c>
      <c r="K15" s="383"/>
      <c r="L15" s="363"/>
      <c r="M15" s="363"/>
      <c r="N15" s="363"/>
    </row>
    <row r="16" spans="2:14" s="381" customFormat="1" ht="15.5">
      <c r="B16" s="389" t="s">
        <v>181</v>
      </c>
      <c r="C16" s="390"/>
      <c r="D16" s="390"/>
      <c r="E16" s="390"/>
      <c r="F16" s="390"/>
      <c r="G16" s="390"/>
      <c r="H16" s="391"/>
      <c r="I16" s="392"/>
      <c r="J16" s="395">
        <f>('Annexure-1 Est. Contract Price '!G52)-'Committed Orders'!H7-'Committed Orders'!H8</f>
        <v>40889994.709452704</v>
      </c>
      <c r="K16" s="383"/>
      <c r="L16" s="363"/>
      <c r="M16" s="363"/>
      <c r="N16" s="363"/>
    </row>
    <row r="17" spans="2:14" s="381" customFormat="1" ht="15.5">
      <c r="B17" s="389" t="s">
        <v>182</v>
      </c>
      <c r="C17" s="390"/>
      <c r="D17" s="390"/>
      <c r="E17" s="390"/>
      <c r="F17" s="390"/>
      <c r="G17" s="390"/>
      <c r="H17" s="391"/>
      <c r="I17" s="392"/>
      <c r="J17" s="396">
        <f>SUM(J12:J16)</f>
        <v>73657848.009452701</v>
      </c>
      <c r="K17" s="383"/>
      <c r="L17" s="363"/>
      <c r="M17" s="363"/>
      <c r="N17" s="363"/>
    </row>
    <row r="18" spans="2:14" s="381" customFormat="1" ht="16" thickBot="1">
      <c r="B18" s="389"/>
      <c r="C18" s="390"/>
      <c r="D18" s="390"/>
      <c r="E18" s="390"/>
      <c r="F18" s="390"/>
      <c r="G18" s="390"/>
      <c r="H18" s="391"/>
      <c r="I18" s="392"/>
      <c r="J18" s="391"/>
      <c r="K18" s="383"/>
      <c r="L18" s="363"/>
      <c r="M18" s="363"/>
      <c r="N18" s="363"/>
    </row>
    <row r="19" spans="2:14" s="381" customFormat="1" ht="15.5">
      <c r="B19" s="397"/>
      <c r="C19" s="398"/>
      <c r="D19" s="398"/>
      <c r="E19" s="398"/>
      <c r="F19" s="398"/>
      <c r="G19" s="398"/>
      <c r="H19" s="399"/>
      <c r="I19" s="400"/>
      <c r="J19" s="401"/>
      <c r="K19" s="383"/>
      <c r="L19" s="363"/>
      <c r="M19" s="363"/>
      <c r="N19" s="363"/>
    </row>
    <row r="20" spans="2:14" s="381" customFormat="1" ht="15.5">
      <c r="B20" s="402" t="s">
        <v>183</v>
      </c>
      <c r="C20" s="403"/>
      <c r="D20" s="403"/>
      <c r="E20" s="403"/>
      <c r="F20" s="403"/>
      <c r="G20" s="403"/>
      <c r="H20" s="404"/>
      <c r="I20" s="405">
        <v>0.1</v>
      </c>
      <c r="J20" s="406">
        <f>J17*10%</f>
        <v>7365784.8009452708</v>
      </c>
      <c r="K20" s="383"/>
      <c r="L20" s="363"/>
      <c r="M20" s="363"/>
      <c r="N20" s="363"/>
    </row>
    <row r="21" spans="2:14" s="381" customFormat="1" ht="16" thickBot="1">
      <c r="B21" s="1107"/>
      <c r="C21" s="1108"/>
      <c r="D21" s="407"/>
      <c r="E21" s="407"/>
      <c r="F21" s="407"/>
      <c r="G21" s="407"/>
      <c r="H21" s="408"/>
      <c r="I21" s="409"/>
      <c r="J21" s="410"/>
      <c r="K21" s="383"/>
      <c r="L21" s="363"/>
      <c r="M21" s="363"/>
      <c r="N21" s="363"/>
    </row>
  </sheetData>
  <mergeCells count="6">
    <mergeCell ref="B21:C21"/>
    <mergeCell ref="B2:J2"/>
    <mergeCell ref="B3:J3"/>
    <mergeCell ref="I5:J5"/>
    <mergeCell ref="B10:H10"/>
    <mergeCell ref="I10:J10"/>
  </mergeCells>
  <pageMargins left="0.7" right="0.7" top="0.75" bottom="0.75" header="0.3" footer="0.3"/>
  <pageSetup scale="91"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zoomScale="70" zoomScaleNormal="100" zoomScaleSheetLayoutView="70" workbookViewId="0">
      <selection activeCell="K24" sqref="K24"/>
    </sheetView>
  </sheetViews>
  <sheetFormatPr defaultColWidth="9.08984375" defaultRowHeight="12.5"/>
  <cols>
    <col min="1" max="1" width="2.453125" style="4" customWidth="1"/>
    <col min="2" max="2" width="5.6328125" style="4" customWidth="1"/>
    <col min="3" max="3" width="42.6328125" style="4" customWidth="1"/>
    <col min="4" max="4" width="9" style="4" customWidth="1"/>
    <col min="5" max="5" width="16.36328125" style="4" customWidth="1"/>
    <col min="6" max="6" width="5.54296875" style="4" customWidth="1"/>
    <col min="7" max="7" width="7.453125" style="4" customWidth="1"/>
    <col min="8" max="8" width="20" style="4" customWidth="1"/>
    <col min="9" max="9" width="2.54296875" style="411" customWidth="1"/>
    <col min="10" max="10" width="20" style="4" bestFit="1" customWidth="1"/>
    <col min="11" max="11" width="17.6328125" style="4" bestFit="1" customWidth="1"/>
    <col min="12" max="12" width="20.54296875" style="4" hidden="1" customWidth="1"/>
    <col min="13" max="13" width="18.36328125" style="4" bestFit="1" customWidth="1"/>
    <col min="14" max="14" width="22.453125" style="4" customWidth="1"/>
    <col min="15" max="15" width="18.36328125" style="4" bestFit="1" customWidth="1"/>
    <col min="16" max="16384" width="9.08984375" style="4"/>
  </cols>
  <sheetData>
    <row r="2" spans="2:10" ht="39" customHeight="1">
      <c r="C2" s="1099" t="s">
        <v>0</v>
      </c>
      <c r="D2" s="1099"/>
      <c r="E2" s="1099"/>
      <c r="F2" s="1099"/>
      <c r="G2" s="1099"/>
      <c r="H2" s="1099"/>
    </row>
    <row r="3" spans="2:10" ht="35.4" customHeight="1" thickBot="1">
      <c r="C3" s="1082" t="s">
        <v>814</v>
      </c>
      <c r="D3" s="1082"/>
      <c r="E3" s="1082"/>
      <c r="F3" s="1082"/>
      <c r="G3" s="1082"/>
      <c r="H3" s="1082"/>
    </row>
    <row r="4" spans="2:10" ht="15.65" customHeight="1">
      <c r="B4" s="285"/>
      <c r="C4" s="10"/>
      <c r="D4" s="287"/>
      <c r="E4" s="286"/>
      <c r="F4" s="286"/>
      <c r="G4" s="287"/>
      <c r="H4" s="412"/>
    </row>
    <row r="5" spans="2:10" s="18" customFormat="1" ht="18.649999999999999" customHeight="1">
      <c r="B5" s="413" t="s">
        <v>2</v>
      </c>
      <c r="D5" s="414"/>
      <c r="E5" s="415" t="s">
        <v>3</v>
      </c>
      <c r="F5" s="414"/>
      <c r="G5" s="1100">
        <f ca="1">'KCE-PC 12'!G3</f>
        <v>44979</v>
      </c>
      <c r="H5" s="1101"/>
      <c r="I5" s="416"/>
    </row>
    <row r="6" spans="2:10" s="18" customFormat="1" ht="23.4" customHeight="1">
      <c r="B6" s="413" t="s">
        <v>4</v>
      </c>
      <c r="D6" s="414"/>
      <c r="E6" s="415" t="s">
        <v>5</v>
      </c>
      <c r="F6" s="414"/>
      <c r="G6" s="417" t="str">
        <f>'KCE-PC 12'!G2</f>
        <v>KCE-12</v>
      </c>
      <c r="H6" s="418"/>
      <c r="I6" s="416"/>
    </row>
    <row r="7" spans="2:10" s="18" customFormat="1" ht="25.25" customHeight="1">
      <c r="B7" s="413" t="s">
        <v>184</v>
      </c>
      <c r="D7" s="414"/>
      <c r="E7" s="415" t="s">
        <v>8</v>
      </c>
      <c r="F7" s="414"/>
      <c r="G7" s="414" t="s">
        <v>9</v>
      </c>
      <c r="H7" s="418"/>
      <c r="I7" s="416"/>
    </row>
    <row r="8" spans="2:10" ht="4.5" customHeight="1" thickBot="1">
      <c r="B8" s="419"/>
      <c r="C8" s="29"/>
      <c r="D8" s="420"/>
      <c r="E8" s="421"/>
      <c r="F8" s="421"/>
      <c r="G8" s="420"/>
      <c r="H8" s="422"/>
    </row>
    <row r="9" spans="2:10" s="423" customFormat="1" ht="3.75" customHeight="1" thickBot="1">
      <c r="C9" s="424"/>
      <c r="D9" s="425"/>
      <c r="E9" s="425"/>
      <c r="F9" s="425"/>
      <c r="G9" s="425"/>
      <c r="H9" s="426"/>
      <c r="I9" s="427"/>
    </row>
    <row r="10" spans="2:10" s="423" customFormat="1" ht="24" customHeight="1" thickBot="1">
      <c r="B10" s="1102" t="s">
        <v>141</v>
      </c>
      <c r="C10" s="1103"/>
      <c r="D10" s="1103"/>
      <c r="E10" s="1103"/>
      <c r="F10" s="1104"/>
      <c r="G10" s="1105" t="s">
        <v>176</v>
      </c>
      <c r="H10" s="1106"/>
      <c r="I10" s="427"/>
    </row>
    <row r="11" spans="2:10" s="423" customFormat="1" ht="3.75" customHeight="1">
      <c r="B11" s="428"/>
      <c r="C11" s="429"/>
      <c r="D11" s="430"/>
      <c r="E11" s="430"/>
      <c r="F11" s="431"/>
      <c r="G11" s="432"/>
      <c r="H11" s="433"/>
      <c r="I11" s="427"/>
    </row>
    <row r="12" spans="2:10" s="423" customFormat="1" ht="15" customHeight="1">
      <c r="B12" s="434" t="s">
        <v>185</v>
      </c>
      <c r="C12" s="435" t="s">
        <v>186</v>
      </c>
      <c r="D12" s="436"/>
      <c r="E12" s="436"/>
      <c r="F12" s="436"/>
      <c r="G12" s="437"/>
      <c r="H12" s="438"/>
      <c r="I12" s="427"/>
    </row>
    <row r="13" spans="2:10" s="423" customFormat="1" ht="15" customHeight="1">
      <c r="B13" s="439"/>
      <c r="C13" s="435"/>
      <c r="D13" s="436"/>
      <c r="E13" s="436"/>
      <c r="F13" s="436"/>
      <c r="G13" s="437"/>
      <c r="H13" s="438"/>
      <c r="I13" s="427"/>
    </row>
    <row r="14" spans="2:10" s="423" customFormat="1" ht="24.75" customHeight="1">
      <c r="B14" s="440">
        <v>1</v>
      </c>
      <c r="C14" s="436" t="s">
        <v>187</v>
      </c>
      <c r="D14" s="436"/>
      <c r="E14" s="436"/>
      <c r="F14" s="436"/>
      <c r="G14" s="441"/>
      <c r="H14" s="442">
        <v>6000000</v>
      </c>
      <c r="I14" s="427"/>
    </row>
    <row r="15" spans="2:10" s="423" customFormat="1" ht="20" customHeight="1">
      <c r="B15" s="440">
        <v>2</v>
      </c>
      <c r="C15" s="443" t="s">
        <v>188</v>
      </c>
      <c r="D15" s="435"/>
      <c r="E15" s="435"/>
      <c r="F15" s="435"/>
      <c r="G15" s="441"/>
      <c r="H15" s="442">
        <v>6000000</v>
      </c>
      <c r="I15" s="427"/>
    </row>
    <row r="16" spans="2:10" s="423" customFormat="1" ht="24.65" customHeight="1">
      <c r="B16" s="440">
        <v>3</v>
      </c>
      <c r="C16" s="1118" t="s">
        <v>189</v>
      </c>
      <c r="D16" s="1118"/>
      <c r="E16" s="1118"/>
      <c r="F16" s="1119"/>
      <c r="G16" s="441"/>
      <c r="H16" s="442">
        <f>'Annexure 6-SC Summary '!V87</f>
        <v>11959229.225000003</v>
      </c>
      <c r="I16" s="427"/>
      <c r="J16" s="444"/>
    </row>
    <row r="17" spans="2:15" s="423" customFormat="1" ht="18" customHeight="1" thickBot="1">
      <c r="B17" s="440"/>
      <c r="C17" s="445" t="s">
        <v>190</v>
      </c>
      <c r="D17" s="445"/>
      <c r="E17" s="445"/>
      <c r="F17" s="446"/>
      <c r="G17" s="447"/>
      <c r="H17" s="448">
        <f>SUM(H14:H16)</f>
        <v>23959229.225000001</v>
      </c>
      <c r="I17" s="449"/>
    </row>
    <row r="18" spans="2:15" s="423" customFormat="1" ht="15.75" customHeight="1" thickTop="1">
      <c r="B18" s="450"/>
      <c r="C18" s="451"/>
      <c r="D18" s="451"/>
      <c r="E18" s="451"/>
      <c r="F18" s="446"/>
      <c r="G18" s="452"/>
      <c r="H18" s="453"/>
      <c r="I18" s="449"/>
      <c r="J18" s="454"/>
    </row>
    <row r="19" spans="2:15" s="423" customFormat="1" ht="15.75" customHeight="1">
      <c r="B19" s="440" t="s">
        <v>191</v>
      </c>
      <c r="C19" s="451" t="s">
        <v>192</v>
      </c>
      <c r="D19" s="451"/>
      <c r="E19" s="451"/>
      <c r="F19" s="446"/>
      <c r="G19" s="452"/>
      <c r="H19" s="453"/>
      <c r="I19" s="449"/>
      <c r="J19" s="454"/>
    </row>
    <row r="20" spans="2:15" s="423" customFormat="1" ht="15.75" customHeight="1">
      <c r="B20" s="439"/>
      <c r="C20" s="451"/>
      <c r="D20" s="451"/>
      <c r="E20" s="451"/>
      <c r="F20" s="446"/>
      <c r="G20" s="452"/>
      <c r="H20" s="453"/>
      <c r="I20" s="449"/>
      <c r="J20" s="454"/>
    </row>
    <row r="21" spans="2:15" s="423" customFormat="1" ht="15.75" customHeight="1">
      <c r="B21" s="440">
        <v>4</v>
      </c>
      <c r="C21" s="436" t="s">
        <v>193</v>
      </c>
      <c r="D21" s="436"/>
      <c r="E21" s="436"/>
      <c r="F21" s="436"/>
      <c r="G21" s="441"/>
      <c r="H21" s="442">
        <v>0</v>
      </c>
      <c r="I21" s="449"/>
      <c r="J21" s="454"/>
    </row>
    <row r="22" spans="2:15" s="423" customFormat="1" ht="15.75" customHeight="1">
      <c r="B22" s="440">
        <v>5</v>
      </c>
      <c r="C22" s="455" t="s">
        <v>194</v>
      </c>
      <c r="D22" s="435"/>
      <c r="E22" s="435"/>
      <c r="F22" s="435"/>
      <c r="G22" s="441"/>
      <c r="H22" s="442">
        <v>0</v>
      </c>
      <c r="I22" s="449"/>
      <c r="J22" s="454"/>
    </row>
    <row r="23" spans="2:15" s="423" customFormat="1" ht="15.75" customHeight="1">
      <c r="B23" s="440">
        <v>6</v>
      </c>
      <c r="C23" s="1118" t="s">
        <v>195</v>
      </c>
      <c r="D23" s="1118"/>
      <c r="E23" s="435"/>
      <c r="F23" s="435"/>
      <c r="G23" s="441"/>
      <c r="H23" s="442">
        <f>'Annexure 6-SC Summary '!Z87</f>
        <v>3829955.1677349117</v>
      </c>
      <c r="I23" s="449"/>
      <c r="J23" s="454"/>
    </row>
    <row r="24" spans="2:15" s="423" customFormat="1" ht="15.75" customHeight="1" thickBot="1">
      <c r="B24" s="440">
        <v>7</v>
      </c>
      <c r="C24" s="436" t="s">
        <v>196</v>
      </c>
      <c r="D24" s="451"/>
      <c r="E24" s="451"/>
      <c r="F24" s="446"/>
      <c r="G24" s="456"/>
      <c r="H24" s="448">
        <f>SUM(H21:H23)</f>
        <v>3829955.1677349117</v>
      </c>
      <c r="I24" s="449"/>
      <c r="J24" s="454"/>
    </row>
    <row r="25" spans="2:15" s="423" customFormat="1" ht="15.75" customHeight="1" thickTop="1">
      <c r="B25" s="457"/>
      <c r="C25" s="451"/>
      <c r="D25" s="451"/>
      <c r="E25" s="451"/>
      <c r="F25" s="446"/>
      <c r="G25" s="456"/>
      <c r="H25" s="453"/>
      <c r="I25" s="449"/>
      <c r="J25" s="454"/>
    </row>
    <row r="26" spans="2:15" s="423" customFormat="1" ht="14.25" customHeight="1" thickBot="1">
      <c r="B26" s="458"/>
      <c r="C26" s="459"/>
      <c r="D26" s="460"/>
      <c r="E26" s="460"/>
      <c r="F26" s="461"/>
      <c r="G26" s="462"/>
      <c r="H26" s="461"/>
      <c r="I26" s="427"/>
      <c r="J26" s="463"/>
    </row>
    <row r="27" spans="2:15" ht="11" customHeight="1">
      <c r="C27" s="464"/>
      <c r="D27" s="464"/>
      <c r="E27" s="464"/>
      <c r="F27" s="464"/>
      <c r="G27" s="464"/>
      <c r="H27" s="464"/>
      <c r="J27" s="469"/>
    </row>
    <row r="28" spans="2:15" s="411" customFormat="1" ht="11" customHeight="1">
      <c r="C28" s="464"/>
      <c r="D28" s="464"/>
      <c r="E28" s="464"/>
      <c r="F28" s="464"/>
      <c r="G28" s="464"/>
      <c r="H28" s="464"/>
      <c r="J28" s="4"/>
      <c r="K28" s="4"/>
      <c r="L28" s="4"/>
      <c r="M28" s="4"/>
      <c r="N28" s="4"/>
      <c r="O28" s="4"/>
    </row>
    <row r="29" spans="2:15" s="411" customFormat="1" ht="11" customHeight="1">
      <c r="C29" s="464"/>
      <c r="D29" s="464"/>
      <c r="E29" s="464"/>
      <c r="F29" s="464"/>
      <c r="G29" s="464"/>
      <c r="H29" s="464"/>
      <c r="J29" s="4"/>
      <c r="K29" s="4"/>
      <c r="L29" s="4"/>
      <c r="M29" s="4"/>
      <c r="N29" s="4"/>
      <c r="O29" s="4"/>
    </row>
    <row r="30" spans="2:15" s="411" customFormat="1" ht="11" customHeight="1">
      <c r="C30" s="4"/>
      <c r="D30" s="4"/>
      <c r="E30" s="4"/>
      <c r="F30" s="4"/>
      <c r="G30" s="4"/>
      <c r="H30" s="4"/>
      <c r="J30" s="4"/>
      <c r="K30" s="4"/>
      <c r="L30" s="4"/>
      <c r="M30" s="4"/>
      <c r="N30" s="4"/>
      <c r="O30" s="4"/>
    </row>
    <row r="31" spans="2:15" s="411" customFormat="1" ht="11" customHeight="1">
      <c r="C31" s="4"/>
      <c r="D31" s="4"/>
      <c r="E31" s="4"/>
      <c r="F31" s="4"/>
      <c r="G31" s="4"/>
      <c r="H31" s="4"/>
      <c r="J31" s="4"/>
      <c r="K31" s="4"/>
      <c r="L31" s="4"/>
      <c r="M31" s="4"/>
      <c r="N31" s="4"/>
      <c r="O31" s="4"/>
    </row>
    <row r="32" spans="2:15" s="411" customFormat="1" ht="14">
      <c r="C32" s="465"/>
      <c r="D32" s="4"/>
      <c r="E32" s="465"/>
      <c r="F32" s="466"/>
      <c r="G32" s="466"/>
      <c r="H32" s="466"/>
      <c r="J32" s="4"/>
      <c r="K32" s="4"/>
      <c r="L32" s="4"/>
      <c r="M32" s="4"/>
      <c r="N32" s="4"/>
      <c r="O32" s="4"/>
    </row>
    <row r="33" spans="3:15" s="411" customFormat="1" ht="14">
      <c r="C33" s="467" t="s">
        <v>81</v>
      </c>
      <c r="D33" s="4"/>
      <c r="E33" s="467" t="s">
        <v>197</v>
      </c>
      <c r="F33" s="4"/>
      <c r="G33" s="4"/>
      <c r="H33" s="4"/>
      <c r="J33" s="4"/>
      <c r="K33" s="4"/>
      <c r="L33" s="4"/>
      <c r="M33" s="4"/>
      <c r="N33" s="4"/>
      <c r="O33" s="4"/>
    </row>
    <row r="38" spans="3:15" s="411" customFormat="1">
      <c r="C38" s="4"/>
      <c r="D38" s="4"/>
      <c r="E38" s="4"/>
      <c r="F38" s="4"/>
      <c r="G38" s="4"/>
      <c r="H38" s="468"/>
      <c r="J38" s="4"/>
      <c r="K38" s="4"/>
      <c r="L38" s="4"/>
      <c r="M38" s="4"/>
      <c r="N38" s="4"/>
      <c r="O38" s="4"/>
    </row>
    <row r="41" spans="3:15" s="411" customFormat="1">
      <c r="C41" s="4"/>
      <c r="D41" s="4"/>
      <c r="E41" s="4"/>
      <c r="F41" s="4"/>
      <c r="G41" s="4"/>
      <c r="H41" s="469"/>
      <c r="J41" s="4"/>
      <c r="K41" s="4"/>
      <c r="L41" s="4"/>
      <c r="M41" s="4"/>
      <c r="N41" s="4"/>
      <c r="O41" s="4"/>
    </row>
    <row r="42" spans="3:15" s="411" customFormat="1">
      <c r="C42" s="4"/>
      <c r="D42" s="4"/>
      <c r="E42" s="469"/>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scale="82"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zoomScale="70" zoomScaleNormal="100" zoomScaleSheetLayoutView="70" workbookViewId="0">
      <selection activeCell="K37" sqref="K37"/>
    </sheetView>
  </sheetViews>
  <sheetFormatPr defaultColWidth="9.08984375" defaultRowHeight="14"/>
  <cols>
    <col min="1" max="1" width="8" style="470" customWidth="1"/>
    <col min="2" max="2" width="11.54296875" style="470" customWidth="1"/>
    <col min="3" max="3" width="14.54296875" style="489" customWidth="1"/>
    <col min="4" max="4" width="6.453125" style="470" customWidth="1"/>
    <col min="5" max="5" width="18.54296875" style="470" customWidth="1"/>
    <col min="6" max="6" width="24.54296875" style="470" customWidth="1"/>
    <col min="7" max="7" width="20.90625" style="491" customWidth="1"/>
    <col min="8" max="8" width="22.36328125" style="470" customWidth="1"/>
    <col min="9" max="9" width="2.453125" style="470" customWidth="1"/>
    <col min="10" max="10" width="23.08984375" style="470" customWidth="1"/>
    <col min="11" max="11" width="14.08984375" style="470" bestFit="1" customWidth="1"/>
    <col min="12" max="12" width="19.6328125" style="470" customWidth="1"/>
    <col min="13" max="13" width="12.453125" style="470" customWidth="1"/>
    <col min="14" max="16384" width="9.08984375" style="470"/>
  </cols>
  <sheetData>
    <row r="1" spans="1:12" ht="21.75" customHeight="1">
      <c r="A1" s="1122" t="s">
        <v>811</v>
      </c>
      <c r="B1" s="1123"/>
      <c r="C1" s="1123"/>
      <c r="D1" s="1123"/>
      <c r="E1" s="1123"/>
      <c r="F1" s="1123"/>
      <c r="G1" s="1123"/>
      <c r="H1" s="1124"/>
    </row>
    <row r="2" spans="1:12" ht="17.25" customHeight="1">
      <c r="A2" s="471" t="s">
        <v>198</v>
      </c>
      <c r="B2" s="472"/>
      <c r="C2" s="473" t="s">
        <v>199</v>
      </c>
      <c r="D2" s="473"/>
      <c r="E2" s="473"/>
      <c r="F2" s="473"/>
      <c r="G2" s="473"/>
      <c r="H2" s="474"/>
    </row>
    <row r="3" spans="1:12" ht="18" customHeight="1">
      <c r="A3" s="471" t="s">
        <v>200</v>
      </c>
      <c r="B3" s="472"/>
      <c r="C3" s="473" t="s">
        <v>0</v>
      </c>
      <c r="D3" s="473"/>
      <c r="E3" s="473"/>
      <c r="F3" s="473"/>
      <c r="G3" s="473"/>
      <c r="H3" s="474"/>
    </row>
    <row r="4" spans="1:12" ht="15.75" customHeight="1">
      <c r="A4" s="475" t="s">
        <v>201</v>
      </c>
      <c r="B4" s="476"/>
      <c r="C4" s="477" t="s">
        <v>95</v>
      </c>
      <c r="D4" s="477"/>
      <c r="E4" s="477"/>
      <c r="F4" s="477"/>
      <c r="G4" s="478"/>
      <c r="H4" s="479"/>
    </row>
    <row r="5" spans="1:12" s="445" customFormat="1" ht="21.75" customHeight="1">
      <c r="A5" s="480" t="s">
        <v>202</v>
      </c>
      <c r="B5" s="480"/>
      <c r="C5" s="481" t="str">
        <f>'KCE-PC 12'!G2</f>
        <v>KCE-12</v>
      </c>
      <c r="D5" s="1125" t="s">
        <v>203</v>
      </c>
      <c r="E5" s="1126"/>
      <c r="F5" s="482">
        <f>'KCE-PC 12'!G21</f>
        <v>194951735</v>
      </c>
      <c r="G5" s="483" t="s">
        <v>204</v>
      </c>
      <c r="H5" s="484">
        <f ca="1">'KCE-PC 12'!G3</f>
        <v>44979</v>
      </c>
      <c r="J5" s="470"/>
    </row>
    <row r="6" spans="1:12" ht="18" customHeight="1">
      <c r="A6" s="480" t="s">
        <v>205</v>
      </c>
      <c r="B6" s="480"/>
      <c r="C6" s="1127" t="s">
        <v>206</v>
      </c>
      <c r="D6" s="1128"/>
      <c r="E6" s="1128"/>
      <c r="F6" s="485"/>
      <c r="G6" s="486"/>
      <c r="H6" s="487"/>
    </row>
    <row r="7" spans="1:12" ht="14.25" hidden="1" customHeight="1">
      <c r="A7" s="488"/>
      <c r="B7" s="488"/>
      <c r="D7" s="490"/>
      <c r="E7" s="488"/>
      <c r="H7" s="490"/>
    </row>
    <row r="8" spans="1:12" s="445" customFormat="1" ht="31.5" customHeight="1">
      <c r="A8" s="492" t="s">
        <v>207</v>
      </c>
      <c r="B8" s="492" t="s">
        <v>208</v>
      </c>
      <c r="C8" s="1129" t="s">
        <v>209</v>
      </c>
      <c r="D8" s="1130"/>
      <c r="E8" s="1129" t="s">
        <v>210</v>
      </c>
      <c r="F8" s="1130"/>
      <c r="G8" s="493" t="s">
        <v>211</v>
      </c>
      <c r="H8" s="493" t="s">
        <v>212</v>
      </c>
      <c r="J8" s="470"/>
    </row>
    <row r="9" spans="1:12" s="445" customFormat="1" ht="28.5" customHeight="1">
      <c r="A9" s="494">
        <v>1</v>
      </c>
      <c r="B9" s="495" t="s">
        <v>213</v>
      </c>
      <c r="C9" s="1120" t="s">
        <v>214</v>
      </c>
      <c r="D9" s="1121"/>
      <c r="E9" s="1120" t="s">
        <v>187</v>
      </c>
      <c r="F9" s="1121"/>
      <c r="G9" s="496">
        <v>6000000</v>
      </c>
      <c r="H9" s="496">
        <v>6000000</v>
      </c>
      <c r="J9" s="470"/>
      <c r="L9" s="497"/>
    </row>
    <row r="10" spans="1:12" s="445" customFormat="1" ht="21" customHeight="1">
      <c r="A10" s="494">
        <v>2</v>
      </c>
      <c r="B10" s="495" t="s">
        <v>215</v>
      </c>
      <c r="C10" s="1120" t="s">
        <v>216</v>
      </c>
      <c r="D10" s="1121"/>
      <c r="E10" s="1120" t="s">
        <v>188</v>
      </c>
      <c r="F10" s="1121"/>
      <c r="G10" s="496">
        <f>H10</f>
        <v>6000000</v>
      </c>
      <c r="H10" s="496">
        <v>6000000</v>
      </c>
      <c r="J10" s="470"/>
      <c r="L10" s="497"/>
    </row>
    <row r="11" spans="1:12" s="445" customFormat="1" ht="21" customHeight="1">
      <c r="A11" s="494">
        <v>3</v>
      </c>
      <c r="B11" s="495" t="s">
        <v>217</v>
      </c>
      <c r="C11" s="1120" t="s">
        <v>218</v>
      </c>
      <c r="D11" s="1121"/>
      <c r="E11" s="1120" t="s">
        <v>219</v>
      </c>
      <c r="F11" s="1121"/>
      <c r="G11" s="496">
        <v>2104452.1199999992</v>
      </c>
      <c r="H11" s="496">
        <v>2104452.1199999992</v>
      </c>
      <c r="J11" s="470"/>
      <c r="L11" s="497"/>
    </row>
    <row r="12" spans="1:12" s="445" customFormat="1" ht="21" customHeight="1">
      <c r="A12" s="494">
        <v>4</v>
      </c>
      <c r="B12" s="495" t="s">
        <v>220</v>
      </c>
      <c r="C12" s="1120" t="s">
        <v>221</v>
      </c>
      <c r="D12" s="1121"/>
      <c r="E12" s="1120" t="s">
        <v>222</v>
      </c>
      <c r="F12" s="1121"/>
      <c r="G12" s="496">
        <v>11118319.199999999</v>
      </c>
      <c r="H12" s="496">
        <v>11118319.199999999</v>
      </c>
      <c r="J12" s="470"/>
      <c r="L12" s="497"/>
    </row>
    <row r="13" spans="1:12" s="445" customFormat="1" ht="21" customHeight="1">
      <c r="A13" s="494">
        <v>5</v>
      </c>
      <c r="B13" s="495" t="s">
        <v>223</v>
      </c>
      <c r="C13" s="1120" t="s">
        <v>224</v>
      </c>
      <c r="D13" s="1121"/>
      <c r="E13" s="1120" t="s">
        <v>225</v>
      </c>
      <c r="F13" s="1121"/>
      <c r="G13" s="496">
        <v>11047382.213296503</v>
      </c>
      <c r="H13" s="496">
        <v>11047382.213296503</v>
      </c>
      <c r="J13" s="470"/>
      <c r="L13" s="497"/>
    </row>
    <row r="14" spans="1:12" s="445" customFormat="1" ht="21" customHeight="1">
      <c r="A14" s="494">
        <v>6</v>
      </c>
      <c r="B14" s="495" t="s">
        <v>226</v>
      </c>
      <c r="C14" s="1120" t="s">
        <v>227</v>
      </c>
      <c r="D14" s="1121"/>
      <c r="E14" s="1120" t="s">
        <v>228</v>
      </c>
      <c r="F14" s="1121"/>
      <c r="G14" s="498">
        <v>12807977.889048107</v>
      </c>
      <c r="H14" s="498">
        <v>12807977.889048107</v>
      </c>
      <c r="J14" s="470"/>
      <c r="L14" s="497"/>
    </row>
    <row r="15" spans="1:12" s="445" customFormat="1" ht="21" customHeight="1">
      <c r="A15" s="494">
        <v>7</v>
      </c>
      <c r="B15" s="495" t="s">
        <v>229</v>
      </c>
      <c r="C15" s="1120" t="s">
        <v>230</v>
      </c>
      <c r="D15" s="1121"/>
      <c r="E15" s="1120" t="s">
        <v>231</v>
      </c>
      <c r="F15" s="1121"/>
      <c r="G15" s="496">
        <v>19982204.029351041</v>
      </c>
      <c r="H15" s="498">
        <v>19982204.029351041</v>
      </c>
      <c r="J15" s="470"/>
      <c r="L15" s="497"/>
    </row>
    <row r="16" spans="1:12" s="445" customFormat="1" ht="21" customHeight="1">
      <c r="A16" s="494">
        <v>8</v>
      </c>
      <c r="B16" s="495" t="s">
        <v>232</v>
      </c>
      <c r="C16" s="1120" t="s">
        <v>233</v>
      </c>
      <c r="D16" s="1121"/>
      <c r="E16" s="1120" t="s">
        <v>234</v>
      </c>
      <c r="F16" s="1121"/>
      <c r="G16" s="496">
        <v>15491078.947276756</v>
      </c>
      <c r="H16" s="496">
        <v>15491078.947276756</v>
      </c>
      <c r="J16" s="470"/>
      <c r="L16" s="497"/>
    </row>
    <row r="17" spans="1:12" s="445" customFormat="1" ht="21" customHeight="1">
      <c r="A17" s="494">
        <v>9</v>
      </c>
      <c r="B17" s="495" t="s">
        <v>734</v>
      </c>
      <c r="C17" s="1120" t="s">
        <v>733</v>
      </c>
      <c r="D17" s="1121"/>
      <c r="E17" s="1120" t="s">
        <v>732</v>
      </c>
      <c r="F17" s="1121"/>
      <c r="G17" s="496">
        <v>19804921.867022648</v>
      </c>
      <c r="H17" s="496">
        <v>19804921.867022648</v>
      </c>
      <c r="J17" s="470"/>
      <c r="L17" s="497"/>
    </row>
    <row r="18" spans="1:12" s="445" customFormat="1" ht="21" customHeight="1">
      <c r="A18" s="494">
        <v>10</v>
      </c>
      <c r="B18" s="495" t="s">
        <v>843</v>
      </c>
      <c r="C18" s="1120" t="s">
        <v>844</v>
      </c>
      <c r="D18" s="1121"/>
      <c r="E18" s="1120" t="s">
        <v>842</v>
      </c>
      <c r="F18" s="1121"/>
      <c r="G18" s="496">
        <f>H18</f>
        <v>21126467.640000001</v>
      </c>
      <c r="H18" s="496">
        <v>21126467.640000001</v>
      </c>
      <c r="J18" s="470"/>
      <c r="L18" s="497"/>
    </row>
    <row r="19" spans="1:12" ht="21" customHeight="1">
      <c r="A19" s="494">
        <v>11</v>
      </c>
      <c r="B19" s="495" t="s">
        <v>882</v>
      </c>
      <c r="C19" s="1120" t="s">
        <v>883</v>
      </c>
      <c r="D19" s="1121"/>
      <c r="E19" s="1120" t="s">
        <v>884</v>
      </c>
      <c r="F19" s="1121"/>
      <c r="G19" s="496">
        <v>19971554.879042581</v>
      </c>
      <c r="H19" s="496">
        <v>19971554.879042581</v>
      </c>
      <c r="K19" s="445"/>
      <c r="L19" s="497"/>
    </row>
    <row r="20" spans="1:12" ht="21" customHeight="1">
      <c r="A20" s="494">
        <v>12</v>
      </c>
      <c r="B20" s="495" t="s">
        <v>931</v>
      </c>
      <c r="C20" s="1120" t="s">
        <v>932</v>
      </c>
      <c r="D20" s="1121"/>
      <c r="E20" s="1120" t="s">
        <v>933</v>
      </c>
      <c r="F20" s="1121"/>
      <c r="G20" s="496"/>
      <c r="H20" s="496">
        <f>+'KCE-PC 12'!G46</f>
        <v>24210898.621634007</v>
      </c>
      <c r="K20" s="445"/>
    </row>
    <row r="21" spans="1:12" ht="21" customHeight="1">
      <c r="A21" s="499"/>
      <c r="B21" s="500"/>
      <c r="C21" s="1120"/>
      <c r="D21" s="1121"/>
      <c r="E21" s="1120"/>
      <c r="F21" s="1121"/>
      <c r="G21" s="496"/>
      <c r="H21" s="496"/>
    </row>
    <row r="22" spans="1:12" ht="21" customHeight="1">
      <c r="A22" s="499"/>
      <c r="B22" s="500"/>
      <c r="C22" s="1120"/>
      <c r="D22" s="1121"/>
      <c r="E22" s="1120"/>
      <c r="F22" s="1121"/>
      <c r="G22" s="496"/>
      <c r="H22" s="496"/>
    </row>
    <row r="23" spans="1:12" ht="21" customHeight="1">
      <c r="A23" s="499"/>
      <c r="B23" s="500"/>
      <c r="C23" s="1120"/>
      <c r="D23" s="1121"/>
      <c r="E23" s="1120"/>
      <c r="F23" s="1121"/>
      <c r="G23" s="501"/>
      <c r="H23" s="501"/>
    </row>
    <row r="24" spans="1:12" ht="21" customHeight="1">
      <c r="A24" s="499"/>
      <c r="B24" s="500"/>
      <c r="C24" s="1120"/>
      <c r="D24" s="1121"/>
      <c r="E24" s="1120"/>
      <c r="F24" s="1121"/>
      <c r="G24" s="501"/>
      <c r="H24" s="501"/>
    </row>
    <row r="25" spans="1:12" ht="21" customHeight="1">
      <c r="A25" s="499"/>
      <c r="B25" s="500"/>
      <c r="C25" s="1120"/>
      <c r="D25" s="1121"/>
      <c r="E25" s="1120"/>
      <c r="F25" s="1121"/>
      <c r="G25" s="501"/>
      <c r="H25" s="501"/>
    </row>
    <row r="26" spans="1:12" ht="21" customHeight="1">
      <c r="A26" s="499"/>
      <c r="B26" s="500"/>
      <c r="C26" s="1120"/>
      <c r="D26" s="1121"/>
      <c r="E26" s="1120"/>
      <c r="F26" s="1121"/>
      <c r="G26" s="496"/>
      <c r="H26" s="496"/>
    </row>
    <row r="27" spans="1:12" ht="21" customHeight="1">
      <c r="A27" s="499"/>
      <c r="B27" s="500"/>
      <c r="C27" s="1120"/>
      <c r="D27" s="1121"/>
      <c r="E27" s="1120"/>
      <c r="F27" s="1121"/>
      <c r="G27" s="496"/>
      <c r="H27" s="496"/>
    </row>
    <row r="28" spans="1:12" ht="21" customHeight="1">
      <c r="A28" s="499"/>
      <c r="B28" s="500"/>
      <c r="C28" s="1120"/>
      <c r="D28" s="1121"/>
      <c r="E28" s="1120"/>
      <c r="F28" s="1121"/>
      <c r="G28" s="496"/>
      <c r="H28" s="496"/>
    </row>
    <row r="29" spans="1:12" ht="21" customHeight="1">
      <c r="A29" s="499"/>
      <c r="B29" s="500"/>
      <c r="C29" s="1120"/>
      <c r="D29" s="1121"/>
      <c r="E29" s="1120"/>
      <c r="F29" s="1121"/>
      <c r="G29" s="496"/>
      <c r="H29" s="496"/>
    </row>
    <row r="30" spans="1:12" ht="21" customHeight="1">
      <c r="A30" s="499"/>
      <c r="B30" s="500"/>
      <c r="C30" s="1120"/>
      <c r="D30" s="1121"/>
      <c r="E30" s="1120"/>
      <c r="F30" s="1121"/>
      <c r="G30" s="496"/>
      <c r="H30" s="496"/>
    </row>
    <row r="31" spans="1:12" ht="21" customHeight="1">
      <c r="A31" s="499"/>
      <c r="B31" s="500"/>
      <c r="C31" s="1120"/>
      <c r="D31" s="1121"/>
      <c r="E31" s="1120"/>
      <c r="F31" s="1121"/>
      <c r="G31" s="496"/>
      <c r="H31" s="496"/>
    </row>
    <row r="32" spans="1:12" ht="21" customHeight="1">
      <c r="A32" s="499"/>
      <c r="B32" s="500"/>
      <c r="C32" s="1120"/>
      <c r="D32" s="1121"/>
      <c r="E32" s="1120"/>
      <c r="F32" s="1121"/>
      <c r="G32" s="496"/>
      <c r="H32" s="496"/>
    </row>
    <row r="33" spans="1:12" ht="21" customHeight="1">
      <c r="A33" s="499"/>
      <c r="B33" s="500"/>
      <c r="C33" s="1120"/>
      <c r="D33" s="1121"/>
      <c r="E33" s="1120"/>
      <c r="F33" s="1121"/>
      <c r="G33" s="496"/>
      <c r="H33" s="496"/>
    </row>
    <row r="34" spans="1:12" ht="21" customHeight="1">
      <c r="A34" s="499"/>
      <c r="B34" s="500"/>
      <c r="C34" s="1120"/>
      <c r="D34" s="1121"/>
      <c r="E34" s="1120"/>
      <c r="F34" s="1121"/>
      <c r="G34" s="496"/>
      <c r="H34" s="496"/>
    </row>
    <row r="35" spans="1:12" ht="21" customHeight="1">
      <c r="A35" s="499"/>
      <c r="B35" s="500"/>
      <c r="C35" s="1120"/>
      <c r="D35" s="1121"/>
      <c r="E35" s="1120"/>
      <c r="F35" s="1121"/>
      <c r="G35" s="496"/>
      <c r="H35" s="496"/>
    </row>
    <row r="36" spans="1:12" ht="21" customHeight="1">
      <c r="A36" s="499"/>
      <c r="B36" s="500"/>
      <c r="C36" s="1120"/>
      <c r="D36" s="1121"/>
      <c r="E36" s="1120"/>
      <c r="F36" s="1121"/>
      <c r="G36" s="496"/>
      <c r="H36" s="496"/>
    </row>
    <row r="37" spans="1:12" ht="21" customHeight="1">
      <c r="A37" s="499"/>
      <c r="B37" s="500"/>
      <c r="C37" s="1120"/>
      <c r="D37" s="1121"/>
      <c r="E37" s="1120"/>
      <c r="F37" s="1121"/>
      <c r="G37" s="496"/>
      <c r="H37" s="496"/>
    </row>
    <row r="38" spans="1:12" ht="21" customHeight="1">
      <c r="A38" s="499"/>
      <c r="B38" s="500"/>
      <c r="C38" s="1120"/>
      <c r="D38" s="1121"/>
      <c r="E38" s="1120"/>
      <c r="F38" s="1121"/>
      <c r="G38" s="496"/>
      <c r="H38" s="496"/>
    </row>
    <row r="39" spans="1:12" ht="21" customHeight="1">
      <c r="A39" s="499"/>
      <c r="B39" s="500"/>
      <c r="C39" s="1120"/>
      <c r="D39" s="1121"/>
      <c r="E39" s="1120"/>
      <c r="F39" s="1121"/>
      <c r="G39" s="496"/>
      <c r="H39" s="496"/>
    </row>
    <row r="40" spans="1:12" ht="21" customHeight="1">
      <c r="A40" s="499"/>
      <c r="B40" s="500"/>
      <c r="C40" s="1120"/>
      <c r="D40" s="1121"/>
      <c r="E40" s="1120"/>
      <c r="F40" s="1121"/>
      <c r="G40" s="496"/>
      <c r="H40" s="496"/>
    </row>
    <row r="41" spans="1:12" ht="27" customHeight="1">
      <c r="A41" s="502" t="s">
        <v>235</v>
      </c>
      <c r="B41" s="503"/>
      <c r="C41" s="503"/>
      <c r="D41" s="503"/>
      <c r="E41" s="503"/>
      <c r="F41" s="504"/>
      <c r="G41" s="505">
        <f>SUM(G9:G40)</f>
        <v>145454358.78503764</v>
      </c>
      <c r="H41" s="505">
        <f>SUM(H9:H40)</f>
        <v>169665257.40667164</v>
      </c>
      <c r="L41" s="506"/>
    </row>
    <row r="42" spans="1:12">
      <c r="B42" s="489"/>
      <c r="H42" s="507"/>
    </row>
    <row r="43" spans="1:12" s="445" customFormat="1" ht="19.5" customHeight="1">
      <c r="B43" s="452"/>
      <c r="C43" s="508"/>
      <c r="G43" s="509"/>
      <c r="H43" s="510"/>
    </row>
    <row r="44" spans="1:12" s="445" customFormat="1" ht="11.25" customHeight="1">
      <c r="B44" s="452"/>
      <c r="C44" s="511"/>
      <c r="D44" s="452"/>
      <c r="E44" s="452"/>
      <c r="G44" s="509"/>
    </row>
    <row r="45" spans="1:12">
      <c r="G45" s="509"/>
    </row>
    <row r="46" spans="1:12" ht="7.5" customHeight="1"/>
    <row r="47" spans="1:12">
      <c r="B47" s="489"/>
    </row>
    <row r="48" spans="1:12" ht="6" customHeight="1">
      <c r="B48" s="489"/>
    </row>
    <row r="49" spans="2:7">
      <c r="B49" s="489"/>
    </row>
    <row r="50" spans="2:7" ht="6" customHeight="1">
      <c r="B50" s="489"/>
    </row>
    <row r="51" spans="2:7">
      <c r="B51" s="489"/>
      <c r="C51" s="512"/>
    </row>
    <row r="53" spans="2:7">
      <c r="G53" s="509"/>
    </row>
    <row r="54" spans="2:7" ht="6.75" customHeight="1"/>
    <row r="55" spans="2:7">
      <c r="B55" s="489"/>
    </row>
    <row r="56" spans="2:7" ht="6" customHeight="1">
      <c r="B56" s="489"/>
    </row>
    <row r="57" spans="2:7">
      <c r="B57" s="489"/>
    </row>
    <row r="58" spans="2:7" ht="6" customHeight="1">
      <c r="G58" s="470"/>
    </row>
    <row r="59" spans="2:7">
      <c r="C59" s="512"/>
      <c r="G59" s="470"/>
    </row>
  </sheetData>
  <mergeCells count="69">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 ref="E13:F13"/>
    <mergeCell ref="C14:D14"/>
    <mergeCell ref="E14:F14"/>
    <mergeCell ref="C15:D15"/>
    <mergeCell ref="E15:F15"/>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5:D35"/>
    <mergeCell ref="E35:F35"/>
    <mergeCell ref="C30:D30"/>
    <mergeCell ref="E30:F30"/>
    <mergeCell ref="C31:D31"/>
    <mergeCell ref="E31:F31"/>
    <mergeCell ref="C32:D32"/>
    <mergeCell ref="E32:F32"/>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s>
  <phoneticPr fontId="90" type="noConversion"/>
  <pageMargins left="0.7" right="0.7" top="0.75" bottom="0.75" header="0.3" footer="0.3"/>
  <pageSetup scale="71"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29"/>
  <sheetViews>
    <sheetView view="pageBreakPreview" zoomScaleNormal="100" zoomScaleSheetLayoutView="100" workbookViewId="0">
      <selection activeCell="C11" sqref="C11"/>
    </sheetView>
  </sheetViews>
  <sheetFormatPr defaultRowHeight="14.5"/>
  <cols>
    <col min="1" max="1" width="1.36328125" customWidth="1"/>
    <col min="2" max="2" width="29.54296875" customWidth="1"/>
    <col min="3" max="5" width="19.453125" customWidth="1"/>
    <col min="6" max="6" width="12.36328125" customWidth="1"/>
    <col min="7" max="7" width="19.6328125" style="74" customWidth="1"/>
    <col min="8" max="8" width="14.6328125" style="336" customWidth="1"/>
    <col min="9" max="9" width="11.08984375" style="74" customWidth="1"/>
    <col min="10" max="10" width="14.6328125" style="336" customWidth="1"/>
  </cols>
  <sheetData>
    <row r="2" spans="1:10" ht="15.5">
      <c r="A2" s="561" t="s">
        <v>0</v>
      </c>
    </row>
    <row r="3" spans="1:10" ht="15.5">
      <c r="A3" s="561" t="s">
        <v>815</v>
      </c>
      <c r="F3" s="562"/>
    </row>
    <row r="5" spans="1:10" s="100" customFormat="1">
      <c r="B5" s="100" t="s">
        <v>305</v>
      </c>
      <c r="C5" s="563"/>
      <c r="D5" s="563"/>
      <c r="E5" s="738"/>
      <c r="F5" s="563"/>
      <c r="G5" s="563"/>
      <c r="H5" s="345"/>
      <c r="I5" s="563"/>
      <c r="J5" s="345"/>
    </row>
    <row r="6" spans="1:10" ht="15" thickBot="1"/>
    <row r="7" spans="1:10" s="100" customFormat="1">
      <c r="B7" s="564" t="s">
        <v>306</v>
      </c>
      <c r="C7" s="294" t="s">
        <v>142</v>
      </c>
      <c r="D7" s="565" t="s">
        <v>165</v>
      </c>
      <c r="E7" s="551" t="s">
        <v>144</v>
      </c>
      <c r="I7" s="563"/>
      <c r="J7" s="345"/>
    </row>
    <row r="8" spans="1:10">
      <c r="B8" s="566" t="s">
        <v>307</v>
      </c>
      <c r="C8" s="567">
        <v>9548987.6218144167</v>
      </c>
      <c r="D8" s="568">
        <f>'Civil Staff Cost January 23'!AM120</f>
        <v>1372949.5909090908</v>
      </c>
      <c r="E8" s="569">
        <f>SUM(C8:D8)</f>
        <v>10921937.212723508</v>
      </c>
    </row>
    <row r="9" spans="1:10" ht="15" thickBot="1">
      <c r="B9" s="570" t="s">
        <v>308</v>
      </c>
      <c r="C9" s="571">
        <v>8588278.1771612894</v>
      </c>
      <c r="D9" s="572">
        <f>E9-C9</f>
        <v>1031843.2128387112</v>
      </c>
      <c r="E9" s="948">
        <f>+'KMEP -IPC'!L12</f>
        <v>9620121.3900000006</v>
      </c>
    </row>
    <row r="10" spans="1:10">
      <c r="D10" s="74"/>
      <c r="E10" s="336"/>
    </row>
    <row r="11" spans="1:10">
      <c r="E11" s="2"/>
    </row>
    <row r="13" spans="1:10">
      <c r="E13" s="55"/>
    </row>
    <row r="14" spans="1:10">
      <c r="E14" s="2"/>
    </row>
    <row r="16" spans="1:10">
      <c r="E16" s="2"/>
    </row>
    <row r="18" spans="4:5">
      <c r="E18" s="55"/>
    </row>
    <row r="28" spans="4:5">
      <c r="D28">
        <v>1372949.59</v>
      </c>
      <c r="E28">
        <v>10923667.729996234</v>
      </c>
    </row>
    <row r="29" spans="4:5">
      <c r="D29" s="55">
        <f>D8-D28</f>
        <v>9.0909074060618877E-4</v>
      </c>
      <c r="E29" s="55">
        <f>E8-E28</f>
        <v>-1730.5172727257013</v>
      </c>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55217-4881-457B-9714-5D7760D96093}">
  <sheetPr>
    <pageSetUpPr fitToPage="1"/>
  </sheetPr>
  <dimension ref="A1:AO131"/>
  <sheetViews>
    <sheetView showGridLines="0" view="pageBreakPreview" zoomScale="85" zoomScaleNormal="100" zoomScaleSheetLayoutView="85" workbookViewId="0">
      <pane xSplit="4" ySplit="7" topLeftCell="N83" activePane="bottomRight" state="frozen"/>
      <selection pane="topRight" activeCell="E1" sqref="E1"/>
      <selection pane="bottomLeft" activeCell="A8" sqref="A8"/>
      <selection pane="bottomRight" activeCell="A94" sqref="A94:XFD96"/>
    </sheetView>
  </sheetViews>
  <sheetFormatPr defaultColWidth="8.90625" defaultRowHeight="13.5"/>
  <cols>
    <col min="1" max="1" width="6.54296875" style="899" customWidth="1"/>
    <col min="2" max="2" width="32.54296875" style="594" customWidth="1"/>
    <col min="3" max="3" width="20.54296875" style="594" customWidth="1"/>
    <col min="4" max="4" width="10.54296875" style="741" customWidth="1"/>
    <col min="5" max="35" width="5.453125" style="594" customWidth="1"/>
    <col min="36" max="37" width="10.54296875" style="594" customWidth="1"/>
    <col min="38" max="38" width="14.54296875" style="573" customWidth="1"/>
    <col min="39" max="39" width="19" style="594" customWidth="1"/>
    <col min="40" max="40" width="8.90625" style="942"/>
    <col min="41" max="41" width="12.54296875" style="594" bestFit="1" customWidth="1"/>
    <col min="42" max="16384" width="8.90625" style="594"/>
  </cols>
  <sheetData>
    <row r="1" spans="1:40">
      <c r="A1" s="740" t="s">
        <v>309</v>
      </c>
      <c r="AH1" s="742" t="s">
        <v>310</v>
      </c>
      <c r="AI1" s="742" t="s">
        <v>310</v>
      </c>
      <c r="AJ1" s="594">
        <v>31</v>
      </c>
    </row>
    <row r="2" spans="1:40">
      <c r="A2" s="740" t="s">
        <v>311</v>
      </c>
      <c r="AH2" s="742"/>
      <c r="AI2" s="742" t="s">
        <v>312</v>
      </c>
      <c r="AJ2" s="743">
        <v>9</v>
      </c>
    </row>
    <row r="3" spans="1:40">
      <c r="A3" s="740"/>
      <c r="AH3" s="742" t="s">
        <v>313</v>
      </c>
      <c r="AI3" s="742" t="s">
        <v>313</v>
      </c>
      <c r="AJ3" s="594">
        <f>+AJ1-AJ2</f>
        <v>22</v>
      </c>
    </row>
    <row r="4" spans="1:40">
      <c r="A4" s="744" t="s">
        <v>938</v>
      </c>
      <c r="B4" s="743"/>
      <c r="C4" s="745"/>
      <c r="D4" s="746"/>
      <c r="E4" s="743"/>
      <c r="F4" s="743"/>
      <c r="G4" s="743"/>
      <c r="H4" s="743"/>
      <c r="I4" s="743"/>
      <c r="J4" s="743"/>
      <c r="K4" s="743"/>
      <c r="L4" s="743"/>
      <c r="M4" s="743"/>
      <c r="N4" s="743"/>
      <c r="O4" s="743"/>
      <c r="P4" s="743"/>
      <c r="Q4" s="743"/>
      <c r="R4" s="743"/>
      <c r="S4" s="743"/>
      <c r="T4" s="743"/>
      <c r="U4" s="743"/>
      <c r="V4" s="743"/>
      <c r="W4" s="743"/>
      <c r="X4" s="743"/>
      <c r="Y4" s="743"/>
      <c r="Z4" s="743"/>
      <c r="AA4" s="743"/>
      <c r="AB4" s="743"/>
      <c r="AC4" s="743"/>
      <c r="AD4" s="743"/>
      <c r="AE4" s="743"/>
      <c r="AF4" s="743"/>
      <c r="AG4" s="743"/>
      <c r="AH4" s="743"/>
      <c r="AI4" s="743"/>
      <c r="AJ4" s="743"/>
      <c r="AK4" s="743"/>
      <c r="AL4" s="574"/>
      <c r="AM4" s="743"/>
    </row>
    <row r="6" spans="1:40" ht="16.399999999999999" customHeight="1">
      <c r="A6" s="1136"/>
      <c r="B6" s="1138" t="s">
        <v>314</v>
      </c>
      <c r="C6" s="1138" t="s">
        <v>315</v>
      </c>
      <c r="D6" s="1138" t="s">
        <v>316</v>
      </c>
      <c r="E6" s="1140">
        <v>44896</v>
      </c>
      <c r="F6" s="1141"/>
      <c r="G6" s="1141"/>
      <c r="H6" s="1141"/>
      <c r="I6" s="1141"/>
      <c r="J6" s="1141"/>
      <c r="K6" s="1141"/>
      <c r="L6" s="1141"/>
      <c r="M6" s="1141"/>
      <c r="N6" s="1141"/>
      <c r="O6" s="1141"/>
      <c r="P6" s="1141"/>
      <c r="Q6" s="1141"/>
      <c r="R6" s="1141"/>
      <c r="S6" s="1141"/>
      <c r="T6" s="1141"/>
      <c r="U6" s="1141"/>
      <c r="V6" s="1141"/>
      <c r="W6" s="1141"/>
      <c r="X6" s="1141"/>
      <c r="Y6" s="1141"/>
      <c r="Z6" s="1141"/>
      <c r="AA6" s="1141"/>
      <c r="AB6" s="1141"/>
      <c r="AC6" s="1141"/>
      <c r="AD6" s="1141"/>
      <c r="AE6" s="1141"/>
      <c r="AF6" s="1141"/>
      <c r="AG6" s="1141"/>
      <c r="AH6" s="1141"/>
      <c r="AI6" s="1141"/>
      <c r="AJ6" s="1131" t="s">
        <v>317</v>
      </c>
      <c r="AK6" s="1131" t="s">
        <v>318</v>
      </c>
      <c r="AL6" s="1133" t="s">
        <v>319</v>
      </c>
      <c r="AM6" s="1131" t="s">
        <v>320</v>
      </c>
    </row>
    <row r="7" spans="1:40" s="747" customFormat="1" ht="16.399999999999999" customHeight="1">
      <c r="A7" s="1137"/>
      <c r="B7" s="1139"/>
      <c r="C7" s="1139"/>
      <c r="D7" s="1139"/>
      <c r="E7" s="576">
        <v>1</v>
      </c>
      <c r="F7" s="575">
        <f>+E7+1</f>
        <v>2</v>
      </c>
      <c r="G7" s="575">
        <f t="shared" ref="G7:AI7" si="0">+F7+1</f>
        <v>3</v>
      </c>
      <c r="H7" s="575">
        <f t="shared" si="0"/>
        <v>4</v>
      </c>
      <c r="I7" s="575">
        <f t="shared" si="0"/>
        <v>5</v>
      </c>
      <c r="J7" s="575">
        <f t="shared" si="0"/>
        <v>6</v>
      </c>
      <c r="K7" s="576">
        <f t="shared" si="0"/>
        <v>7</v>
      </c>
      <c r="L7" s="576">
        <f t="shared" si="0"/>
        <v>8</v>
      </c>
      <c r="M7" s="575">
        <f t="shared" si="0"/>
        <v>9</v>
      </c>
      <c r="N7" s="575">
        <f t="shared" si="0"/>
        <v>10</v>
      </c>
      <c r="O7" s="575">
        <f t="shared" si="0"/>
        <v>11</v>
      </c>
      <c r="P7" s="575">
        <f t="shared" si="0"/>
        <v>12</v>
      </c>
      <c r="Q7" s="575">
        <f t="shared" si="0"/>
        <v>13</v>
      </c>
      <c r="R7" s="576">
        <f t="shared" si="0"/>
        <v>14</v>
      </c>
      <c r="S7" s="576">
        <f t="shared" si="0"/>
        <v>15</v>
      </c>
      <c r="T7" s="575">
        <f t="shared" si="0"/>
        <v>16</v>
      </c>
      <c r="U7" s="575">
        <f t="shared" si="0"/>
        <v>17</v>
      </c>
      <c r="V7" s="575">
        <f t="shared" si="0"/>
        <v>18</v>
      </c>
      <c r="W7" s="575">
        <f t="shared" si="0"/>
        <v>19</v>
      </c>
      <c r="X7" s="575">
        <f t="shared" si="0"/>
        <v>20</v>
      </c>
      <c r="Y7" s="576">
        <f t="shared" si="0"/>
        <v>21</v>
      </c>
      <c r="Z7" s="576">
        <f t="shared" si="0"/>
        <v>22</v>
      </c>
      <c r="AA7" s="575">
        <f t="shared" si="0"/>
        <v>23</v>
      </c>
      <c r="AB7" s="575">
        <f t="shared" si="0"/>
        <v>24</v>
      </c>
      <c r="AC7" s="575">
        <f t="shared" si="0"/>
        <v>25</v>
      </c>
      <c r="AD7" s="575">
        <f t="shared" si="0"/>
        <v>26</v>
      </c>
      <c r="AE7" s="575">
        <f t="shared" si="0"/>
        <v>27</v>
      </c>
      <c r="AF7" s="576">
        <f t="shared" si="0"/>
        <v>28</v>
      </c>
      <c r="AG7" s="576">
        <f t="shared" si="0"/>
        <v>29</v>
      </c>
      <c r="AH7" s="575">
        <f t="shared" si="0"/>
        <v>30</v>
      </c>
      <c r="AI7" s="575">
        <f t="shared" si="0"/>
        <v>31</v>
      </c>
      <c r="AJ7" s="1132"/>
      <c r="AK7" s="1132"/>
      <c r="AL7" s="1134"/>
      <c r="AM7" s="1132"/>
    </row>
    <row r="8" spans="1:40" s="754" customFormat="1" ht="15" customHeight="1">
      <c r="A8" s="748"/>
      <c r="B8" s="749"/>
      <c r="C8" s="749"/>
      <c r="D8" s="750"/>
      <c r="E8" s="751"/>
      <c r="F8" s="748"/>
      <c r="G8" s="748"/>
      <c r="H8" s="748"/>
      <c r="I8" s="748"/>
      <c r="J8" s="748"/>
      <c r="K8" s="751"/>
      <c r="L8" s="751"/>
      <c r="M8" s="748"/>
      <c r="N8" s="748"/>
      <c r="O8" s="748"/>
      <c r="P8" s="748"/>
      <c r="Q8" s="748"/>
      <c r="R8" s="751"/>
      <c r="S8" s="751"/>
      <c r="T8" s="748"/>
      <c r="U8" s="748"/>
      <c r="V8" s="748"/>
      <c r="W8" s="748"/>
      <c r="X8" s="748"/>
      <c r="Y8" s="751"/>
      <c r="Z8" s="751"/>
      <c r="AA8" s="748"/>
      <c r="AB8" s="748"/>
      <c r="AC8" s="748"/>
      <c r="AD8" s="748"/>
      <c r="AE8" s="748"/>
      <c r="AF8" s="751"/>
      <c r="AG8" s="751"/>
      <c r="AH8" s="748"/>
      <c r="AI8" s="748"/>
      <c r="AJ8" s="752">
        <f>SUM(E8:AI8)</f>
        <v>0</v>
      </c>
      <c r="AK8" s="753">
        <f>AJ8/AJ$3</f>
        <v>0</v>
      </c>
      <c r="AL8" s="577"/>
      <c r="AM8" s="749"/>
      <c r="AN8" s="943"/>
    </row>
    <row r="9" spans="1:40" s="754" customFormat="1" ht="15" customHeight="1">
      <c r="A9" s="755"/>
      <c r="B9" s="756" t="s">
        <v>321</v>
      </c>
      <c r="C9" s="757"/>
      <c r="D9" s="758"/>
      <c r="E9" s="759"/>
      <c r="F9" s="755"/>
      <c r="G9" s="755"/>
      <c r="H9" s="755"/>
      <c r="I9" s="755"/>
      <c r="J9" s="755"/>
      <c r="K9" s="759"/>
      <c r="L9" s="759"/>
      <c r="M9" s="755"/>
      <c r="N9" s="755"/>
      <c r="O9" s="755"/>
      <c r="P9" s="755"/>
      <c r="Q9" s="755"/>
      <c r="R9" s="759"/>
      <c r="S9" s="759"/>
      <c r="T9" s="755"/>
      <c r="U9" s="755"/>
      <c r="V9" s="755"/>
      <c r="W9" s="755"/>
      <c r="X9" s="755"/>
      <c r="Y9" s="759"/>
      <c r="Z9" s="759"/>
      <c r="AA9" s="755"/>
      <c r="AB9" s="755"/>
      <c r="AC9" s="755"/>
      <c r="AD9" s="755"/>
      <c r="AE9" s="755"/>
      <c r="AF9" s="759"/>
      <c r="AG9" s="759"/>
      <c r="AH9" s="755"/>
      <c r="AI9" s="755"/>
      <c r="AJ9" s="760"/>
      <c r="AK9" s="761"/>
      <c r="AL9" s="578"/>
      <c r="AM9" s="762"/>
      <c r="AN9" s="943"/>
    </row>
    <row r="10" spans="1:40" s="754" customFormat="1" ht="15" customHeight="1">
      <c r="A10" s="755"/>
      <c r="B10" s="762" t="s">
        <v>322</v>
      </c>
      <c r="C10" s="762" t="s">
        <v>323</v>
      </c>
      <c r="D10" s="758"/>
      <c r="E10" s="763"/>
      <c r="F10" s="764">
        <v>0.45</v>
      </c>
      <c r="G10" s="764">
        <v>0.45</v>
      </c>
      <c r="H10" s="764">
        <v>0.45</v>
      </c>
      <c r="I10" s="764">
        <v>0.45</v>
      </c>
      <c r="J10" s="764">
        <v>0.45</v>
      </c>
      <c r="K10" s="763"/>
      <c r="L10" s="763"/>
      <c r="M10" s="764">
        <v>0.45</v>
      </c>
      <c r="N10" s="764">
        <v>0.45</v>
      </c>
      <c r="O10" s="764">
        <v>0.45</v>
      </c>
      <c r="P10" s="764">
        <v>0.45</v>
      </c>
      <c r="Q10" s="764">
        <v>0.45</v>
      </c>
      <c r="R10" s="763"/>
      <c r="S10" s="763"/>
      <c r="T10" s="764">
        <v>0.45</v>
      </c>
      <c r="U10" s="764">
        <v>0.45</v>
      </c>
      <c r="V10" s="764">
        <v>0.45</v>
      </c>
      <c r="W10" s="764">
        <v>0.45</v>
      </c>
      <c r="X10" s="764">
        <v>0.45</v>
      </c>
      <c r="Y10" s="763"/>
      <c r="Z10" s="763"/>
      <c r="AA10" s="764">
        <v>0.45</v>
      </c>
      <c r="AB10" s="764">
        <v>0.45</v>
      </c>
      <c r="AC10" s="764">
        <v>0.45</v>
      </c>
      <c r="AD10" s="764">
        <v>0.45</v>
      </c>
      <c r="AE10" s="764">
        <v>0.45</v>
      </c>
      <c r="AF10" s="763"/>
      <c r="AG10" s="763"/>
      <c r="AH10" s="764">
        <v>0.45</v>
      </c>
      <c r="AI10" s="764">
        <v>0.45</v>
      </c>
      <c r="AJ10" s="579">
        <f>SUM(E10:AI10)</f>
        <v>9.8999999999999986</v>
      </c>
      <c r="AK10" s="580">
        <f>+AJ10/AJ$3</f>
        <v>0.44999999999999996</v>
      </c>
      <c r="AL10" s="578">
        <v>78000</v>
      </c>
      <c r="AM10" s="765">
        <f>+AL10*AK10</f>
        <v>35100</v>
      </c>
      <c r="AN10" s="943"/>
    </row>
    <row r="11" spans="1:40" s="754" customFormat="1" ht="15" customHeight="1">
      <c r="A11" s="755">
        <v>1</v>
      </c>
      <c r="B11" s="762" t="s">
        <v>324</v>
      </c>
      <c r="C11" s="762" t="s">
        <v>325</v>
      </c>
      <c r="D11" s="581">
        <v>1</v>
      </c>
      <c r="E11" s="583"/>
      <c r="F11" s="582">
        <v>1</v>
      </c>
      <c r="G11" s="582">
        <v>1</v>
      </c>
      <c r="H11" s="582">
        <v>1</v>
      </c>
      <c r="I11" s="582">
        <v>1</v>
      </c>
      <c r="J11" s="582">
        <v>1</v>
      </c>
      <c r="K11" s="583"/>
      <c r="L11" s="583"/>
      <c r="M11" s="582">
        <v>1</v>
      </c>
      <c r="N11" s="582">
        <v>1</v>
      </c>
      <c r="O11" s="582">
        <v>1</v>
      </c>
      <c r="P11" s="582">
        <v>1</v>
      </c>
      <c r="Q11" s="582">
        <v>1</v>
      </c>
      <c r="R11" s="583"/>
      <c r="S11" s="583"/>
      <c r="T11" s="582">
        <v>1</v>
      </c>
      <c r="U11" s="582">
        <v>1</v>
      </c>
      <c r="V11" s="582">
        <v>1</v>
      </c>
      <c r="W11" s="582">
        <v>1</v>
      </c>
      <c r="X11" s="582">
        <v>1</v>
      </c>
      <c r="Y11" s="583"/>
      <c r="Z11" s="583"/>
      <c r="AA11" s="582">
        <v>1</v>
      </c>
      <c r="AB11" s="582">
        <v>1</v>
      </c>
      <c r="AC11" s="582">
        <v>1</v>
      </c>
      <c r="AD11" s="582">
        <v>1</v>
      </c>
      <c r="AE11" s="582">
        <v>1</v>
      </c>
      <c r="AF11" s="583"/>
      <c r="AG11" s="583"/>
      <c r="AH11" s="582">
        <v>1</v>
      </c>
      <c r="AI11" s="582">
        <v>1</v>
      </c>
      <c r="AJ11" s="579">
        <f>SUM(E11:AI11)</f>
        <v>22</v>
      </c>
      <c r="AK11" s="580">
        <f>+AJ11/AJ$3</f>
        <v>1</v>
      </c>
      <c r="AL11" s="584">
        <v>71500</v>
      </c>
      <c r="AM11" s="765">
        <f>+AL11*AK11</f>
        <v>71500</v>
      </c>
      <c r="AN11" s="585"/>
    </row>
    <row r="12" spans="1:40" s="754" customFormat="1" ht="15" customHeight="1">
      <c r="A12" s="755">
        <v>2</v>
      </c>
      <c r="B12" s="762" t="s">
        <v>326</v>
      </c>
      <c r="C12" s="762"/>
      <c r="D12" s="581">
        <v>0</v>
      </c>
      <c r="E12" s="583"/>
      <c r="F12" s="582"/>
      <c r="G12" s="582"/>
      <c r="H12" s="582"/>
      <c r="I12" s="582"/>
      <c r="J12" s="582"/>
      <c r="K12" s="583"/>
      <c r="L12" s="583"/>
      <c r="M12" s="582"/>
      <c r="N12" s="582"/>
      <c r="O12" s="582"/>
      <c r="P12" s="582"/>
      <c r="Q12" s="582"/>
      <c r="R12" s="583"/>
      <c r="S12" s="583"/>
      <c r="T12" s="582"/>
      <c r="U12" s="582"/>
      <c r="V12" s="582"/>
      <c r="W12" s="582"/>
      <c r="X12" s="582"/>
      <c r="Y12" s="583"/>
      <c r="Z12" s="583"/>
      <c r="AA12" s="582"/>
      <c r="AB12" s="582"/>
      <c r="AC12" s="582"/>
      <c r="AD12" s="582"/>
      <c r="AE12" s="582"/>
      <c r="AF12" s="583"/>
      <c r="AG12" s="583"/>
      <c r="AH12" s="582"/>
      <c r="AI12" s="582"/>
      <c r="AJ12" s="579">
        <f>SUM(E12:AI12)</f>
        <v>0</v>
      </c>
      <c r="AK12" s="580">
        <f>+AJ12/AJ$3</f>
        <v>0</v>
      </c>
      <c r="AL12" s="584">
        <v>54200</v>
      </c>
      <c r="AM12" s="765">
        <f>+AL12*AK12</f>
        <v>0</v>
      </c>
      <c r="AN12" s="943"/>
    </row>
    <row r="13" spans="1:40" s="754" customFormat="1" ht="15" customHeight="1">
      <c r="A13" s="755"/>
      <c r="B13" s="756" t="s">
        <v>327</v>
      </c>
      <c r="C13" s="762"/>
      <c r="D13" s="581"/>
      <c r="E13" s="583"/>
      <c r="F13" s="582"/>
      <c r="G13" s="582"/>
      <c r="H13" s="582"/>
      <c r="I13" s="582"/>
      <c r="J13" s="582"/>
      <c r="K13" s="583"/>
      <c r="L13" s="583"/>
      <c r="M13" s="582"/>
      <c r="N13" s="582"/>
      <c r="O13" s="582"/>
      <c r="P13" s="582"/>
      <c r="Q13" s="582"/>
      <c r="R13" s="583"/>
      <c r="S13" s="583"/>
      <c r="T13" s="582"/>
      <c r="U13" s="582"/>
      <c r="V13" s="582"/>
      <c r="W13" s="582"/>
      <c r="X13" s="582"/>
      <c r="Y13" s="583"/>
      <c r="Z13" s="583"/>
      <c r="AA13" s="582"/>
      <c r="AB13" s="582"/>
      <c r="AC13" s="582"/>
      <c r="AD13" s="582"/>
      <c r="AE13" s="582"/>
      <c r="AF13" s="583"/>
      <c r="AG13" s="583"/>
      <c r="AH13" s="582"/>
      <c r="AI13" s="582"/>
      <c r="AJ13" s="579"/>
      <c r="AK13" s="580"/>
      <c r="AL13" s="578"/>
      <c r="AM13" s="765"/>
      <c r="AN13" s="943"/>
    </row>
    <row r="14" spans="1:40" s="754" customFormat="1" ht="15" customHeight="1">
      <c r="A14" s="755"/>
      <c r="C14" s="757"/>
      <c r="D14" s="581"/>
      <c r="E14" s="583"/>
      <c r="F14" s="582"/>
      <c r="G14" s="582"/>
      <c r="H14" s="582"/>
      <c r="I14" s="582"/>
      <c r="J14" s="582"/>
      <c r="K14" s="583"/>
      <c r="L14" s="583"/>
      <c r="M14" s="582"/>
      <c r="N14" s="582"/>
      <c r="O14" s="582"/>
      <c r="P14" s="582"/>
      <c r="Q14" s="582"/>
      <c r="R14" s="583"/>
      <c r="S14" s="583"/>
      <c r="T14" s="582"/>
      <c r="U14" s="582"/>
      <c r="V14" s="582"/>
      <c r="W14" s="582"/>
      <c r="X14" s="582"/>
      <c r="Y14" s="583"/>
      <c r="Z14" s="583"/>
      <c r="AA14" s="582"/>
      <c r="AB14" s="582"/>
      <c r="AC14" s="582"/>
      <c r="AD14" s="582"/>
      <c r="AE14" s="582"/>
      <c r="AF14" s="583"/>
      <c r="AG14" s="583"/>
      <c r="AH14" s="582"/>
      <c r="AI14" s="582"/>
      <c r="AJ14" s="579"/>
      <c r="AK14" s="580"/>
      <c r="AL14" s="578"/>
      <c r="AM14" s="765"/>
      <c r="AN14" s="943"/>
    </row>
    <row r="15" spans="1:40" s="754" customFormat="1" ht="15" customHeight="1">
      <c r="A15" s="755">
        <v>3</v>
      </c>
      <c r="B15" s="762" t="s">
        <v>328</v>
      </c>
      <c r="C15" s="762"/>
      <c r="D15" s="581">
        <v>0</v>
      </c>
      <c r="E15" s="583"/>
      <c r="F15" s="582"/>
      <c r="G15" s="582"/>
      <c r="H15" s="582"/>
      <c r="I15" s="582"/>
      <c r="J15" s="582"/>
      <c r="K15" s="583"/>
      <c r="L15" s="583"/>
      <c r="M15" s="582"/>
      <c r="N15" s="582"/>
      <c r="O15" s="582"/>
      <c r="P15" s="582"/>
      <c r="Q15" s="582"/>
      <c r="R15" s="583"/>
      <c r="S15" s="583"/>
      <c r="T15" s="582"/>
      <c r="U15" s="582"/>
      <c r="V15" s="582"/>
      <c r="W15" s="582"/>
      <c r="X15" s="582"/>
      <c r="Y15" s="583"/>
      <c r="Z15" s="583"/>
      <c r="AA15" s="582"/>
      <c r="AB15" s="582"/>
      <c r="AC15" s="582"/>
      <c r="AD15" s="582"/>
      <c r="AE15" s="582"/>
      <c r="AF15" s="583"/>
      <c r="AG15" s="583"/>
      <c r="AH15" s="582"/>
      <c r="AI15" s="582"/>
      <c r="AJ15" s="579">
        <f t="shared" ref="AJ15:AJ53" si="1">SUM(E15:AI15)</f>
        <v>0</v>
      </c>
      <c r="AK15" s="580">
        <f>+AJ15/AJ$3</f>
        <v>0</v>
      </c>
      <c r="AL15" s="586">
        <v>0</v>
      </c>
      <c r="AM15" s="765">
        <f t="shared" ref="AM15:AM68" si="2">+AL15*AK15</f>
        <v>0</v>
      </c>
      <c r="AN15" s="943"/>
    </row>
    <row r="16" spans="1:40" s="754" customFormat="1" ht="15" customHeight="1">
      <c r="A16" s="755" t="s">
        <v>329</v>
      </c>
      <c r="B16" s="762" t="s">
        <v>330</v>
      </c>
      <c r="C16" s="762" t="s">
        <v>331</v>
      </c>
      <c r="D16" s="581">
        <v>1</v>
      </c>
      <c r="E16" s="583"/>
      <c r="F16" s="582">
        <v>1</v>
      </c>
      <c r="G16" s="582">
        <v>1</v>
      </c>
      <c r="H16" s="582">
        <v>1</v>
      </c>
      <c r="I16" s="582">
        <v>1</v>
      </c>
      <c r="J16" s="582">
        <v>1</v>
      </c>
      <c r="K16" s="583"/>
      <c r="L16" s="583"/>
      <c r="M16" s="582">
        <v>1</v>
      </c>
      <c r="N16" s="582">
        <v>1</v>
      </c>
      <c r="O16" s="582">
        <v>1</v>
      </c>
      <c r="P16" s="582">
        <v>1</v>
      </c>
      <c r="Q16" s="582">
        <v>1</v>
      </c>
      <c r="R16" s="583"/>
      <c r="S16" s="583"/>
      <c r="T16" s="582">
        <v>1</v>
      </c>
      <c r="U16" s="582">
        <v>1</v>
      </c>
      <c r="V16" s="582">
        <v>1</v>
      </c>
      <c r="W16" s="582">
        <v>1</v>
      </c>
      <c r="X16" s="582">
        <v>1</v>
      </c>
      <c r="Y16" s="583"/>
      <c r="Z16" s="583"/>
      <c r="AA16" s="582">
        <v>1</v>
      </c>
      <c r="AB16" s="582">
        <v>1</v>
      </c>
      <c r="AC16" s="582">
        <v>1</v>
      </c>
      <c r="AD16" s="582">
        <v>1</v>
      </c>
      <c r="AE16" s="582">
        <v>1</v>
      </c>
      <c r="AF16" s="583"/>
      <c r="AG16" s="583"/>
      <c r="AH16" s="582">
        <v>1</v>
      </c>
      <c r="AI16" s="582">
        <v>1</v>
      </c>
      <c r="AJ16" s="579">
        <f>SUM(E16:AI16)</f>
        <v>22</v>
      </c>
      <c r="AK16" s="580">
        <f>+AJ16/AJ$3</f>
        <v>1</v>
      </c>
      <c r="AL16" s="584">
        <v>49800</v>
      </c>
      <c r="AM16" s="765">
        <f t="shared" si="2"/>
        <v>49800</v>
      </c>
      <c r="AN16" s="943"/>
    </row>
    <row r="17" spans="1:40" s="754" customFormat="1" ht="15" customHeight="1">
      <c r="A17" s="755" t="s">
        <v>332</v>
      </c>
      <c r="B17" s="762" t="s">
        <v>330</v>
      </c>
      <c r="C17" s="762" t="s">
        <v>333</v>
      </c>
      <c r="D17" s="581">
        <v>1</v>
      </c>
      <c r="E17" s="583"/>
      <c r="F17" s="582">
        <v>1</v>
      </c>
      <c r="G17" s="582">
        <v>1</v>
      </c>
      <c r="H17" s="582">
        <v>1</v>
      </c>
      <c r="I17" s="582">
        <v>1</v>
      </c>
      <c r="J17" s="582">
        <v>1</v>
      </c>
      <c r="K17" s="583"/>
      <c r="L17" s="583"/>
      <c r="M17" s="582">
        <v>1</v>
      </c>
      <c r="N17" s="582">
        <v>1</v>
      </c>
      <c r="O17" s="582">
        <v>1</v>
      </c>
      <c r="P17" s="582">
        <v>1</v>
      </c>
      <c r="Q17" s="582">
        <v>1</v>
      </c>
      <c r="R17" s="583"/>
      <c r="S17" s="583"/>
      <c r="T17" s="582">
        <v>1</v>
      </c>
      <c r="U17" s="582">
        <v>1</v>
      </c>
      <c r="V17" s="582">
        <v>1</v>
      </c>
      <c r="W17" s="582">
        <v>1</v>
      </c>
      <c r="X17" s="582">
        <v>1</v>
      </c>
      <c r="Y17" s="583"/>
      <c r="Z17" s="583"/>
      <c r="AA17" s="582">
        <v>1</v>
      </c>
      <c r="AB17" s="582">
        <v>1</v>
      </c>
      <c r="AC17" s="582">
        <v>1</v>
      </c>
      <c r="AD17" s="582">
        <v>1</v>
      </c>
      <c r="AE17" s="582">
        <v>1</v>
      </c>
      <c r="AF17" s="583"/>
      <c r="AG17" s="583"/>
      <c r="AH17" s="582">
        <v>1</v>
      </c>
      <c r="AI17" s="582">
        <v>1</v>
      </c>
      <c r="AJ17" s="579">
        <f t="shared" si="1"/>
        <v>22</v>
      </c>
      <c r="AK17" s="580">
        <f t="shared" ref="AK17:AK117" si="3">+AJ17/AJ$3</f>
        <v>1</v>
      </c>
      <c r="AL17" s="584">
        <v>49800</v>
      </c>
      <c r="AM17" s="765">
        <f t="shared" si="2"/>
        <v>49800</v>
      </c>
      <c r="AN17" s="943"/>
    </row>
    <row r="18" spans="1:40" s="754" customFormat="1" ht="15" customHeight="1">
      <c r="A18" s="755" t="s">
        <v>334</v>
      </c>
      <c r="B18" s="762" t="s">
        <v>330</v>
      </c>
      <c r="C18" s="762" t="s">
        <v>335</v>
      </c>
      <c r="D18" s="581"/>
      <c r="E18" s="583"/>
      <c r="F18" s="582">
        <v>1</v>
      </c>
      <c r="G18" s="582">
        <v>1</v>
      </c>
      <c r="H18" s="582">
        <v>1</v>
      </c>
      <c r="I18" s="582">
        <v>1</v>
      </c>
      <c r="J18" s="582">
        <v>1</v>
      </c>
      <c r="K18" s="583"/>
      <c r="L18" s="583"/>
      <c r="M18" s="582">
        <v>1</v>
      </c>
      <c r="N18" s="582">
        <v>1</v>
      </c>
      <c r="O18" s="582">
        <v>1</v>
      </c>
      <c r="P18" s="582">
        <v>1</v>
      </c>
      <c r="Q18" s="582">
        <v>1</v>
      </c>
      <c r="R18" s="583"/>
      <c r="S18" s="583"/>
      <c r="T18" s="582">
        <v>1</v>
      </c>
      <c r="U18" s="582">
        <v>1</v>
      </c>
      <c r="V18" s="582">
        <v>1</v>
      </c>
      <c r="W18" s="582">
        <v>1</v>
      </c>
      <c r="X18" s="582">
        <v>1</v>
      </c>
      <c r="Y18" s="583"/>
      <c r="Z18" s="583"/>
      <c r="AA18" s="582">
        <v>1</v>
      </c>
      <c r="AB18" s="582">
        <v>1</v>
      </c>
      <c r="AC18" s="582">
        <v>1</v>
      </c>
      <c r="AD18" s="582">
        <v>1</v>
      </c>
      <c r="AE18" s="582">
        <v>1</v>
      </c>
      <c r="AF18" s="583"/>
      <c r="AG18" s="583"/>
      <c r="AH18" s="582">
        <v>1</v>
      </c>
      <c r="AI18" s="582">
        <v>1</v>
      </c>
      <c r="AJ18" s="579">
        <f t="shared" si="1"/>
        <v>22</v>
      </c>
      <c r="AK18" s="580">
        <f t="shared" si="3"/>
        <v>1</v>
      </c>
      <c r="AL18" s="584">
        <v>49800</v>
      </c>
      <c r="AM18" s="765">
        <f>+AL18*AK18</f>
        <v>49800</v>
      </c>
      <c r="AN18" s="943"/>
    </row>
    <row r="19" spans="1:40" s="754" customFormat="1" ht="15" customHeight="1">
      <c r="A19" s="755">
        <v>5</v>
      </c>
      <c r="B19" s="762" t="s">
        <v>336</v>
      </c>
      <c r="C19" s="762" t="s">
        <v>337</v>
      </c>
      <c r="D19" s="581">
        <v>4</v>
      </c>
      <c r="E19" s="583"/>
      <c r="F19" s="582">
        <v>1</v>
      </c>
      <c r="G19" s="582">
        <v>1</v>
      </c>
      <c r="H19" s="582">
        <v>1</v>
      </c>
      <c r="I19" s="582">
        <v>1</v>
      </c>
      <c r="J19" s="582">
        <v>1</v>
      </c>
      <c r="K19" s="583"/>
      <c r="L19" s="583"/>
      <c r="M19" s="582">
        <v>1</v>
      </c>
      <c r="N19" s="582">
        <v>1</v>
      </c>
      <c r="O19" s="582">
        <v>1</v>
      </c>
      <c r="P19" s="582">
        <v>1</v>
      </c>
      <c r="Q19" s="582">
        <v>1</v>
      </c>
      <c r="R19" s="583"/>
      <c r="S19" s="583"/>
      <c r="T19" s="582">
        <v>1</v>
      </c>
      <c r="U19" s="582">
        <v>1</v>
      </c>
      <c r="V19" s="582">
        <v>1</v>
      </c>
      <c r="W19" s="582">
        <v>1</v>
      </c>
      <c r="X19" s="582">
        <v>1</v>
      </c>
      <c r="Y19" s="583"/>
      <c r="Z19" s="583"/>
      <c r="AA19" s="582">
        <v>1</v>
      </c>
      <c r="AB19" s="582">
        <v>1</v>
      </c>
      <c r="AC19" s="582">
        <v>1</v>
      </c>
      <c r="AD19" s="582">
        <v>1</v>
      </c>
      <c r="AE19" s="582">
        <v>1</v>
      </c>
      <c r="AF19" s="583"/>
      <c r="AG19" s="583"/>
      <c r="AH19" s="582">
        <v>1</v>
      </c>
      <c r="AI19" s="582">
        <v>1</v>
      </c>
      <c r="AJ19" s="579">
        <f>SUM(E19:AI19)</f>
        <v>22</v>
      </c>
      <c r="AK19" s="580">
        <f t="shared" si="3"/>
        <v>1</v>
      </c>
      <c r="AL19" s="584">
        <v>37700</v>
      </c>
      <c r="AM19" s="765">
        <f t="shared" si="2"/>
        <v>37700</v>
      </c>
      <c r="AN19" s="943"/>
    </row>
    <row r="20" spans="1:40" s="754" customFormat="1" ht="15" customHeight="1">
      <c r="A20" s="755" t="s">
        <v>338</v>
      </c>
      <c r="B20" s="762" t="s">
        <v>336</v>
      </c>
      <c r="C20" s="762" t="s">
        <v>339</v>
      </c>
      <c r="D20" s="581"/>
      <c r="E20" s="583"/>
      <c r="F20" s="582">
        <v>1</v>
      </c>
      <c r="G20" s="582">
        <v>1</v>
      </c>
      <c r="H20" s="582">
        <v>1</v>
      </c>
      <c r="I20" s="582">
        <v>1</v>
      </c>
      <c r="J20" s="582">
        <v>1</v>
      </c>
      <c r="K20" s="583"/>
      <c r="L20" s="583"/>
      <c r="M20" s="582">
        <v>1</v>
      </c>
      <c r="N20" s="582">
        <v>1</v>
      </c>
      <c r="O20" s="582">
        <v>1</v>
      </c>
      <c r="P20" s="582">
        <v>1</v>
      </c>
      <c r="Q20" s="582">
        <v>1</v>
      </c>
      <c r="R20" s="583"/>
      <c r="S20" s="583"/>
      <c r="T20" s="582">
        <v>1</v>
      </c>
      <c r="U20" s="582">
        <v>1</v>
      </c>
      <c r="V20" s="582">
        <v>1</v>
      </c>
      <c r="W20" s="582">
        <v>1</v>
      </c>
      <c r="X20" s="582">
        <v>1</v>
      </c>
      <c r="Y20" s="583"/>
      <c r="Z20" s="583"/>
      <c r="AA20" s="582">
        <v>1</v>
      </c>
      <c r="AB20" s="582">
        <v>1</v>
      </c>
      <c r="AC20" s="582">
        <v>1</v>
      </c>
      <c r="AD20" s="582">
        <v>1</v>
      </c>
      <c r="AE20" s="582">
        <v>1</v>
      </c>
      <c r="AF20" s="583"/>
      <c r="AG20" s="583"/>
      <c r="AH20" s="582">
        <v>1</v>
      </c>
      <c r="AI20" s="582">
        <v>1</v>
      </c>
      <c r="AJ20" s="579">
        <f t="shared" si="1"/>
        <v>22</v>
      </c>
      <c r="AK20" s="580">
        <f t="shared" si="3"/>
        <v>1</v>
      </c>
      <c r="AL20" s="584">
        <v>37700</v>
      </c>
      <c r="AM20" s="765">
        <f>+AL20*AK20</f>
        <v>37700</v>
      </c>
      <c r="AN20" s="943"/>
    </row>
    <row r="21" spans="1:40" s="754" customFormat="1" ht="15" customHeight="1">
      <c r="A21" s="755" t="s">
        <v>340</v>
      </c>
      <c r="B21" s="762" t="s">
        <v>336</v>
      </c>
      <c r="C21" s="762" t="s">
        <v>341</v>
      </c>
      <c r="D21" s="581"/>
      <c r="E21" s="583"/>
      <c r="F21" s="582">
        <v>1</v>
      </c>
      <c r="G21" s="582">
        <v>1</v>
      </c>
      <c r="H21" s="582">
        <v>1</v>
      </c>
      <c r="I21" s="582">
        <v>1</v>
      </c>
      <c r="J21" s="582">
        <v>1</v>
      </c>
      <c r="K21" s="583"/>
      <c r="L21" s="583"/>
      <c r="M21" s="582">
        <v>1</v>
      </c>
      <c r="N21" s="582">
        <v>1</v>
      </c>
      <c r="O21" s="582">
        <v>1</v>
      </c>
      <c r="P21" s="582">
        <v>1</v>
      </c>
      <c r="Q21" s="582">
        <v>1</v>
      </c>
      <c r="R21" s="583"/>
      <c r="S21" s="583"/>
      <c r="T21" s="582">
        <v>1</v>
      </c>
      <c r="U21" s="582">
        <v>1</v>
      </c>
      <c r="V21" s="582">
        <v>1</v>
      </c>
      <c r="W21" s="582">
        <v>1</v>
      </c>
      <c r="X21" s="582">
        <v>1</v>
      </c>
      <c r="Y21" s="583"/>
      <c r="Z21" s="583"/>
      <c r="AA21" s="582">
        <v>1</v>
      </c>
      <c r="AB21" s="582">
        <v>1</v>
      </c>
      <c r="AC21" s="582">
        <v>1</v>
      </c>
      <c r="AD21" s="582">
        <v>1</v>
      </c>
      <c r="AE21" s="582">
        <v>1</v>
      </c>
      <c r="AF21" s="583"/>
      <c r="AG21" s="583"/>
      <c r="AH21" s="582">
        <v>1</v>
      </c>
      <c r="AI21" s="582">
        <v>1</v>
      </c>
      <c r="AJ21" s="579">
        <f t="shared" si="1"/>
        <v>22</v>
      </c>
      <c r="AK21" s="580">
        <f t="shared" si="3"/>
        <v>1</v>
      </c>
      <c r="AL21" s="584">
        <v>37700</v>
      </c>
      <c r="AM21" s="765">
        <f>+AL21*AK21</f>
        <v>37700</v>
      </c>
      <c r="AN21" s="943"/>
    </row>
    <row r="22" spans="1:40" s="754" customFormat="1" ht="15" customHeight="1">
      <c r="A22" s="755" t="s">
        <v>342</v>
      </c>
      <c r="B22" s="762" t="s">
        <v>336</v>
      </c>
      <c r="C22" s="762" t="s">
        <v>343</v>
      </c>
      <c r="D22" s="581"/>
      <c r="E22" s="583"/>
      <c r="F22" s="582">
        <v>1</v>
      </c>
      <c r="G22" s="582">
        <v>1</v>
      </c>
      <c r="H22" s="582">
        <v>1</v>
      </c>
      <c r="I22" s="582">
        <v>1</v>
      </c>
      <c r="J22" s="582">
        <v>1</v>
      </c>
      <c r="K22" s="583"/>
      <c r="L22" s="583"/>
      <c r="M22" s="582">
        <v>1</v>
      </c>
      <c r="N22" s="582">
        <v>1</v>
      </c>
      <c r="O22" s="582">
        <v>1</v>
      </c>
      <c r="P22" s="582">
        <v>1</v>
      </c>
      <c r="Q22" s="582">
        <v>1</v>
      </c>
      <c r="R22" s="583"/>
      <c r="S22" s="583"/>
      <c r="T22" s="582">
        <v>1</v>
      </c>
      <c r="U22" s="582">
        <v>1</v>
      </c>
      <c r="V22" s="582">
        <v>1</v>
      </c>
      <c r="W22" s="582">
        <v>1</v>
      </c>
      <c r="X22" s="582">
        <v>1</v>
      </c>
      <c r="Y22" s="583"/>
      <c r="Z22" s="583"/>
      <c r="AA22" s="582">
        <v>1</v>
      </c>
      <c r="AB22" s="582">
        <v>1</v>
      </c>
      <c r="AC22" s="582">
        <v>1</v>
      </c>
      <c r="AD22" s="582">
        <v>1</v>
      </c>
      <c r="AE22" s="582">
        <v>1</v>
      </c>
      <c r="AF22" s="583"/>
      <c r="AG22" s="583"/>
      <c r="AH22" s="582">
        <v>1</v>
      </c>
      <c r="AI22" s="582">
        <v>1</v>
      </c>
      <c r="AJ22" s="579">
        <f t="shared" si="1"/>
        <v>22</v>
      </c>
      <c r="AK22" s="580">
        <f t="shared" si="3"/>
        <v>1</v>
      </c>
      <c r="AL22" s="584">
        <v>37700</v>
      </c>
      <c r="AM22" s="765">
        <f>+AL22*AK22</f>
        <v>37700</v>
      </c>
      <c r="AN22" s="943"/>
    </row>
    <row r="23" spans="1:40" s="754" customFormat="1" ht="15" customHeight="1">
      <c r="A23" s="755" t="s">
        <v>939</v>
      </c>
      <c r="B23" s="762" t="s">
        <v>336</v>
      </c>
      <c r="C23" s="762" t="s">
        <v>940</v>
      </c>
      <c r="D23" s="581"/>
      <c r="E23" s="583"/>
      <c r="F23" s="582"/>
      <c r="G23" s="582"/>
      <c r="H23" s="582"/>
      <c r="I23" s="582"/>
      <c r="J23" s="582"/>
      <c r="K23" s="583"/>
      <c r="L23" s="583"/>
      <c r="M23" s="582">
        <v>1</v>
      </c>
      <c r="N23" s="582">
        <v>1</v>
      </c>
      <c r="O23" s="582">
        <v>1</v>
      </c>
      <c r="P23" s="582">
        <v>1</v>
      </c>
      <c r="Q23" s="582">
        <v>1</v>
      </c>
      <c r="R23" s="583"/>
      <c r="S23" s="583"/>
      <c r="T23" s="582">
        <v>1</v>
      </c>
      <c r="U23" s="582">
        <v>1</v>
      </c>
      <c r="V23" s="582">
        <v>1</v>
      </c>
      <c r="W23" s="582">
        <v>1</v>
      </c>
      <c r="X23" s="582">
        <v>1</v>
      </c>
      <c r="Y23" s="583"/>
      <c r="Z23" s="583"/>
      <c r="AA23" s="582">
        <v>1</v>
      </c>
      <c r="AB23" s="582">
        <v>1</v>
      </c>
      <c r="AC23" s="582">
        <v>1</v>
      </c>
      <c r="AD23" s="582">
        <v>1</v>
      </c>
      <c r="AE23" s="582">
        <v>1</v>
      </c>
      <c r="AF23" s="583"/>
      <c r="AG23" s="583"/>
      <c r="AH23" s="582">
        <v>1</v>
      </c>
      <c r="AI23" s="582">
        <v>1</v>
      </c>
      <c r="AJ23" s="579">
        <f t="shared" si="1"/>
        <v>17</v>
      </c>
      <c r="AK23" s="580">
        <f t="shared" si="3"/>
        <v>0.77272727272727271</v>
      </c>
      <c r="AL23" s="584">
        <v>37701</v>
      </c>
      <c r="AM23" s="765">
        <f>+AL23*AK23</f>
        <v>29132.590909090908</v>
      </c>
      <c r="AN23" s="943"/>
    </row>
    <row r="24" spans="1:40" s="754" customFormat="1" ht="15" customHeight="1">
      <c r="A24" s="755">
        <v>6</v>
      </c>
      <c r="B24" s="762" t="s">
        <v>344</v>
      </c>
      <c r="C24" s="762" t="s">
        <v>345</v>
      </c>
      <c r="D24" s="581">
        <v>8</v>
      </c>
      <c r="E24" s="583"/>
      <c r="F24" s="582">
        <v>1</v>
      </c>
      <c r="G24" s="582">
        <v>1</v>
      </c>
      <c r="H24" s="582">
        <v>1</v>
      </c>
      <c r="I24" s="582">
        <v>1</v>
      </c>
      <c r="J24" s="582">
        <v>1</v>
      </c>
      <c r="K24" s="583"/>
      <c r="L24" s="583"/>
      <c r="M24" s="582">
        <v>1</v>
      </c>
      <c r="N24" s="582">
        <v>1</v>
      </c>
      <c r="O24" s="582">
        <v>1</v>
      </c>
      <c r="P24" s="582">
        <v>1</v>
      </c>
      <c r="Q24" s="582">
        <v>1</v>
      </c>
      <c r="R24" s="583"/>
      <c r="S24" s="583"/>
      <c r="T24" s="582">
        <v>1</v>
      </c>
      <c r="U24" s="582">
        <v>1</v>
      </c>
      <c r="V24" s="582">
        <v>1</v>
      </c>
      <c r="W24" s="582">
        <v>1</v>
      </c>
      <c r="X24" s="582">
        <v>1</v>
      </c>
      <c r="Y24" s="583"/>
      <c r="Z24" s="583"/>
      <c r="AA24" s="582">
        <v>1</v>
      </c>
      <c r="AB24" s="582">
        <v>1</v>
      </c>
      <c r="AC24" s="582">
        <v>1</v>
      </c>
      <c r="AD24" s="582">
        <v>1</v>
      </c>
      <c r="AE24" s="582">
        <v>1</v>
      </c>
      <c r="AF24" s="583"/>
      <c r="AG24" s="583"/>
      <c r="AH24" s="582">
        <v>1</v>
      </c>
      <c r="AI24" s="582">
        <v>1</v>
      </c>
      <c r="AJ24" s="579">
        <f t="shared" si="1"/>
        <v>22</v>
      </c>
      <c r="AK24" s="580">
        <f t="shared" si="3"/>
        <v>1</v>
      </c>
      <c r="AL24" s="584">
        <v>16100</v>
      </c>
      <c r="AM24" s="765">
        <f t="shared" si="2"/>
        <v>16100</v>
      </c>
      <c r="AN24" s="943"/>
    </row>
    <row r="25" spans="1:40" s="754" customFormat="1" ht="15" customHeight="1">
      <c r="A25" s="755" t="s">
        <v>346</v>
      </c>
      <c r="B25" s="762" t="s">
        <v>347</v>
      </c>
      <c r="C25" s="762" t="s">
        <v>348</v>
      </c>
      <c r="D25" s="581"/>
      <c r="E25" s="583"/>
      <c r="F25" s="582">
        <v>1</v>
      </c>
      <c r="G25" s="582">
        <v>1</v>
      </c>
      <c r="H25" s="582">
        <v>1</v>
      </c>
      <c r="I25" s="582">
        <v>1</v>
      </c>
      <c r="J25" s="582">
        <v>1</v>
      </c>
      <c r="K25" s="583"/>
      <c r="L25" s="583"/>
      <c r="M25" s="582">
        <v>1</v>
      </c>
      <c r="N25" s="582">
        <v>1</v>
      </c>
      <c r="O25" s="582">
        <v>1</v>
      </c>
      <c r="P25" s="582">
        <v>1</v>
      </c>
      <c r="Q25" s="582">
        <v>1</v>
      </c>
      <c r="R25" s="583"/>
      <c r="S25" s="583"/>
      <c r="T25" s="582">
        <v>1</v>
      </c>
      <c r="U25" s="582">
        <v>1</v>
      </c>
      <c r="V25" s="582">
        <v>1</v>
      </c>
      <c r="W25" s="582">
        <v>1</v>
      </c>
      <c r="X25" s="582">
        <v>1</v>
      </c>
      <c r="Y25" s="583"/>
      <c r="Z25" s="583"/>
      <c r="AA25" s="582">
        <v>1</v>
      </c>
      <c r="AB25" s="582">
        <v>1</v>
      </c>
      <c r="AC25" s="582">
        <v>1</v>
      </c>
      <c r="AD25" s="582">
        <v>1</v>
      </c>
      <c r="AE25" s="582">
        <v>1</v>
      </c>
      <c r="AF25" s="583"/>
      <c r="AG25" s="583"/>
      <c r="AH25" s="582">
        <v>1</v>
      </c>
      <c r="AI25" s="582">
        <v>1</v>
      </c>
      <c r="AJ25" s="579">
        <f t="shared" si="1"/>
        <v>22</v>
      </c>
      <c r="AK25" s="580">
        <f t="shared" si="3"/>
        <v>1</v>
      </c>
      <c r="AL25" s="584">
        <v>16100</v>
      </c>
      <c r="AM25" s="765">
        <f t="shared" si="2"/>
        <v>16100</v>
      </c>
      <c r="AN25" s="943"/>
    </row>
    <row r="26" spans="1:40" s="754" customFormat="1" ht="15" customHeight="1">
      <c r="A26" s="755" t="s">
        <v>349</v>
      </c>
      <c r="B26" s="762" t="s">
        <v>347</v>
      </c>
      <c r="C26" s="762" t="s">
        <v>350</v>
      </c>
      <c r="D26" s="581"/>
      <c r="E26" s="583"/>
      <c r="F26" s="582">
        <v>1</v>
      </c>
      <c r="G26" s="582">
        <v>1</v>
      </c>
      <c r="H26" s="582"/>
      <c r="I26" s="582"/>
      <c r="J26" s="582"/>
      <c r="K26" s="583"/>
      <c r="L26" s="583"/>
      <c r="M26" s="582"/>
      <c r="N26" s="582"/>
      <c r="O26" s="582"/>
      <c r="P26" s="582"/>
      <c r="Q26" s="582"/>
      <c r="R26" s="583"/>
      <c r="S26" s="583"/>
      <c r="T26" s="582"/>
      <c r="U26" s="582"/>
      <c r="V26" s="582"/>
      <c r="W26" s="582"/>
      <c r="X26" s="582"/>
      <c r="Y26" s="583"/>
      <c r="Z26" s="583"/>
      <c r="AA26" s="582"/>
      <c r="AB26" s="582"/>
      <c r="AC26" s="582"/>
      <c r="AD26" s="582"/>
      <c r="AE26" s="582"/>
      <c r="AF26" s="583"/>
      <c r="AG26" s="583"/>
      <c r="AH26" s="582"/>
      <c r="AI26" s="582"/>
      <c r="AJ26" s="579">
        <f t="shared" si="1"/>
        <v>2</v>
      </c>
      <c r="AK26" s="580">
        <f t="shared" si="3"/>
        <v>9.0909090909090912E-2</v>
      </c>
      <c r="AL26" s="584">
        <v>16100</v>
      </c>
      <c r="AM26" s="765">
        <f t="shared" si="2"/>
        <v>1463.6363636363637</v>
      </c>
      <c r="AN26" s="943"/>
    </row>
    <row r="27" spans="1:40" s="754" customFormat="1" ht="15" customHeight="1">
      <c r="A27" s="755" t="s">
        <v>351</v>
      </c>
      <c r="B27" s="762" t="s">
        <v>347</v>
      </c>
      <c r="C27" s="762" t="s">
        <v>352</v>
      </c>
      <c r="D27" s="581"/>
      <c r="E27" s="583"/>
      <c r="F27" s="582">
        <v>1</v>
      </c>
      <c r="G27" s="582">
        <v>1</v>
      </c>
      <c r="H27" s="582">
        <v>1</v>
      </c>
      <c r="I27" s="582">
        <v>1</v>
      </c>
      <c r="J27" s="582">
        <v>1</v>
      </c>
      <c r="K27" s="583"/>
      <c r="L27" s="583"/>
      <c r="M27" s="582">
        <v>1</v>
      </c>
      <c r="N27" s="582">
        <v>1</v>
      </c>
      <c r="O27" s="582">
        <v>1</v>
      </c>
      <c r="P27" s="582">
        <v>1</v>
      </c>
      <c r="Q27" s="582">
        <v>1</v>
      </c>
      <c r="R27" s="583"/>
      <c r="S27" s="583"/>
      <c r="T27" s="582">
        <v>1</v>
      </c>
      <c r="U27" s="582">
        <v>1</v>
      </c>
      <c r="V27" s="582">
        <v>1</v>
      </c>
      <c r="W27" s="582">
        <v>1</v>
      </c>
      <c r="X27" s="582">
        <v>1</v>
      </c>
      <c r="Y27" s="583"/>
      <c r="Z27" s="583"/>
      <c r="AA27" s="582">
        <v>1</v>
      </c>
      <c r="AB27" s="582">
        <v>1</v>
      </c>
      <c r="AC27" s="582">
        <v>1</v>
      </c>
      <c r="AD27" s="582">
        <v>1</v>
      </c>
      <c r="AE27" s="582">
        <v>1</v>
      </c>
      <c r="AF27" s="583"/>
      <c r="AG27" s="583"/>
      <c r="AH27" s="582">
        <v>1</v>
      </c>
      <c r="AI27" s="582">
        <v>1</v>
      </c>
      <c r="AJ27" s="579">
        <f t="shared" si="1"/>
        <v>22</v>
      </c>
      <c r="AK27" s="580">
        <f t="shared" si="3"/>
        <v>1</v>
      </c>
      <c r="AL27" s="584">
        <v>16100</v>
      </c>
      <c r="AM27" s="765">
        <f t="shared" si="2"/>
        <v>16100</v>
      </c>
      <c r="AN27" s="943"/>
    </row>
    <row r="28" spans="1:40" s="754" customFormat="1" ht="15" customHeight="1">
      <c r="A28" s="755" t="s">
        <v>353</v>
      </c>
      <c r="B28" s="762" t="s">
        <v>347</v>
      </c>
      <c r="C28" s="762" t="s">
        <v>354</v>
      </c>
      <c r="D28" s="581"/>
      <c r="E28" s="583"/>
      <c r="F28" s="582"/>
      <c r="G28" s="582"/>
      <c r="H28" s="582"/>
      <c r="I28" s="582"/>
      <c r="J28" s="582"/>
      <c r="K28" s="583"/>
      <c r="L28" s="583"/>
      <c r="M28" s="582"/>
      <c r="N28" s="582"/>
      <c r="O28" s="582"/>
      <c r="P28" s="582"/>
      <c r="Q28" s="582"/>
      <c r="R28" s="583"/>
      <c r="S28" s="583"/>
      <c r="T28" s="582"/>
      <c r="U28" s="582"/>
      <c r="V28" s="582"/>
      <c r="W28" s="582"/>
      <c r="X28" s="582"/>
      <c r="Y28" s="583"/>
      <c r="Z28" s="583"/>
      <c r="AA28" s="582"/>
      <c r="AB28" s="582"/>
      <c r="AC28" s="582"/>
      <c r="AD28" s="582"/>
      <c r="AE28" s="582"/>
      <c r="AF28" s="583"/>
      <c r="AG28" s="583"/>
      <c r="AH28" s="582"/>
      <c r="AI28" s="582"/>
      <c r="AJ28" s="579">
        <f t="shared" si="1"/>
        <v>0</v>
      </c>
      <c r="AK28" s="580">
        <f t="shared" si="3"/>
        <v>0</v>
      </c>
      <c r="AL28" s="584">
        <v>16100</v>
      </c>
      <c r="AM28" s="765">
        <f t="shared" si="2"/>
        <v>0</v>
      </c>
      <c r="AN28" s="943"/>
    </row>
    <row r="29" spans="1:40" s="754" customFormat="1" ht="15" customHeight="1">
      <c r="A29" s="755" t="s">
        <v>355</v>
      </c>
      <c r="B29" s="762" t="s">
        <v>347</v>
      </c>
      <c r="C29" s="762" t="s">
        <v>356</v>
      </c>
      <c r="D29" s="581"/>
      <c r="E29" s="583"/>
      <c r="F29" s="582">
        <v>1</v>
      </c>
      <c r="G29" s="582">
        <v>1</v>
      </c>
      <c r="H29" s="582">
        <v>1</v>
      </c>
      <c r="I29" s="582">
        <v>1</v>
      </c>
      <c r="J29" s="582">
        <v>1</v>
      </c>
      <c r="K29" s="583"/>
      <c r="L29" s="583"/>
      <c r="M29" s="582">
        <v>1</v>
      </c>
      <c r="N29" s="582">
        <v>1</v>
      </c>
      <c r="O29" s="582">
        <v>1</v>
      </c>
      <c r="P29" s="582">
        <v>1</v>
      </c>
      <c r="Q29" s="582">
        <v>1</v>
      </c>
      <c r="R29" s="583"/>
      <c r="S29" s="583"/>
      <c r="T29" s="582">
        <v>1</v>
      </c>
      <c r="U29" s="582">
        <v>1</v>
      </c>
      <c r="V29" s="582">
        <v>1</v>
      </c>
      <c r="W29" s="582">
        <v>1</v>
      </c>
      <c r="X29" s="582">
        <v>1</v>
      </c>
      <c r="Y29" s="583"/>
      <c r="Z29" s="583"/>
      <c r="AA29" s="582">
        <v>1</v>
      </c>
      <c r="AB29" s="582">
        <v>1</v>
      </c>
      <c r="AC29" s="582">
        <v>1</v>
      </c>
      <c r="AD29" s="582">
        <v>1</v>
      </c>
      <c r="AE29" s="582">
        <v>1</v>
      </c>
      <c r="AF29" s="583"/>
      <c r="AG29" s="583"/>
      <c r="AH29" s="582">
        <v>1</v>
      </c>
      <c r="AI29" s="582">
        <v>1</v>
      </c>
      <c r="AJ29" s="579">
        <f t="shared" si="1"/>
        <v>22</v>
      </c>
      <c r="AK29" s="580">
        <f t="shared" si="3"/>
        <v>1</v>
      </c>
      <c r="AL29" s="584">
        <v>16100</v>
      </c>
      <c r="AM29" s="765">
        <f t="shared" si="2"/>
        <v>16100</v>
      </c>
      <c r="AN29" s="943"/>
    </row>
    <row r="30" spans="1:40" s="754" customFormat="1" ht="15" customHeight="1">
      <c r="A30" s="755" t="s">
        <v>357</v>
      </c>
      <c r="B30" s="762" t="s">
        <v>347</v>
      </c>
      <c r="C30" s="762" t="s">
        <v>358</v>
      </c>
      <c r="D30" s="581"/>
      <c r="E30" s="583"/>
      <c r="F30" s="582">
        <v>1</v>
      </c>
      <c r="G30" s="582">
        <v>1</v>
      </c>
      <c r="H30" s="582">
        <v>1</v>
      </c>
      <c r="I30" s="582">
        <v>1</v>
      </c>
      <c r="J30" s="582">
        <v>1</v>
      </c>
      <c r="K30" s="583"/>
      <c r="L30" s="583"/>
      <c r="M30" s="582">
        <v>1</v>
      </c>
      <c r="N30" s="582">
        <v>1</v>
      </c>
      <c r="O30" s="582">
        <v>1</v>
      </c>
      <c r="P30" s="582">
        <v>1</v>
      </c>
      <c r="Q30" s="582">
        <v>1</v>
      </c>
      <c r="R30" s="583"/>
      <c r="S30" s="583"/>
      <c r="T30" s="582">
        <v>1</v>
      </c>
      <c r="U30" s="582">
        <v>1</v>
      </c>
      <c r="V30" s="582">
        <v>1</v>
      </c>
      <c r="W30" s="582">
        <v>1</v>
      </c>
      <c r="X30" s="582">
        <v>1</v>
      </c>
      <c r="Y30" s="583"/>
      <c r="Z30" s="583"/>
      <c r="AA30" s="582">
        <v>1</v>
      </c>
      <c r="AB30" s="582">
        <v>1</v>
      </c>
      <c r="AC30" s="582">
        <v>1</v>
      </c>
      <c r="AD30" s="582">
        <v>1</v>
      </c>
      <c r="AE30" s="582">
        <v>1</v>
      </c>
      <c r="AF30" s="583"/>
      <c r="AG30" s="583"/>
      <c r="AH30" s="582">
        <v>1</v>
      </c>
      <c r="AI30" s="582">
        <v>1</v>
      </c>
      <c r="AJ30" s="579">
        <f t="shared" si="1"/>
        <v>22</v>
      </c>
      <c r="AK30" s="580">
        <f t="shared" si="3"/>
        <v>1</v>
      </c>
      <c r="AL30" s="584">
        <v>16100</v>
      </c>
      <c r="AM30" s="765">
        <f t="shared" si="2"/>
        <v>16100</v>
      </c>
      <c r="AN30" s="943"/>
    </row>
    <row r="31" spans="1:40" s="754" customFormat="1" ht="15" customHeight="1">
      <c r="A31" s="755" t="s">
        <v>359</v>
      </c>
      <c r="B31" s="762" t="s">
        <v>347</v>
      </c>
      <c r="C31" s="762" t="s">
        <v>360</v>
      </c>
      <c r="D31" s="581"/>
      <c r="E31" s="583"/>
      <c r="F31" s="582"/>
      <c r="G31" s="582"/>
      <c r="H31" s="582"/>
      <c r="I31" s="582"/>
      <c r="J31" s="582"/>
      <c r="K31" s="583"/>
      <c r="L31" s="583"/>
      <c r="M31" s="582"/>
      <c r="N31" s="582"/>
      <c r="O31" s="582"/>
      <c r="P31" s="582"/>
      <c r="Q31" s="582"/>
      <c r="R31" s="583"/>
      <c r="S31" s="583"/>
      <c r="T31" s="582"/>
      <c r="U31" s="582"/>
      <c r="V31" s="582"/>
      <c r="W31" s="582"/>
      <c r="X31" s="582"/>
      <c r="Y31" s="583"/>
      <c r="Z31" s="583"/>
      <c r="AA31" s="582"/>
      <c r="AB31" s="582"/>
      <c r="AC31" s="582"/>
      <c r="AD31" s="582"/>
      <c r="AE31" s="582"/>
      <c r="AF31" s="583"/>
      <c r="AG31" s="583"/>
      <c r="AH31" s="582"/>
      <c r="AI31" s="582"/>
      <c r="AJ31" s="579">
        <f t="shared" si="1"/>
        <v>0</v>
      </c>
      <c r="AK31" s="580">
        <f>+AJ31/AJ$3</f>
        <v>0</v>
      </c>
      <c r="AL31" s="584">
        <v>16100</v>
      </c>
      <c r="AM31" s="765">
        <f>+AL31*AK31</f>
        <v>0</v>
      </c>
      <c r="AN31" s="943"/>
    </row>
    <row r="32" spans="1:40" s="754" customFormat="1" ht="15" customHeight="1">
      <c r="A32" s="755" t="s">
        <v>361</v>
      </c>
      <c r="B32" s="762" t="s">
        <v>347</v>
      </c>
      <c r="C32" s="762" t="s">
        <v>362</v>
      </c>
      <c r="D32" s="581"/>
      <c r="E32" s="583"/>
      <c r="F32" s="582">
        <v>1</v>
      </c>
      <c r="G32" s="582">
        <v>1</v>
      </c>
      <c r="H32" s="582">
        <v>1</v>
      </c>
      <c r="I32" s="582">
        <v>1</v>
      </c>
      <c r="J32" s="582">
        <v>1</v>
      </c>
      <c r="K32" s="583"/>
      <c r="L32" s="583"/>
      <c r="M32" s="582">
        <v>1</v>
      </c>
      <c r="N32" s="582">
        <v>1</v>
      </c>
      <c r="O32" s="582">
        <v>1</v>
      </c>
      <c r="P32" s="582">
        <v>1</v>
      </c>
      <c r="Q32" s="582">
        <v>1</v>
      </c>
      <c r="R32" s="583"/>
      <c r="S32" s="583"/>
      <c r="T32" s="582">
        <v>1</v>
      </c>
      <c r="U32" s="582">
        <v>1</v>
      </c>
      <c r="V32" s="582">
        <v>1</v>
      </c>
      <c r="W32" s="582">
        <v>1</v>
      </c>
      <c r="X32" s="582">
        <v>1</v>
      </c>
      <c r="Y32" s="583"/>
      <c r="Z32" s="583"/>
      <c r="AA32" s="582">
        <v>1</v>
      </c>
      <c r="AB32" s="582">
        <v>1</v>
      </c>
      <c r="AC32" s="582">
        <v>1</v>
      </c>
      <c r="AD32" s="582">
        <v>1</v>
      </c>
      <c r="AE32" s="582">
        <v>1</v>
      </c>
      <c r="AF32" s="583"/>
      <c r="AG32" s="583"/>
      <c r="AH32" s="582">
        <v>1</v>
      </c>
      <c r="AI32" s="582">
        <v>1</v>
      </c>
      <c r="AJ32" s="579">
        <f t="shared" si="1"/>
        <v>22</v>
      </c>
      <c r="AK32" s="580">
        <f>+AJ32/AJ$3</f>
        <v>1</v>
      </c>
      <c r="AL32" s="584">
        <v>16100</v>
      </c>
      <c r="AM32" s="765">
        <f t="shared" ref="AM32:AM38" si="4">+AL32*AK32</f>
        <v>16100</v>
      </c>
      <c r="AN32" s="943"/>
    </row>
    <row r="33" spans="1:40" s="754" customFormat="1" ht="15" customHeight="1">
      <c r="A33" s="755" t="s">
        <v>901</v>
      </c>
      <c r="B33" s="762" t="s">
        <v>344</v>
      </c>
      <c r="C33" s="762" t="s">
        <v>902</v>
      </c>
      <c r="D33" s="581"/>
      <c r="E33" s="583"/>
      <c r="F33" s="582">
        <v>1</v>
      </c>
      <c r="G33" s="582">
        <v>1</v>
      </c>
      <c r="H33" s="582">
        <v>1</v>
      </c>
      <c r="I33" s="582">
        <v>1</v>
      </c>
      <c r="J33" s="582">
        <v>1</v>
      </c>
      <c r="K33" s="583"/>
      <c r="L33" s="583"/>
      <c r="M33" s="582">
        <v>1</v>
      </c>
      <c r="N33" s="582">
        <v>1</v>
      </c>
      <c r="O33" s="582">
        <v>1</v>
      </c>
      <c r="P33" s="582">
        <v>1</v>
      </c>
      <c r="Q33" s="582">
        <v>1</v>
      </c>
      <c r="R33" s="583"/>
      <c r="S33" s="583"/>
      <c r="T33" s="582">
        <v>1</v>
      </c>
      <c r="U33" s="582">
        <v>1</v>
      </c>
      <c r="V33" s="582">
        <v>1</v>
      </c>
      <c r="W33" s="582">
        <v>1</v>
      </c>
      <c r="X33" s="582">
        <v>1</v>
      </c>
      <c r="Y33" s="583"/>
      <c r="Z33" s="583"/>
      <c r="AA33" s="582">
        <v>1</v>
      </c>
      <c r="AB33" s="582">
        <v>1</v>
      </c>
      <c r="AC33" s="582">
        <v>1</v>
      </c>
      <c r="AD33" s="582">
        <v>1</v>
      </c>
      <c r="AE33" s="582">
        <v>1</v>
      </c>
      <c r="AF33" s="583"/>
      <c r="AG33" s="583"/>
      <c r="AH33" s="582">
        <v>1</v>
      </c>
      <c r="AI33" s="582">
        <v>1</v>
      </c>
      <c r="AJ33" s="579">
        <f t="shared" si="1"/>
        <v>22</v>
      </c>
      <c r="AK33" s="580">
        <f t="shared" si="3"/>
        <v>1</v>
      </c>
      <c r="AL33" s="584">
        <v>16100</v>
      </c>
      <c r="AM33" s="765">
        <f t="shared" si="4"/>
        <v>16100</v>
      </c>
      <c r="AN33" s="943"/>
    </row>
    <row r="34" spans="1:40" s="754" customFormat="1" ht="15" customHeight="1">
      <c r="A34" s="755" t="s">
        <v>363</v>
      </c>
      <c r="B34" s="762" t="s">
        <v>344</v>
      </c>
      <c r="C34" s="762" t="s">
        <v>903</v>
      </c>
      <c r="D34" s="581"/>
      <c r="E34" s="583"/>
      <c r="F34" s="582">
        <v>1</v>
      </c>
      <c r="G34" s="582">
        <v>1</v>
      </c>
      <c r="H34" s="582">
        <v>1</v>
      </c>
      <c r="I34" s="582">
        <v>1</v>
      </c>
      <c r="J34" s="582">
        <v>1</v>
      </c>
      <c r="K34" s="583"/>
      <c r="L34" s="583"/>
      <c r="M34" s="582">
        <v>1</v>
      </c>
      <c r="N34" s="582">
        <v>1</v>
      </c>
      <c r="O34" s="582">
        <v>1</v>
      </c>
      <c r="P34" s="582">
        <v>1</v>
      </c>
      <c r="Q34" s="582">
        <v>1</v>
      </c>
      <c r="R34" s="583"/>
      <c r="S34" s="583"/>
      <c r="T34" s="582">
        <v>1</v>
      </c>
      <c r="U34" s="582">
        <v>1</v>
      </c>
      <c r="V34" s="582">
        <v>1</v>
      </c>
      <c r="W34" s="582">
        <v>1</v>
      </c>
      <c r="X34" s="582">
        <v>1</v>
      </c>
      <c r="Y34" s="583"/>
      <c r="Z34" s="583"/>
      <c r="AA34" s="582">
        <v>1</v>
      </c>
      <c r="AB34" s="582">
        <v>1</v>
      </c>
      <c r="AC34" s="582">
        <v>1</v>
      </c>
      <c r="AD34" s="582">
        <v>1</v>
      </c>
      <c r="AE34" s="582">
        <v>1</v>
      </c>
      <c r="AF34" s="583"/>
      <c r="AG34" s="583"/>
      <c r="AH34" s="582">
        <v>1</v>
      </c>
      <c r="AI34" s="582">
        <v>1</v>
      </c>
      <c r="AJ34" s="579">
        <f t="shared" si="1"/>
        <v>22</v>
      </c>
      <c r="AK34" s="580">
        <f t="shared" si="3"/>
        <v>1</v>
      </c>
      <c r="AL34" s="584">
        <v>16100</v>
      </c>
      <c r="AM34" s="765">
        <f t="shared" si="4"/>
        <v>16100</v>
      </c>
      <c r="AN34" s="943"/>
    </row>
    <row r="35" spans="1:40" s="754" customFormat="1" ht="15" customHeight="1">
      <c r="A35" s="755" t="s">
        <v>760</v>
      </c>
      <c r="B35" s="762" t="s">
        <v>344</v>
      </c>
      <c r="C35" s="762" t="s">
        <v>904</v>
      </c>
      <c r="D35" s="581"/>
      <c r="E35" s="583"/>
      <c r="F35" s="582">
        <v>1</v>
      </c>
      <c r="G35" s="582">
        <v>1</v>
      </c>
      <c r="H35" s="582">
        <v>1</v>
      </c>
      <c r="I35" s="582">
        <v>1</v>
      </c>
      <c r="J35" s="582">
        <v>1</v>
      </c>
      <c r="K35" s="583"/>
      <c r="L35" s="583"/>
      <c r="M35" s="582">
        <v>1</v>
      </c>
      <c r="N35" s="582">
        <v>1</v>
      </c>
      <c r="O35" s="582">
        <v>1</v>
      </c>
      <c r="P35" s="582">
        <v>1</v>
      </c>
      <c r="Q35" s="582">
        <v>1</v>
      </c>
      <c r="R35" s="583"/>
      <c r="S35" s="583"/>
      <c r="T35" s="582">
        <v>1</v>
      </c>
      <c r="U35" s="582">
        <v>1</v>
      </c>
      <c r="V35" s="582">
        <v>1</v>
      </c>
      <c r="W35" s="582">
        <v>1</v>
      </c>
      <c r="X35" s="582">
        <v>1</v>
      </c>
      <c r="Y35" s="583"/>
      <c r="Z35" s="583"/>
      <c r="AA35" s="582">
        <v>1</v>
      </c>
      <c r="AB35" s="582">
        <v>1</v>
      </c>
      <c r="AC35" s="582">
        <v>1</v>
      </c>
      <c r="AD35" s="582">
        <v>1</v>
      </c>
      <c r="AE35" s="582">
        <v>1</v>
      </c>
      <c r="AF35" s="583"/>
      <c r="AG35" s="583"/>
      <c r="AH35" s="582">
        <v>1</v>
      </c>
      <c r="AI35" s="582">
        <v>1</v>
      </c>
      <c r="AJ35" s="579">
        <f t="shared" si="1"/>
        <v>22</v>
      </c>
      <c r="AK35" s="580">
        <f t="shared" si="3"/>
        <v>1</v>
      </c>
      <c r="AL35" s="584">
        <v>16100</v>
      </c>
      <c r="AM35" s="765">
        <f t="shared" si="4"/>
        <v>16100</v>
      </c>
      <c r="AN35" s="943"/>
    </row>
    <row r="36" spans="1:40" s="754" customFormat="1" ht="15" customHeight="1">
      <c r="A36" s="755" t="s">
        <v>905</v>
      </c>
      <c r="B36" s="762" t="s">
        <v>344</v>
      </c>
      <c r="C36" s="762" t="s">
        <v>906</v>
      </c>
      <c r="D36" s="581"/>
      <c r="E36" s="583"/>
      <c r="F36" s="582">
        <v>1</v>
      </c>
      <c r="G36" s="582">
        <v>1</v>
      </c>
      <c r="H36" s="582">
        <v>1</v>
      </c>
      <c r="I36" s="582">
        <v>1</v>
      </c>
      <c r="J36" s="582">
        <v>1</v>
      </c>
      <c r="K36" s="583"/>
      <c r="L36" s="583"/>
      <c r="M36" s="582">
        <v>1</v>
      </c>
      <c r="N36" s="582">
        <v>1</v>
      </c>
      <c r="O36" s="582">
        <v>1</v>
      </c>
      <c r="P36" s="582">
        <v>1</v>
      </c>
      <c r="Q36" s="582">
        <v>1</v>
      </c>
      <c r="R36" s="583"/>
      <c r="S36" s="583"/>
      <c r="T36" s="582">
        <v>1</v>
      </c>
      <c r="U36" s="582">
        <v>1</v>
      </c>
      <c r="V36" s="582">
        <v>1</v>
      </c>
      <c r="W36" s="582">
        <v>1</v>
      </c>
      <c r="X36" s="582">
        <v>1</v>
      </c>
      <c r="Y36" s="583"/>
      <c r="Z36" s="583"/>
      <c r="AA36" s="582">
        <v>1</v>
      </c>
      <c r="AB36" s="582">
        <v>1</v>
      </c>
      <c r="AC36" s="582">
        <v>1</v>
      </c>
      <c r="AD36" s="582">
        <v>1</v>
      </c>
      <c r="AE36" s="582">
        <v>1</v>
      </c>
      <c r="AF36" s="583"/>
      <c r="AG36" s="583"/>
      <c r="AH36" s="582">
        <v>1</v>
      </c>
      <c r="AI36" s="582">
        <v>1</v>
      </c>
      <c r="AJ36" s="579">
        <f t="shared" si="1"/>
        <v>22</v>
      </c>
      <c r="AK36" s="580">
        <f t="shared" si="3"/>
        <v>1</v>
      </c>
      <c r="AL36" s="584">
        <v>16100</v>
      </c>
      <c r="AM36" s="765">
        <f t="shared" si="4"/>
        <v>16100</v>
      </c>
      <c r="AN36" s="943"/>
    </row>
    <row r="37" spans="1:40" s="754" customFormat="1" ht="15" customHeight="1">
      <c r="A37" s="755" t="s">
        <v>907</v>
      </c>
      <c r="B37" s="762" t="s">
        <v>344</v>
      </c>
      <c r="C37" s="762" t="s">
        <v>941</v>
      </c>
      <c r="D37" s="581"/>
      <c r="E37" s="583"/>
      <c r="F37" s="582"/>
      <c r="G37" s="582"/>
      <c r="H37" s="582"/>
      <c r="I37" s="582"/>
      <c r="J37" s="582"/>
      <c r="K37" s="583"/>
      <c r="L37" s="583"/>
      <c r="M37" s="582"/>
      <c r="N37" s="582"/>
      <c r="O37" s="582"/>
      <c r="P37" s="582"/>
      <c r="Q37" s="582"/>
      <c r="R37" s="583"/>
      <c r="S37" s="583"/>
      <c r="T37" s="582">
        <v>1</v>
      </c>
      <c r="U37" s="582">
        <v>1</v>
      </c>
      <c r="V37" s="582">
        <v>1</v>
      </c>
      <c r="W37" s="582">
        <v>1</v>
      </c>
      <c r="X37" s="582">
        <v>1</v>
      </c>
      <c r="Y37" s="583"/>
      <c r="Z37" s="583"/>
      <c r="AA37" s="582">
        <v>1</v>
      </c>
      <c r="AB37" s="582">
        <v>1</v>
      </c>
      <c r="AC37" s="582">
        <v>1</v>
      </c>
      <c r="AD37" s="582">
        <v>1</v>
      </c>
      <c r="AE37" s="582">
        <v>1</v>
      </c>
      <c r="AF37" s="583"/>
      <c r="AG37" s="583"/>
      <c r="AH37" s="582">
        <v>1</v>
      </c>
      <c r="AI37" s="582">
        <v>1</v>
      </c>
      <c r="AJ37" s="579">
        <f t="shared" si="1"/>
        <v>12</v>
      </c>
      <c r="AK37" s="580">
        <f t="shared" si="3"/>
        <v>0.54545454545454541</v>
      </c>
      <c r="AL37" s="584">
        <v>16100</v>
      </c>
      <c r="AM37" s="765">
        <f t="shared" si="4"/>
        <v>8781.818181818182</v>
      </c>
      <c r="AN37" s="943"/>
    </row>
    <row r="38" spans="1:40" s="754" customFormat="1" ht="15" customHeight="1">
      <c r="A38" s="755" t="s">
        <v>942</v>
      </c>
      <c r="B38" s="762" t="s">
        <v>344</v>
      </c>
      <c r="C38" s="762" t="s">
        <v>943</v>
      </c>
      <c r="D38" s="581"/>
      <c r="E38" s="583"/>
      <c r="F38" s="582"/>
      <c r="G38" s="582"/>
      <c r="H38" s="582"/>
      <c r="I38" s="582"/>
      <c r="J38" s="582"/>
      <c r="K38" s="583"/>
      <c r="L38" s="583"/>
      <c r="M38" s="582"/>
      <c r="N38" s="582"/>
      <c r="O38" s="582"/>
      <c r="P38" s="582"/>
      <c r="Q38" s="582"/>
      <c r="R38" s="583"/>
      <c r="S38" s="583"/>
      <c r="T38" s="582"/>
      <c r="U38" s="582"/>
      <c r="V38" s="582">
        <v>1</v>
      </c>
      <c r="W38" s="582">
        <v>1</v>
      </c>
      <c r="X38" s="582">
        <v>1</v>
      </c>
      <c r="Y38" s="583"/>
      <c r="Z38" s="583"/>
      <c r="AA38" s="582">
        <v>1</v>
      </c>
      <c r="AB38" s="582">
        <v>1</v>
      </c>
      <c r="AC38" s="582">
        <v>1</v>
      </c>
      <c r="AD38" s="582">
        <v>1</v>
      </c>
      <c r="AE38" s="582">
        <v>1</v>
      </c>
      <c r="AF38" s="583"/>
      <c r="AG38" s="583"/>
      <c r="AH38" s="582">
        <v>1</v>
      </c>
      <c r="AI38" s="582">
        <v>1</v>
      </c>
      <c r="AJ38" s="579">
        <f t="shared" si="1"/>
        <v>10</v>
      </c>
      <c r="AK38" s="580">
        <f t="shared" si="3"/>
        <v>0.45454545454545453</v>
      </c>
      <c r="AL38" s="584">
        <v>16100</v>
      </c>
      <c r="AM38" s="765">
        <f t="shared" si="4"/>
        <v>7318.181818181818</v>
      </c>
      <c r="AN38" s="943"/>
    </row>
    <row r="39" spans="1:40" s="754" customFormat="1" ht="15" customHeight="1">
      <c r="A39" s="755" t="s">
        <v>908</v>
      </c>
      <c r="B39" s="762" t="s">
        <v>845</v>
      </c>
      <c r="C39" s="762" t="s">
        <v>759</v>
      </c>
      <c r="D39" s="581"/>
      <c r="E39" s="583"/>
      <c r="F39" s="582">
        <v>1</v>
      </c>
      <c r="G39" s="582">
        <v>1</v>
      </c>
      <c r="H39" s="582">
        <v>1</v>
      </c>
      <c r="I39" s="582">
        <v>1</v>
      </c>
      <c r="J39" s="582">
        <v>1</v>
      </c>
      <c r="K39" s="583"/>
      <c r="L39" s="583"/>
      <c r="M39" s="582">
        <v>1</v>
      </c>
      <c r="N39" s="582">
        <v>1</v>
      </c>
      <c r="O39" s="582">
        <v>1</v>
      </c>
      <c r="P39" s="582">
        <v>1</v>
      </c>
      <c r="Q39" s="582">
        <v>1</v>
      </c>
      <c r="R39" s="583"/>
      <c r="S39" s="583"/>
      <c r="T39" s="582">
        <v>1</v>
      </c>
      <c r="U39" s="582">
        <v>1</v>
      </c>
      <c r="V39" s="582">
        <v>1</v>
      </c>
      <c r="W39" s="582">
        <v>1</v>
      </c>
      <c r="X39" s="582">
        <v>1</v>
      </c>
      <c r="Y39" s="583"/>
      <c r="Z39" s="583"/>
      <c r="AA39" s="582">
        <v>1</v>
      </c>
      <c r="AB39" s="582">
        <v>1</v>
      </c>
      <c r="AC39" s="582">
        <v>1</v>
      </c>
      <c r="AD39" s="582">
        <v>1</v>
      </c>
      <c r="AE39" s="582">
        <v>1</v>
      </c>
      <c r="AF39" s="583"/>
      <c r="AG39" s="583"/>
      <c r="AH39" s="582">
        <v>1</v>
      </c>
      <c r="AI39" s="582">
        <v>1</v>
      </c>
      <c r="AJ39" s="579">
        <f t="shared" si="1"/>
        <v>22</v>
      </c>
      <c r="AK39" s="580">
        <f>+AJ39/AJ$3</f>
        <v>1</v>
      </c>
      <c r="AL39" s="584">
        <v>9697</v>
      </c>
      <c r="AM39" s="765">
        <f>+AL39*AK39</f>
        <v>9697</v>
      </c>
      <c r="AN39" s="943"/>
    </row>
    <row r="40" spans="1:40" s="754" customFormat="1" ht="15" customHeight="1">
      <c r="A40" s="755" t="s">
        <v>944</v>
      </c>
      <c r="B40" s="762" t="s">
        <v>845</v>
      </c>
      <c r="C40" s="762" t="s">
        <v>761</v>
      </c>
      <c r="D40" s="581"/>
      <c r="E40" s="583"/>
      <c r="F40" s="582">
        <v>1</v>
      </c>
      <c r="G40" s="582">
        <v>1</v>
      </c>
      <c r="H40" s="582">
        <v>1</v>
      </c>
      <c r="I40" s="582">
        <v>1</v>
      </c>
      <c r="J40" s="582">
        <v>1</v>
      </c>
      <c r="K40" s="583"/>
      <c r="L40" s="583"/>
      <c r="M40" s="582">
        <v>1</v>
      </c>
      <c r="N40" s="582">
        <v>1</v>
      </c>
      <c r="O40" s="582">
        <v>1</v>
      </c>
      <c r="P40" s="582">
        <v>1</v>
      </c>
      <c r="Q40" s="582">
        <v>1</v>
      </c>
      <c r="R40" s="583"/>
      <c r="S40" s="583"/>
      <c r="T40" s="582">
        <v>1</v>
      </c>
      <c r="U40" s="582">
        <v>1</v>
      </c>
      <c r="V40" s="582">
        <v>1</v>
      </c>
      <c r="W40" s="582">
        <v>1</v>
      </c>
      <c r="X40" s="582">
        <v>1</v>
      </c>
      <c r="Y40" s="583"/>
      <c r="Z40" s="583"/>
      <c r="AA40" s="582">
        <v>1</v>
      </c>
      <c r="AB40" s="582">
        <v>1</v>
      </c>
      <c r="AC40" s="582">
        <v>1</v>
      </c>
      <c r="AD40" s="582">
        <v>1</v>
      </c>
      <c r="AE40" s="582">
        <v>1</v>
      </c>
      <c r="AF40" s="583"/>
      <c r="AG40" s="583"/>
      <c r="AH40" s="582">
        <v>1</v>
      </c>
      <c r="AI40" s="582">
        <v>1</v>
      </c>
      <c r="AJ40" s="579">
        <f t="shared" si="1"/>
        <v>22</v>
      </c>
      <c r="AK40" s="580">
        <f>+AJ40/AJ$3</f>
        <v>1</v>
      </c>
      <c r="AL40" s="584">
        <v>9500</v>
      </c>
      <c r="AM40" s="765">
        <f>+AL40*AK40</f>
        <v>9500</v>
      </c>
      <c r="AN40" s="943"/>
    </row>
    <row r="41" spans="1:40" s="754" customFormat="1" ht="15" customHeight="1">
      <c r="A41" s="755">
        <v>7</v>
      </c>
      <c r="B41" s="762" t="s">
        <v>364</v>
      </c>
      <c r="C41" s="762" t="s">
        <v>762</v>
      </c>
      <c r="D41" s="581">
        <v>15</v>
      </c>
      <c r="E41" s="583"/>
      <c r="F41" s="582">
        <v>1</v>
      </c>
      <c r="G41" s="582">
        <v>1</v>
      </c>
      <c r="H41" s="582">
        <v>1</v>
      </c>
      <c r="I41" s="582">
        <v>1</v>
      </c>
      <c r="J41" s="582">
        <v>1</v>
      </c>
      <c r="K41" s="583"/>
      <c r="L41" s="583"/>
      <c r="M41" s="582">
        <v>1</v>
      </c>
      <c r="N41" s="582">
        <v>1</v>
      </c>
      <c r="O41" s="582">
        <v>1</v>
      </c>
      <c r="P41" s="582">
        <v>1</v>
      </c>
      <c r="Q41" s="582">
        <v>1</v>
      </c>
      <c r="R41" s="583"/>
      <c r="S41" s="583"/>
      <c r="T41" s="582">
        <v>1</v>
      </c>
      <c r="U41" s="582">
        <v>1</v>
      </c>
      <c r="V41" s="582">
        <v>1</v>
      </c>
      <c r="W41" s="582">
        <v>1</v>
      </c>
      <c r="X41" s="582">
        <v>1</v>
      </c>
      <c r="Y41" s="583"/>
      <c r="Z41" s="583"/>
      <c r="AA41" s="582">
        <v>1</v>
      </c>
      <c r="AB41" s="582">
        <v>1</v>
      </c>
      <c r="AC41" s="582">
        <v>1</v>
      </c>
      <c r="AD41" s="582">
        <v>1</v>
      </c>
      <c r="AE41" s="582">
        <v>1</v>
      </c>
      <c r="AF41" s="583"/>
      <c r="AG41" s="583"/>
      <c r="AH41" s="582">
        <v>1</v>
      </c>
      <c r="AI41" s="582">
        <v>1</v>
      </c>
      <c r="AJ41" s="579">
        <f t="shared" si="1"/>
        <v>22</v>
      </c>
      <c r="AK41" s="580">
        <f t="shared" si="3"/>
        <v>1</v>
      </c>
      <c r="AL41" s="584">
        <v>8100</v>
      </c>
      <c r="AM41" s="765">
        <f t="shared" si="2"/>
        <v>8100</v>
      </c>
      <c r="AN41" s="943"/>
    </row>
    <row r="42" spans="1:40" s="754" customFormat="1" ht="15.65" customHeight="1">
      <c r="A42" s="755" t="s">
        <v>365</v>
      </c>
      <c r="B42" s="762" t="s">
        <v>364</v>
      </c>
      <c r="C42" s="762" t="s">
        <v>366</v>
      </c>
      <c r="D42" s="581"/>
      <c r="E42" s="583"/>
      <c r="F42" s="582">
        <v>1</v>
      </c>
      <c r="G42" s="582">
        <v>1</v>
      </c>
      <c r="H42" s="582">
        <v>1</v>
      </c>
      <c r="I42" s="582">
        <v>1</v>
      </c>
      <c r="J42" s="582">
        <v>1</v>
      </c>
      <c r="K42" s="583"/>
      <c r="L42" s="583"/>
      <c r="M42" s="582">
        <v>1</v>
      </c>
      <c r="N42" s="582">
        <v>1</v>
      </c>
      <c r="O42" s="582">
        <v>1</v>
      </c>
      <c r="P42" s="582">
        <v>1</v>
      </c>
      <c r="Q42" s="582">
        <v>1</v>
      </c>
      <c r="R42" s="583"/>
      <c r="S42" s="583"/>
      <c r="T42" s="582">
        <v>1</v>
      </c>
      <c r="U42" s="582">
        <v>1</v>
      </c>
      <c r="V42" s="582">
        <v>1</v>
      </c>
      <c r="W42" s="582">
        <v>1</v>
      </c>
      <c r="X42" s="582">
        <v>1</v>
      </c>
      <c r="Y42" s="583"/>
      <c r="Z42" s="583"/>
      <c r="AA42" s="582">
        <v>1</v>
      </c>
      <c r="AB42" s="582">
        <v>1</v>
      </c>
      <c r="AC42" s="582">
        <v>1</v>
      </c>
      <c r="AD42" s="582">
        <v>1</v>
      </c>
      <c r="AE42" s="582">
        <v>1</v>
      </c>
      <c r="AF42" s="583"/>
      <c r="AG42" s="583"/>
      <c r="AH42" s="582">
        <v>1</v>
      </c>
      <c r="AI42" s="582">
        <v>1</v>
      </c>
      <c r="AJ42" s="579">
        <f t="shared" si="1"/>
        <v>22</v>
      </c>
      <c r="AK42" s="580">
        <f t="shared" si="3"/>
        <v>1</v>
      </c>
      <c r="AL42" s="584">
        <v>8100</v>
      </c>
      <c r="AM42" s="765">
        <f t="shared" si="2"/>
        <v>8100</v>
      </c>
      <c r="AN42" s="943"/>
    </row>
    <row r="43" spans="1:40" s="754" customFormat="1" ht="15" customHeight="1">
      <c r="A43" s="755" t="s">
        <v>367</v>
      </c>
      <c r="B43" s="762" t="s">
        <v>364</v>
      </c>
      <c r="C43" s="762" t="s">
        <v>368</v>
      </c>
      <c r="D43" s="581"/>
      <c r="E43" s="583"/>
      <c r="F43" s="582">
        <v>1</v>
      </c>
      <c r="G43" s="582">
        <v>1</v>
      </c>
      <c r="H43" s="582">
        <v>1</v>
      </c>
      <c r="I43" s="582">
        <v>1</v>
      </c>
      <c r="J43" s="582">
        <v>1</v>
      </c>
      <c r="K43" s="583"/>
      <c r="L43" s="583"/>
      <c r="M43" s="582">
        <v>1</v>
      </c>
      <c r="N43" s="582">
        <v>1</v>
      </c>
      <c r="O43" s="582">
        <v>1</v>
      </c>
      <c r="P43" s="582">
        <v>1</v>
      </c>
      <c r="Q43" s="582">
        <v>1</v>
      </c>
      <c r="R43" s="583"/>
      <c r="S43" s="583"/>
      <c r="T43" s="582">
        <v>1</v>
      </c>
      <c r="U43" s="582">
        <v>1</v>
      </c>
      <c r="V43" s="582">
        <v>1</v>
      </c>
      <c r="W43" s="582">
        <v>1</v>
      </c>
      <c r="X43" s="582">
        <v>1</v>
      </c>
      <c r="Y43" s="583"/>
      <c r="Z43" s="583"/>
      <c r="AA43" s="582">
        <v>1</v>
      </c>
      <c r="AB43" s="582">
        <v>1</v>
      </c>
      <c r="AC43" s="582">
        <v>1</v>
      </c>
      <c r="AD43" s="582">
        <v>1</v>
      </c>
      <c r="AE43" s="582">
        <v>1</v>
      </c>
      <c r="AF43" s="583"/>
      <c r="AG43" s="583"/>
      <c r="AH43" s="582">
        <v>1</v>
      </c>
      <c r="AI43" s="582">
        <v>1</v>
      </c>
      <c r="AJ43" s="579">
        <f t="shared" si="1"/>
        <v>22</v>
      </c>
      <c r="AK43" s="580">
        <f t="shared" si="3"/>
        <v>1</v>
      </c>
      <c r="AL43" s="584">
        <v>8100</v>
      </c>
      <c r="AM43" s="765">
        <f t="shared" si="2"/>
        <v>8100</v>
      </c>
      <c r="AN43" s="943"/>
    </row>
    <row r="44" spans="1:40" s="754" customFormat="1" ht="15" customHeight="1">
      <c r="A44" s="755" t="s">
        <v>369</v>
      </c>
      <c r="B44" s="762" t="s">
        <v>364</v>
      </c>
      <c r="C44" s="762" t="s">
        <v>370</v>
      </c>
      <c r="D44" s="581"/>
      <c r="E44" s="583"/>
      <c r="F44" s="582">
        <v>1</v>
      </c>
      <c r="G44" s="582">
        <v>1</v>
      </c>
      <c r="H44" s="582">
        <v>1</v>
      </c>
      <c r="I44" s="582">
        <v>1</v>
      </c>
      <c r="J44" s="582">
        <v>1</v>
      </c>
      <c r="K44" s="583"/>
      <c r="L44" s="583"/>
      <c r="M44" s="582">
        <v>1</v>
      </c>
      <c r="N44" s="582">
        <v>1</v>
      </c>
      <c r="O44" s="582">
        <v>1</v>
      </c>
      <c r="P44" s="582">
        <v>1</v>
      </c>
      <c r="Q44" s="582">
        <v>1</v>
      </c>
      <c r="R44" s="583"/>
      <c r="S44" s="583"/>
      <c r="T44" s="582">
        <v>1</v>
      </c>
      <c r="U44" s="582">
        <v>1</v>
      </c>
      <c r="V44" s="582">
        <v>1</v>
      </c>
      <c r="W44" s="582">
        <v>1</v>
      </c>
      <c r="X44" s="582">
        <v>1</v>
      </c>
      <c r="Y44" s="583"/>
      <c r="Z44" s="583"/>
      <c r="AA44" s="582">
        <v>1</v>
      </c>
      <c r="AB44" s="582">
        <v>1</v>
      </c>
      <c r="AC44" s="582">
        <v>1</v>
      </c>
      <c r="AD44" s="582">
        <v>1</v>
      </c>
      <c r="AE44" s="582">
        <v>1</v>
      </c>
      <c r="AF44" s="583"/>
      <c r="AG44" s="583"/>
      <c r="AH44" s="582">
        <v>1</v>
      </c>
      <c r="AI44" s="582">
        <v>1</v>
      </c>
      <c r="AJ44" s="579">
        <f t="shared" si="1"/>
        <v>22</v>
      </c>
      <c r="AK44" s="580">
        <f t="shared" si="3"/>
        <v>1</v>
      </c>
      <c r="AL44" s="584">
        <v>8100</v>
      </c>
      <c r="AM44" s="765">
        <f t="shared" si="2"/>
        <v>8100</v>
      </c>
      <c r="AN44" s="943"/>
    </row>
    <row r="45" spans="1:40" s="754" customFormat="1" ht="15" customHeight="1">
      <c r="A45" s="755" t="s">
        <v>371</v>
      </c>
      <c r="B45" s="762" t="s">
        <v>364</v>
      </c>
      <c r="C45" s="762" t="s">
        <v>372</v>
      </c>
      <c r="D45" s="581"/>
      <c r="E45" s="583"/>
      <c r="F45" s="582">
        <v>1</v>
      </c>
      <c r="G45" s="582">
        <v>1</v>
      </c>
      <c r="H45" s="582">
        <v>1</v>
      </c>
      <c r="I45" s="582">
        <v>1</v>
      </c>
      <c r="J45" s="582">
        <v>1</v>
      </c>
      <c r="K45" s="583"/>
      <c r="L45" s="583"/>
      <c r="M45" s="582">
        <v>1</v>
      </c>
      <c r="N45" s="582">
        <v>1</v>
      </c>
      <c r="O45" s="582">
        <v>1</v>
      </c>
      <c r="P45" s="582">
        <v>1</v>
      </c>
      <c r="Q45" s="582">
        <v>1</v>
      </c>
      <c r="R45" s="583"/>
      <c r="S45" s="583"/>
      <c r="T45" s="582">
        <v>1</v>
      </c>
      <c r="U45" s="582">
        <v>1</v>
      </c>
      <c r="V45" s="582">
        <v>1</v>
      </c>
      <c r="W45" s="582">
        <v>1</v>
      </c>
      <c r="X45" s="582">
        <v>1</v>
      </c>
      <c r="Y45" s="583"/>
      <c r="Z45" s="583"/>
      <c r="AA45" s="582">
        <v>1</v>
      </c>
      <c r="AB45" s="582">
        <v>1</v>
      </c>
      <c r="AC45" s="582">
        <v>1</v>
      </c>
      <c r="AD45" s="582">
        <v>1</v>
      </c>
      <c r="AE45" s="582">
        <v>1</v>
      </c>
      <c r="AF45" s="583"/>
      <c r="AG45" s="583"/>
      <c r="AH45" s="582">
        <v>1</v>
      </c>
      <c r="AI45" s="582">
        <v>1</v>
      </c>
      <c r="AJ45" s="579">
        <f t="shared" si="1"/>
        <v>22</v>
      </c>
      <c r="AK45" s="580">
        <f t="shared" si="3"/>
        <v>1</v>
      </c>
      <c r="AL45" s="584">
        <v>8100</v>
      </c>
      <c r="AM45" s="765">
        <f t="shared" si="2"/>
        <v>8100</v>
      </c>
      <c r="AN45" s="943"/>
    </row>
    <row r="46" spans="1:40" s="754" customFormat="1" ht="15" customHeight="1">
      <c r="A46" s="755" t="s">
        <v>373</v>
      </c>
      <c r="B46" s="762" t="s">
        <v>364</v>
      </c>
      <c r="C46" s="762" t="s">
        <v>374</v>
      </c>
      <c r="D46" s="581"/>
      <c r="E46" s="583"/>
      <c r="F46" s="582">
        <v>1</v>
      </c>
      <c r="G46" s="582">
        <v>1</v>
      </c>
      <c r="H46" s="582">
        <v>1</v>
      </c>
      <c r="I46" s="582">
        <v>1</v>
      </c>
      <c r="J46" s="582">
        <v>1</v>
      </c>
      <c r="K46" s="583"/>
      <c r="L46" s="583"/>
      <c r="M46" s="582">
        <v>1</v>
      </c>
      <c r="N46" s="582">
        <v>1</v>
      </c>
      <c r="O46" s="582">
        <v>1</v>
      </c>
      <c r="P46" s="582">
        <v>1</v>
      </c>
      <c r="Q46" s="582">
        <v>1</v>
      </c>
      <c r="R46" s="583"/>
      <c r="S46" s="583"/>
      <c r="T46" s="582">
        <v>1</v>
      </c>
      <c r="U46" s="582">
        <v>1</v>
      </c>
      <c r="V46" s="582">
        <v>1</v>
      </c>
      <c r="W46" s="582">
        <v>1</v>
      </c>
      <c r="X46" s="582">
        <v>1</v>
      </c>
      <c r="Y46" s="583"/>
      <c r="Z46" s="583"/>
      <c r="AA46" s="582">
        <v>1</v>
      </c>
      <c r="AB46" s="582">
        <v>1</v>
      </c>
      <c r="AC46" s="582">
        <v>1</v>
      </c>
      <c r="AD46" s="582">
        <v>1</v>
      </c>
      <c r="AE46" s="582">
        <v>1</v>
      </c>
      <c r="AF46" s="583"/>
      <c r="AG46" s="583"/>
      <c r="AH46" s="582">
        <v>1</v>
      </c>
      <c r="AI46" s="582">
        <v>1</v>
      </c>
      <c r="AJ46" s="579">
        <f t="shared" si="1"/>
        <v>22</v>
      </c>
      <c r="AK46" s="580">
        <f t="shared" si="3"/>
        <v>1</v>
      </c>
      <c r="AL46" s="584">
        <v>8100</v>
      </c>
      <c r="AM46" s="765">
        <f t="shared" si="2"/>
        <v>8100</v>
      </c>
      <c r="AN46" s="943"/>
    </row>
    <row r="47" spans="1:40" s="754" customFormat="1" ht="15" customHeight="1">
      <c r="A47" s="755" t="s">
        <v>375</v>
      </c>
      <c r="B47" s="762" t="s">
        <v>364</v>
      </c>
      <c r="C47" s="762" t="s">
        <v>376</v>
      </c>
      <c r="D47" s="581"/>
      <c r="E47" s="583"/>
      <c r="F47" s="582">
        <v>1</v>
      </c>
      <c r="G47" s="582">
        <v>1</v>
      </c>
      <c r="H47" s="582">
        <v>1</v>
      </c>
      <c r="I47" s="582">
        <v>1</v>
      </c>
      <c r="J47" s="582">
        <v>1</v>
      </c>
      <c r="K47" s="583"/>
      <c r="L47" s="583"/>
      <c r="M47" s="582">
        <v>1</v>
      </c>
      <c r="N47" s="582">
        <v>1</v>
      </c>
      <c r="O47" s="582">
        <v>1</v>
      </c>
      <c r="P47" s="582">
        <v>1</v>
      </c>
      <c r="Q47" s="582">
        <v>1</v>
      </c>
      <c r="R47" s="583"/>
      <c r="S47" s="583"/>
      <c r="T47" s="582">
        <v>1</v>
      </c>
      <c r="U47" s="582">
        <v>1</v>
      </c>
      <c r="V47" s="582">
        <v>1</v>
      </c>
      <c r="W47" s="582">
        <v>1</v>
      </c>
      <c r="X47" s="582">
        <v>1</v>
      </c>
      <c r="Y47" s="583"/>
      <c r="Z47" s="583"/>
      <c r="AA47" s="582">
        <v>1</v>
      </c>
      <c r="AB47" s="582">
        <v>1</v>
      </c>
      <c r="AC47" s="582">
        <v>1</v>
      </c>
      <c r="AD47" s="582">
        <v>1</v>
      </c>
      <c r="AE47" s="582">
        <v>1</v>
      </c>
      <c r="AF47" s="583"/>
      <c r="AG47" s="583"/>
      <c r="AH47" s="582">
        <v>1</v>
      </c>
      <c r="AI47" s="582">
        <v>1</v>
      </c>
      <c r="AJ47" s="579">
        <f t="shared" si="1"/>
        <v>22</v>
      </c>
      <c r="AK47" s="580">
        <f t="shared" si="3"/>
        <v>1</v>
      </c>
      <c r="AL47" s="584">
        <v>8100</v>
      </c>
      <c r="AM47" s="765">
        <f t="shared" si="2"/>
        <v>8100</v>
      </c>
      <c r="AN47" s="943"/>
    </row>
    <row r="48" spans="1:40" s="754" customFormat="1" ht="15" customHeight="1">
      <c r="A48" s="755" t="s">
        <v>377</v>
      </c>
      <c r="B48" s="762" t="s">
        <v>364</v>
      </c>
      <c r="C48" s="762" t="s">
        <v>378</v>
      </c>
      <c r="D48" s="581"/>
      <c r="E48" s="583"/>
      <c r="F48" s="582">
        <v>1</v>
      </c>
      <c r="G48" s="582">
        <v>1</v>
      </c>
      <c r="H48" s="582">
        <v>1</v>
      </c>
      <c r="I48" s="582">
        <v>1</v>
      </c>
      <c r="J48" s="582">
        <v>1</v>
      </c>
      <c r="K48" s="583"/>
      <c r="L48" s="583"/>
      <c r="M48" s="582">
        <v>1</v>
      </c>
      <c r="N48" s="582">
        <v>1</v>
      </c>
      <c r="O48" s="582">
        <v>1</v>
      </c>
      <c r="P48" s="582">
        <v>1</v>
      </c>
      <c r="Q48" s="582">
        <v>1</v>
      </c>
      <c r="R48" s="583"/>
      <c r="S48" s="583"/>
      <c r="T48" s="582">
        <v>1</v>
      </c>
      <c r="U48" s="582">
        <v>1</v>
      </c>
      <c r="V48" s="582">
        <v>1</v>
      </c>
      <c r="W48" s="582">
        <v>1</v>
      </c>
      <c r="X48" s="582">
        <v>1</v>
      </c>
      <c r="Y48" s="583"/>
      <c r="Z48" s="583"/>
      <c r="AA48" s="582">
        <v>1</v>
      </c>
      <c r="AB48" s="582">
        <v>1</v>
      </c>
      <c r="AC48" s="582">
        <v>1</v>
      </c>
      <c r="AD48" s="582">
        <v>1</v>
      </c>
      <c r="AE48" s="582">
        <v>1</v>
      </c>
      <c r="AF48" s="583"/>
      <c r="AG48" s="583"/>
      <c r="AH48" s="582">
        <v>1</v>
      </c>
      <c r="AI48" s="582">
        <v>1</v>
      </c>
      <c r="AJ48" s="579">
        <f t="shared" si="1"/>
        <v>22</v>
      </c>
      <c r="AK48" s="580">
        <f t="shared" si="3"/>
        <v>1</v>
      </c>
      <c r="AL48" s="584">
        <v>8100</v>
      </c>
      <c r="AM48" s="765">
        <f t="shared" si="2"/>
        <v>8100</v>
      </c>
      <c r="AN48" s="943"/>
    </row>
    <row r="49" spans="1:40" s="754" customFormat="1" ht="15" customHeight="1">
      <c r="A49" s="755" t="s">
        <v>379</v>
      </c>
      <c r="B49" s="762" t="s">
        <v>364</v>
      </c>
      <c r="C49" s="762" t="s">
        <v>380</v>
      </c>
      <c r="D49" s="581"/>
      <c r="E49" s="583"/>
      <c r="F49" s="582">
        <v>1</v>
      </c>
      <c r="G49" s="582">
        <v>1</v>
      </c>
      <c r="H49" s="582">
        <v>1</v>
      </c>
      <c r="I49" s="582">
        <v>1</v>
      </c>
      <c r="J49" s="582">
        <v>1</v>
      </c>
      <c r="K49" s="583"/>
      <c r="L49" s="583"/>
      <c r="M49" s="582">
        <v>1</v>
      </c>
      <c r="N49" s="582">
        <v>1</v>
      </c>
      <c r="O49" s="582">
        <v>1</v>
      </c>
      <c r="P49" s="582">
        <v>1</v>
      </c>
      <c r="Q49" s="582">
        <v>1</v>
      </c>
      <c r="R49" s="583"/>
      <c r="S49" s="583"/>
      <c r="T49" s="582">
        <v>1</v>
      </c>
      <c r="U49" s="582">
        <v>1</v>
      </c>
      <c r="V49" s="582">
        <v>1</v>
      </c>
      <c r="W49" s="582">
        <v>1</v>
      </c>
      <c r="X49" s="582">
        <v>1</v>
      </c>
      <c r="Y49" s="583"/>
      <c r="Z49" s="583"/>
      <c r="AA49" s="582">
        <v>1</v>
      </c>
      <c r="AB49" s="582">
        <v>1</v>
      </c>
      <c r="AC49" s="582">
        <v>1</v>
      </c>
      <c r="AD49" s="582">
        <v>1</v>
      </c>
      <c r="AE49" s="582">
        <v>1</v>
      </c>
      <c r="AF49" s="583"/>
      <c r="AG49" s="583"/>
      <c r="AH49" s="582">
        <v>1</v>
      </c>
      <c r="AI49" s="582">
        <v>1</v>
      </c>
      <c r="AJ49" s="579">
        <f t="shared" si="1"/>
        <v>22</v>
      </c>
      <c r="AK49" s="580">
        <f t="shared" si="3"/>
        <v>1</v>
      </c>
      <c r="AL49" s="584">
        <v>8100</v>
      </c>
      <c r="AM49" s="765">
        <f t="shared" si="2"/>
        <v>8100</v>
      </c>
      <c r="AN49" s="943"/>
    </row>
    <row r="50" spans="1:40" s="754" customFormat="1" ht="15" customHeight="1">
      <c r="A50" s="755" t="s">
        <v>381</v>
      </c>
      <c r="B50" s="762" t="s">
        <v>364</v>
      </c>
      <c r="C50" s="762" t="s">
        <v>382</v>
      </c>
      <c r="D50" s="581"/>
      <c r="E50" s="583"/>
      <c r="F50" s="582">
        <v>1</v>
      </c>
      <c r="G50" s="582">
        <v>1</v>
      </c>
      <c r="H50" s="582">
        <v>1</v>
      </c>
      <c r="I50" s="582">
        <v>1</v>
      </c>
      <c r="J50" s="582">
        <v>1</v>
      </c>
      <c r="K50" s="583"/>
      <c r="L50" s="583"/>
      <c r="M50" s="582">
        <v>1</v>
      </c>
      <c r="N50" s="582">
        <v>1</v>
      </c>
      <c r="O50" s="582">
        <v>1</v>
      </c>
      <c r="P50" s="582">
        <v>1</v>
      </c>
      <c r="Q50" s="582">
        <v>1</v>
      </c>
      <c r="R50" s="583"/>
      <c r="S50" s="583"/>
      <c r="T50" s="582">
        <v>1</v>
      </c>
      <c r="U50" s="582">
        <v>1</v>
      </c>
      <c r="V50" s="582">
        <v>1</v>
      </c>
      <c r="W50" s="582">
        <v>1</v>
      </c>
      <c r="X50" s="582">
        <v>1</v>
      </c>
      <c r="Y50" s="583"/>
      <c r="Z50" s="583"/>
      <c r="AA50" s="582">
        <v>1</v>
      </c>
      <c r="AB50" s="582">
        <v>1</v>
      </c>
      <c r="AC50" s="582">
        <v>1</v>
      </c>
      <c r="AD50" s="582">
        <v>1</v>
      </c>
      <c r="AE50" s="582">
        <v>1</v>
      </c>
      <c r="AF50" s="583"/>
      <c r="AG50" s="583"/>
      <c r="AH50" s="582">
        <v>1</v>
      </c>
      <c r="AI50" s="582">
        <v>1</v>
      </c>
      <c r="AJ50" s="579">
        <f t="shared" si="1"/>
        <v>22</v>
      </c>
      <c r="AK50" s="580">
        <f t="shared" si="3"/>
        <v>1</v>
      </c>
      <c r="AL50" s="584">
        <v>8100</v>
      </c>
      <c r="AM50" s="765">
        <f>+AL50*AK50</f>
        <v>8100</v>
      </c>
      <c r="AN50" s="943"/>
    </row>
    <row r="51" spans="1:40" s="754" customFormat="1" ht="15" customHeight="1">
      <c r="A51" s="755" t="s">
        <v>383</v>
      </c>
      <c r="B51" s="762" t="s">
        <v>364</v>
      </c>
      <c r="C51" s="762" t="s">
        <v>384</v>
      </c>
      <c r="D51" s="581"/>
      <c r="E51" s="583"/>
      <c r="F51" s="582"/>
      <c r="G51" s="582"/>
      <c r="H51" s="582"/>
      <c r="I51" s="582"/>
      <c r="J51" s="582"/>
      <c r="K51" s="583"/>
      <c r="L51" s="583"/>
      <c r="M51" s="582"/>
      <c r="N51" s="582"/>
      <c r="O51" s="582"/>
      <c r="P51" s="582"/>
      <c r="Q51" s="582"/>
      <c r="R51" s="583"/>
      <c r="S51" s="583"/>
      <c r="T51" s="582"/>
      <c r="U51" s="582"/>
      <c r="V51" s="582"/>
      <c r="W51" s="582"/>
      <c r="X51" s="582"/>
      <c r="Y51" s="583"/>
      <c r="Z51" s="583"/>
      <c r="AA51" s="582"/>
      <c r="AB51" s="582"/>
      <c r="AC51" s="582"/>
      <c r="AD51" s="582"/>
      <c r="AE51" s="582"/>
      <c r="AF51" s="583"/>
      <c r="AG51" s="583"/>
      <c r="AH51" s="582"/>
      <c r="AI51" s="582"/>
      <c r="AJ51" s="579">
        <f t="shared" si="1"/>
        <v>0</v>
      </c>
      <c r="AK51" s="580">
        <f t="shared" si="3"/>
        <v>0</v>
      </c>
      <c r="AL51" s="584">
        <v>8100</v>
      </c>
      <c r="AM51" s="765">
        <f>+AL51*AK51</f>
        <v>0</v>
      </c>
      <c r="AN51" s="943"/>
    </row>
    <row r="52" spans="1:40" s="754" customFormat="1" ht="15" customHeight="1">
      <c r="A52" s="755" t="s">
        <v>385</v>
      </c>
      <c r="B52" s="762" t="s">
        <v>364</v>
      </c>
      <c r="C52" s="762" t="s">
        <v>386</v>
      </c>
      <c r="D52" s="581"/>
      <c r="E52" s="583"/>
      <c r="F52" s="582">
        <v>1</v>
      </c>
      <c r="G52" s="582">
        <v>1</v>
      </c>
      <c r="H52" s="582">
        <v>1</v>
      </c>
      <c r="I52" s="582">
        <v>1</v>
      </c>
      <c r="J52" s="582">
        <v>1</v>
      </c>
      <c r="K52" s="583"/>
      <c r="L52" s="583"/>
      <c r="M52" s="582">
        <v>1</v>
      </c>
      <c r="N52" s="582">
        <v>1</v>
      </c>
      <c r="O52" s="582">
        <v>1</v>
      </c>
      <c r="P52" s="582">
        <v>1</v>
      </c>
      <c r="Q52" s="582">
        <v>1</v>
      </c>
      <c r="R52" s="583"/>
      <c r="S52" s="583"/>
      <c r="T52" s="582">
        <v>1</v>
      </c>
      <c r="U52" s="582">
        <v>1</v>
      </c>
      <c r="V52" s="582">
        <v>1</v>
      </c>
      <c r="W52" s="582">
        <v>1</v>
      </c>
      <c r="X52" s="582">
        <v>1</v>
      </c>
      <c r="Y52" s="583"/>
      <c r="Z52" s="583"/>
      <c r="AA52" s="582">
        <v>1</v>
      </c>
      <c r="AB52" s="582">
        <v>1</v>
      </c>
      <c r="AC52" s="582">
        <v>1</v>
      </c>
      <c r="AD52" s="582">
        <v>1</v>
      </c>
      <c r="AE52" s="582">
        <v>1</v>
      </c>
      <c r="AF52" s="583"/>
      <c r="AG52" s="583"/>
      <c r="AH52" s="582">
        <v>1</v>
      </c>
      <c r="AI52" s="582">
        <v>1</v>
      </c>
      <c r="AJ52" s="579">
        <f t="shared" si="1"/>
        <v>22</v>
      </c>
      <c r="AK52" s="580">
        <f t="shared" si="3"/>
        <v>1</v>
      </c>
      <c r="AL52" s="584">
        <v>8100</v>
      </c>
      <c r="AM52" s="765">
        <f>+AL52*AK52</f>
        <v>8100</v>
      </c>
      <c r="AN52" s="943"/>
    </row>
    <row r="53" spans="1:40" s="754" customFormat="1" ht="15" customHeight="1">
      <c r="A53" s="755" t="s">
        <v>387</v>
      </c>
      <c r="B53" s="762" t="s">
        <v>364</v>
      </c>
      <c r="C53" s="762" t="s">
        <v>388</v>
      </c>
      <c r="D53" s="581"/>
      <c r="E53" s="583"/>
      <c r="F53" s="582">
        <v>1</v>
      </c>
      <c r="G53" s="582">
        <v>1</v>
      </c>
      <c r="H53" s="582">
        <v>1</v>
      </c>
      <c r="I53" s="582">
        <v>1</v>
      </c>
      <c r="J53" s="582">
        <v>1</v>
      </c>
      <c r="K53" s="583"/>
      <c r="L53" s="583"/>
      <c r="M53" s="582">
        <v>1</v>
      </c>
      <c r="N53" s="582">
        <v>1</v>
      </c>
      <c r="O53" s="582">
        <v>1</v>
      </c>
      <c r="P53" s="582">
        <v>1</v>
      </c>
      <c r="Q53" s="582">
        <v>1</v>
      </c>
      <c r="R53" s="583"/>
      <c r="S53" s="583"/>
      <c r="T53" s="582">
        <v>1</v>
      </c>
      <c r="U53" s="582">
        <v>1</v>
      </c>
      <c r="V53" s="582">
        <v>1</v>
      </c>
      <c r="W53" s="582">
        <v>1</v>
      </c>
      <c r="X53" s="582">
        <v>1</v>
      </c>
      <c r="Y53" s="583"/>
      <c r="Z53" s="583"/>
      <c r="AA53" s="582">
        <v>1</v>
      </c>
      <c r="AB53" s="582">
        <v>1</v>
      </c>
      <c r="AC53" s="582">
        <v>1</v>
      </c>
      <c r="AD53" s="582">
        <v>1</v>
      </c>
      <c r="AE53" s="582">
        <v>1</v>
      </c>
      <c r="AF53" s="583"/>
      <c r="AG53" s="583"/>
      <c r="AH53" s="582">
        <v>1</v>
      </c>
      <c r="AI53" s="582">
        <v>1</v>
      </c>
      <c r="AJ53" s="579">
        <f t="shared" si="1"/>
        <v>22</v>
      </c>
      <c r="AK53" s="580">
        <f t="shared" si="3"/>
        <v>1</v>
      </c>
      <c r="AL53" s="584">
        <v>8100</v>
      </c>
      <c r="AM53" s="765">
        <f>+AL53*AK53</f>
        <v>8100</v>
      </c>
      <c r="AN53" s="943"/>
    </row>
    <row r="54" spans="1:40" s="754" customFormat="1" ht="15" customHeight="1">
      <c r="A54" s="755" t="s">
        <v>389</v>
      </c>
      <c r="B54" s="762" t="s">
        <v>364</v>
      </c>
      <c r="C54" s="762" t="s">
        <v>390</v>
      </c>
      <c r="D54" s="581"/>
      <c r="E54" s="583"/>
      <c r="F54" s="582">
        <v>1</v>
      </c>
      <c r="G54" s="582">
        <v>1</v>
      </c>
      <c r="H54" s="582">
        <v>1</v>
      </c>
      <c r="I54" s="582">
        <v>1</v>
      </c>
      <c r="J54" s="582">
        <v>1</v>
      </c>
      <c r="K54" s="583"/>
      <c r="L54" s="583"/>
      <c r="M54" s="582">
        <v>1</v>
      </c>
      <c r="N54" s="582">
        <v>1</v>
      </c>
      <c r="O54" s="582">
        <v>1</v>
      </c>
      <c r="P54" s="582">
        <v>1</v>
      </c>
      <c r="Q54" s="582">
        <v>1</v>
      </c>
      <c r="R54" s="583"/>
      <c r="S54" s="583"/>
      <c r="T54" s="582">
        <v>1</v>
      </c>
      <c r="U54" s="582">
        <v>1</v>
      </c>
      <c r="V54" s="582">
        <v>1</v>
      </c>
      <c r="W54" s="582">
        <v>1</v>
      </c>
      <c r="X54" s="582">
        <v>1</v>
      </c>
      <c r="Y54" s="583"/>
      <c r="Z54" s="583"/>
      <c r="AA54" s="582">
        <v>1</v>
      </c>
      <c r="AB54" s="582">
        <v>1</v>
      </c>
      <c r="AC54" s="582">
        <v>1</v>
      </c>
      <c r="AD54" s="582">
        <v>1</v>
      </c>
      <c r="AE54" s="582">
        <v>1</v>
      </c>
      <c r="AF54" s="583"/>
      <c r="AG54" s="583"/>
      <c r="AH54" s="582">
        <v>1</v>
      </c>
      <c r="AI54" s="582">
        <v>1</v>
      </c>
      <c r="AJ54" s="579">
        <f>SUM(E54:AI54)</f>
        <v>22</v>
      </c>
      <c r="AK54" s="580">
        <f t="shared" si="3"/>
        <v>1</v>
      </c>
      <c r="AL54" s="584">
        <v>8100</v>
      </c>
      <c r="AM54" s="765">
        <f>+AL54*AK54</f>
        <v>8100</v>
      </c>
      <c r="AN54" s="943"/>
    </row>
    <row r="55" spans="1:40" s="754" customFormat="1" ht="15" customHeight="1">
      <c r="A55" s="755" t="s">
        <v>391</v>
      </c>
      <c r="B55" s="762" t="s">
        <v>364</v>
      </c>
      <c r="C55" s="762" t="s">
        <v>392</v>
      </c>
      <c r="D55" s="581"/>
      <c r="E55" s="583"/>
      <c r="F55" s="582">
        <v>1</v>
      </c>
      <c r="G55" s="582">
        <v>1</v>
      </c>
      <c r="H55" s="582">
        <v>1</v>
      </c>
      <c r="I55" s="582">
        <v>1</v>
      </c>
      <c r="J55" s="582">
        <v>1</v>
      </c>
      <c r="K55" s="583"/>
      <c r="L55" s="583"/>
      <c r="M55" s="582">
        <v>1</v>
      </c>
      <c r="N55" s="582">
        <v>1</v>
      </c>
      <c r="O55" s="582">
        <v>1</v>
      </c>
      <c r="P55" s="582">
        <v>1</v>
      </c>
      <c r="Q55" s="582">
        <v>1</v>
      </c>
      <c r="R55" s="583"/>
      <c r="S55" s="583"/>
      <c r="T55" s="582">
        <v>1</v>
      </c>
      <c r="U55" s="582">
        <v>1</v>
      </c>
      <c r="V55" s="582">
        <v>1</v>
      </c>
      <c r="W55" s="582">
        <v>1</v>
      </c>
      <c r="X55" s="582">
        <v>1</v>
      </c>
      <c r="Y55" s="583"/>
      <c r="Z55" s="583"/>
      <c r="AA55" s="582">
        <v>1</v>
      </c>
      <c r="AB55" s="582">
        <v>1</v>
      </c>
      <c r="AC55" s="582">
        <v>1</v>
      </c>
      <c r="AD55" s="582">
        <v>1</v>
      </c>
      <c r="AE55" s="582">
        <v>1</v>
      </c>
      <c r="AF55" s="583"/>
      <c r="AG55" s="583"/>
      <c r="AH55" s="582">
        <v>1</v>
      </c>
      <c r="AI55" s="582">
        <v>1</v>
      </c>
      <c r="AJ55" s="579">
        <f t="shared" ref="AJ55:AJ66" si="5">SUM(E55:AI55)</f>
        <v>22</v>
      </c>
      <c r="AK55" s="580">
        <f t="shared" si="3"/>
        <v>1</v>
      </c>
      <c r="AL55" s="584">
        <v>8100</v>
      </c>
      <c r="AM55" s="765">
        <f t="shared" ref="AM55:AM56" si="6">+AL55*AK55</f>
        <v>8100</v>
      </c>
      <c r="AN55" s="943"/>
    </row>
    <row r="56" spans="1:40" s="754" customFormat="1" ht="15" customHeight="1">
      <c r="A56" s="755" t="s">
        <v>393</v>
      </c>
      <c r="B56" s="762" t="s">
        <v>364</v>
      </c>
      <c r="C56" s="762" t="s">
        <v>394</v>
      </c>
      <c r="D56" s="581"/>
      <c r="E56" s="583"/>
      <c r="F56" s="582">
        <v>1</v>
      </c>
      <c r="G56" s="582">
        <v>1</v>
      </c>
      <c r="H56" s="582">
        <v>1</v>
      </c>
      <c r="I56" s="582">
        <v>1</v>
      </c>
      <c r="J56" s="582">
        <v>1</v>
      </c>
      <c r="K56" s="583"/>
      <c r="L56" s="583"/>
      <c r="M56" s="582">
        <v>1</v>
      </c>
      <c r="N56" s="582">
        <v>1</v>
      </c>
      <c r="O56" s="582">
        <v>1</v>
      </c>
      <c r="P56" s="582">
        <v>1</v>
      </c>
      <c r="Q56" s="582">
        <v>1</v>
      </c>
      <c r="R56" s="583"/>
      <c r="S56" s="583"/>
      <c r="T56" s="582">
        <v>1</v>
      </c>
      <c r="U56" s="582">
        <v>1</v>
      </c>
      <c r="V56" s="582">
        <v>1</v>
      </c>
      <c r="W56" s="582">
        <v>1</v>
      </c>
      <c r="X56" s="582">
        <v>1</v>
      </c>
      <c r="Y56" s="583"/>
      <c r="Z56" s="583"/>
      <c r="AA56" s="582">
        <v>1</v>
      </c>
      <c r="AB56" s="582">
        <v>1</v>
      </c>
      <c r="AC56" s="582">
        <v>1</v>
      </c>
      <c r="AD56" s="582">
        <v>1</v>
      </c>
      <c r="AE56" s="582">
        <v>1</v>
      </c>
      <c r="AF56" s="583"/>
      <c r="AG56" s="583"/>
      <c r="AH56" s="582">
        <v>1</v>
      </c>
      <c r="AI56" s="582">
        <v>1</v>
      </c>
      <c r="AJ56" s="579">
        <f t="shared" si="5"/>
        <v>22</v>
      </c>
      <c r="AK56" s="580">
        <f t="shared" si="3"/>
        <v>1</v>
      </c>
      <c r="AL56" s="584">
        <v>8100</v>
      </c>
      <c r="AM56" s="765">
        <f t="shared" si="6"/>
        <v>8100</v>
      </c>
      <c r="AN56" s="943"/>
    </row>
    <row r="57" spans="1:40" s="754" customFormat="1" ht="15" customHeight="1">
      <c r="A57" s="755" t="s">
        <v>395</v>
      </c>
      <c r="B57" s="762" t="s">
        <v>364</v>
      </c>
      <c r="C57" s="762" t="s">
        <v>945</v>
      </c>
      <c r="D57" s="581"/>
      <c r="E57" s="583"/>
      <c r="F57" s="582"/>
      <c r="G57" s="582"/>
      <c r="H57" s="582"/>
      <c r="I57" s="582"/>
      <c r="J57" s="582"/>
      <c r="K57" s="583"/>
      <c r="L57" s="583"/>
      <c r="M57" s="582"/>
      <c r="N57" s="582"/>
      <c r="O57" s="582"/>
      <c r="P57" s="582">
        <v>1</v>
      </c>
      <c r="Q57" s="582">
        <v>1</v>
      </c>
      <c r="R57" s="583"/>
      <c r="S57" s="583"/>
      <c r="T57" s="582">
        <v>1</v>
      </c>
      <c r="U57" s="582">
        <v>1</v>
      </c>
      <c r="V57" s="582">
        <v>1</v>
      </c>
      <c r="W57" s="582">
        <v>1</v>
      </c>
      <c r="X57" s="582">
        <v>1</v>
      </c>
      <c r="Y57" s="583"/>
      <c r="Z57" s="583"/>
      <c r="AA57" s="582">
        <v>1</v>
      </c>
      <c r="AB57" s="582">
        <v>1</v>
      </c>
      <c r="AC57" s="582">
        <v>1</v>
      </c>
      <c r="AD57" s="582">
        <v>1</v>
      </c>
      <c r="AE57" s="582">
        <v>1</v>
      </c>
      <c r="AF57" s="583"/>
      <c r="AG57" s="583"/>
      <c r="AH57" s="582">
        <v>1</v>
      </c>
      <c r="AI57" s="582">
        <v>1</v>
      </c>
      <c r="AJ57" s="579">
        <f t="shared" si="5"/>
        <v>14</v>
      </c>
      <c r="AK57" s="580">
        <f>+AJ57/AJ$3</f>
        <v>0.63636363636363635</v>
      </c>
      <c r="AL57" s="584">
        <v>8100</v>
      </c>
      <c r="AM57" s="765">
        <f>+AL57*AK57</f>
        <v>5154.545454545454</v>
      </c>
      <c r="AN57" s="943"/>
    </row>
    <row r="58" spans="1:40" s="754" customFormat="1" ht="15" customHeight="1">
      <c r="A58" s="755" t="s">
        <v>397</v>
      </c>
      <c r="B58" s="762" t="s">
        <v>846</v>
      </c>
      <c r="C58" s="762" t="s">
        <v>396</v>
      </c>
      <c r="D58" s="581"/>
      <c r="E58" s="583"/>
      <c r="F58" s="582"/>
      <c r="G58" s="582"/>
      <c r="H58" s="582"/>
      <c r="I58" s="582"/>
      <c r="J58" s="582"/>
      <c r="K58" s="583"/>
      <c r="L58" s="583"/>
      <c r="M58" s="582"/>
      <c r="N58" s="582"/>
      <c r="O58" s="582"/>
      <c r="P58" s="582"/>
      <c r="Q58" s="582"/>
      <c r="R58" s="583"/>
      <c r="S58" s="583"/>
      <c r="T58" s="582"/>
      <c r="U58" s="582"/>
      <c r="V58" s="582"/>
      <c r="W58" s="582"/>
      <c r="X58" s="582"/>
      <c r="Y58" s="583"/>
      <c r="Z58" s="583"/>
      <c r="AA58" s="582"/>
      <c r="AB58" s="582"/>
      <c r="AC58" s="582"/>
      <c r="AD58" s="582"/>
      <c r="AE58" s="582"/>
      <c r="AF58" s="583"/>
      <c r="AG58" s="583"/>
      <c r="AH58" s="582"/>
      <c r="AI58" s="582"/>
      <c r="AJ58" s="579">
        <f>SUM(E58:AI58)</f>
        <v>0</v>
      </c>
      <c r="AK58" s="580">
        <f t="shared" si="3"/>
        <v>0</v>
      </c>
      <c r="AL58" s="584">
        <f>17*10*26</f>
        <v>4420</v>
      </c>
      <c r="AM58" s="765">
        <f>+AL58*AK58</f>
        <v>0</v>
      </c>
      <c r="AN58" s="943"/>
    </row>
    <row r="59" spans="1:40" s="754" customFormat="1" ht="15" customHeight="1">
      <c r="A59" s="755" t="s">
        <v>847</v>
      </c>
      <c r="B59" s="762" t="s">
        <v>846</v>
      </c>
      <c r="C59" s="762" t="s">
        <v>398</v>
      </c>
      <c r="D59" s="581"/>
      <c r="E59" s="583"/>
      <c r="F59" s="582">
        <v>1</v>
      </c>
      <c r="G59" s="582">
        <v>1</v>
      </c>
      <c r="H59" s="582">
        <v>1</v>
      </c>
      <c r="I59" s="582">
        <v>1</v>
      </c>
      <c r="J59" s="582">
        <v>1</v>
      </c>
      <c r="K59" s="583"/>
      <c r="L59" s="583"/>
      <c r="M59" s="582">
        <v>1</v>
      </c>
      <c r="N59" s="582">
        <v>1</v>
      </c>
      <c r="O59" s="582">
        <v>1</v>
      </c>
      <c r="P59" s="582">
        <v>1</v>
      </c>
      <c r="Q59" s="582">
        <v>1</v>
      </c>
      <c r="R59" s="583"/>
      <c r="S59" s="583"/>
      <c r="T59" s="582">
        <v>1</v>
      </c>
      <c r="U59" s="582">
        <v>1</v>
      </c>
      <c r="V59" s="582">
        <v>1</v>
      </c>
      <c r="W59" s="582">
        <v>1</v>
      </c>
      <c r="X59" s="582">
        <v>1</v>
      </c>
      <c r="Y59" s="583"/>
      <c r="Z59" s="583"/>
      <c r="AA59" s="582">
        <v>1</v>
      </c>
      <c r="AB59" s="582">
        <v>1</v>
      </c>
      <c r="AC59" s="582">
        <v>1</v>
      </c>
      <c r="AD59" s="582">
        <v>1</v>
      </c>
      <c r="AE59" s="582">
        <v>1</v>
      </c>
      <c r="AF59" s="583"/>
      <c r="AG59" s="583"/>
      <c r="AH59" s="582">
        <v>1</v>
      </c>
      <c r="AI59" s="582">
        <v>1</v>
      </c>
      <c r="AJ59" s="579">
        <f t="shared" si="5"/>
        <v>22</v>
      </c>
      <c r="AK59" s="580">
        <f>+AJ59/AJ$3</f>
        <v>1</v>
      </c>
      <c r="AL59" s="584">
        <f t="shared" ref="AL59:AL63" si="7">17*10*26</f>
        <v>4420</v>
      </c>
      <c r="AM59" s="765">
        <f>+AL59*AK59</f>
        <v>4420</v>
      </c>
      <c r="AN59" s="943"/>
    </row>
    <row r="60" spans="1:40" s="754" customFormat="1" ht="15" customHeight="1">
      <c r="A60" s="755" t="s">
        <v>849</v>
      </c>
      <c r="B60" s="762" t="s">
        <v>846</v>
      </c>
      <c r="C60" s="762" t="s">
        <v>946</v>
      </c>
      <c r="D60" s="581"/>
      <c r="E60" s="583"/>
      <c r="F60" s="582"/>
      <c r="G60" s="582"/>
      <c r="H60" s="582">
        <v>1</v>
      </c>
      <c r="I60" s="582">
        <v>1</v>
      </c>
      <c r="J60" s="582">
        <v>1</v>
      </c>
      <c r="K60" s="583"/>
      <c r="L60" s="583"/>
      <c r="M60" s="582">
        <v>1</v>
      </c>
      <c r="N60" s="582">
        <v>1</v>
      </c>
      <c r="O60" s="582">
        <v>1</v>
      </c>
      <c r="P60" s="582">
        <v>1</v>
      </c>
      <c r="Q60" s="582">
        <v>1</v>
      </c>
      <c r="R60" s="583"/>
      <c r="S60" s="583"/>
      <c r="T60" s="582">
        <v>1</v>
      </c>
      <c r="U60" s="582">
        <v>1</v>
      </c>
      <c r="V60" s="582">
        <v>1</v>
      </c>
      <c r="W60" s="582">
        <v>1</v>
      </c>
      <c r="X60" s="582">
        <v>1</v>
      </c>
      <c r="Y60" s="583"/>
      <c r="Z60" s="583"/>
      <c r="AA60" s="582">
        <v>1</v>
      </c>
      <c r="AB60" s="582">
        <v>1</v>
      </c>
      <c r="AC60" s="582">
        <v>1</v>
      </c>
      <c r="AD60" s="582">
        <v>1</v>
      </c>
      <c r="AE60" s="582">
        <v>1</v>
      </c>
      <c r="AF60" s="583"/>
      <c r="AG60" s="583"/>
      <c r="AH60" s="582">
        <v>1</v>
      </c>
      <c r="AI60" s="582">
        <v>1</v>
      </c>
      <c r="AJ60" s="579">
        <f t="shared" si="5"/>
        <v>20</v>
      </c>
      <c r="AK60" s="580">
        <f>+AJ60/AJ$3</f>
        <v>0.90909090909090906</v>
      </c>
      <c r="AL60" s="584">
        <f t="shared" si="7"/>
        <v>4420</v>
      </c>
      <c r="AM60" s="765">
        <f>+AL60*AK60</f>
        <v>4018.181818181818</v>
      </c>
      <c r="AN60" s="943"/>
    </row>
    <row r="61" spans="1:40" s="754" customFormat="1" ht="15" customHeight="1">
      <c r="A61" s="755" t="s">
        <v>851</v>
      </c>
      <c r="B61" s="762" t="s">
        <v>846</v>
      </c>
      <c r="C61" s="762" t="s">
        <v>763</v>
      </c>
      <c r="D61" s="581"/>
      <c r="E61" s="583"/>
      <c r="F61" s="582">
        <v>1</v>
      </c>
      <c r="G61" s="582"/>
      <c r="H61" s="582"/>
      <c r="I61" s="582"/>
      <c r="J61" s="582"/>
      <c r="K61" s="583"/>
      <c r="L61" s="583"/>
      <c r="M61" s="582"/>
      <c r="N61" s="582"/>
      <c r="O61" s="582"/>
      <c r="P61" s="582"/>
      <c r="Q61" s="582"/>
      <c r="R61" s="583"/>
      <c r="S61" s="583"/>
      <c r="T61" s="582"/>
      <c r="U61" s="582"/>
      <c r="V61" s="582"/>
      <c r="W61" s="582"/>
      <c r="X61" s="582"/>
      <c r="Y61" s="583"/>
      <c r="Z61" s="583"/>
      <c r="AA61" s="582"/>
      <c r="AB61" s="582"/>
      <c r="AC61" s="582"/>
      <c r="AD61" s="582"/>
      <c r="AE61" s="582"/>
      <c r="AF61" s="583"/>
      <c r="AG61" s="583"/>
      <c r="AH61" s="582"/>
      <c r="AI61" s="582"/>
      <c r="AJ61" s="579">
        <f t="shared" si="5"/>
        <v>1</v>
      </c>
      <c r="AK61" s="580">
        <f t="shared" si="3"/>
        <v>4.5454545454545456E-2</v>
      </c>
      <c r="AL61" s="584">
        <f t="shared" si="7"/>
        <v>4420</v>
      </c>
      <c r="AM61" s="765">
        <f t="shared" ref="AM61:AM63" si="8">+AL61*AK61</f>
        <v>200.90909090909091</v>
      </c>
      <c r="AN61" s="943"/>
    </row>
    <row r="62" spans="1:40" s="754" customFormat="1" ht="15" customHeight="1">
      <c r="A62" s="755" t="s">
        <v>909</v>
      </c>
      <c r="B62" s="762" t="s">
        <v>846</v>
      </c>
      <c r="C62" s="762" t="s">
        <v>764</v>
      </c>
      <c r="D62" s="581"/>
      <c r="E62" s="583"/>
      <c r="F62" s="582">
        <v>1</v>
      </c>
      <c r="G62" s="582">
        <v>1</v>
      </c>
      <c r="H62" s="582">
        <v>1</v>
      </c>
      <c r="I62" s="582">
        <v>1</v>
      </c>
      <c r="J62" s="582">
        <v>1</v>
      </c>
      <c r="K62" s="583"/>
      <c r="L62" s="583"/>
      <c r="M62" s="582">
        <v>1</v>
      </c>
      <c r="N62" s="582">
        <v>1</v>
      </c>
      <c r="O62" s="582">
        <v>1</v>
      </c>
      <c r="P62" s="582">
        <v>1</v>
      </c>
      <c r="Q62" s="582">
        <v>1</v>
      </c>
      <c r="R62" s="583"/>
      <c r="S62" s="583"/>
      <c r="T62" s="582">
        <v>1</v>
      </c>
      <c r="U62" s="582">
        <v>1</v>
      </c>
      <c r="V62" s="582">
        <v>1</v>
      </c>
      <c r="W62" s="582">
        <v>1</v>
      </c>
      <c r="X62" s="582">
        <v>1</v>
      </c>
      <c r="Y62" s="583"/>
      <c r="Z62" s="583"/>
      <c r="AA62" s="582">
        <v>1</v>
      </c>
      <c r="AB62" s="582">
        <v>1</v>
      </c>
      <c r="AC62" s="582">
        <v>1</v>
      </c>
      <c r="AD62" s="582">
        <v>1</v>
      </c>
      <c r="AE62" s="582">
        <v>1</v>
      </c>
      <c r="AF62" s="583"/>
      <c r="AG62" s="583"/>
      <c r="AH62" s="582">
        <v>1</v>
      </c>
      <c r="AI62" s="582">
        <v>1</v>
      </c>
      <c r="AJ62" s="579">
        <f t="shared" si="5"/>
        <v>22</v>
      </c>
      <c r="AK62" s="580">
        <f t="shared" si="3"/>
        <v>1</v>
      </c>
      <c r="AL62" s="584">
        <f t="shared" si="7"/>
        <v>4420</v>
      </c>
      <c r="AM62" s="765">
        <f t="shared" si="8"/>
        <v>4420</v>
      </c>
      <c r="AN62" s="943"/>
    </row>
    <row r="63" spans="1:40" s="754" customFormat="1" ht="15" customHeight="1">
      <c r="A63" s="755" t="s">
        <v>947</v>
      </c>
      <c r="B63" s="762" t="s">
        <v>846</v>
      </c>
      <c r="C63" s="762" t="s">
        <v>848</v>
      </c>
      <c r="D63" s="581"/>
      <c r="E63" s="583"/>
      <c r="F63" s="582">
        <v>1</v>
      </c>
      <c r="G63" s="582">
        <v>1</v>
      </c>
      <c r="H63" s="582">
        <v>1</v>
      </c>
      <c r="I63" s="582">
        <v>1</v>
      </c>
      <c r="J63" s="582">
        <v>1</v>
      </c>
      <c r="K63" s="583"/>
      <c r="L63" s="583"/>
      <c r="M63" s="582">
        <v>1</v>
      </c>
      <c r="N63" s="582">
        <v>1</v>
      </c>
      <c r="O63" s="582">
        <v>1</v>
      </c>
      <c r="P63" s="582">
        <v>1</v>
      </c>
      <c r="Q63" s="582">
        <v>1</v>
      </c>
      <c r="R63" s="583"/>
      <c r="S63" s="583"/>
      <c r="T63" s="582">
        <v>1</v>
      </c>
      <c r="U63" s="582">
        <v>1</v>
      </c>
      <c r="V63" s="582">
        <v>1</v>
      </c>
      <c r="W63" s="582">
        <v>1</v>
      </c>
      <c r="X63" s="582">
        <v>1</v>
      </c>
      <c r="Y63" s="583"/>
      <c r="Z63" s="583"/>
      <c r="AA63" s="582">
        <v>1</v>
      </c>
      <c r="AB63" s="582">
        <v>1</v>
      </c>
      <c r="AC63" s="582">
        <v>1</v>
      </c>
      <c r="AD63" s="582">
        <v>1</v>
      </c>
      <c r="AE63" s="582">
        <v>1</v>
      </c>
      <c r="AF63" s="583"/>
      <c r="AG63" s="583"/>
      <c r="AH63" s="582">
        <v>1</v>
      </c>
      <c r="AI63" s="582">
        <v>1</v>
      </c>
      <c r="AJ63" s="579">
        <f t="shared" si="5"/>
        <v>22</v>
      </c>
      <c r="AK63" s="580">
        <f t="shared" si="3"/>
        <v>1</v>
      </c>
      <c r="AL63" s="584">
        <f t="shared" si="7"/>
        <v>4420</v>
      </c>
      <c r="AM63" s="765">
        <f t="shared" si="8"/>
        <v>4420</v>
      </c>
      <c r="AN63" s="943"/>
    </row>
    <row r="64" spans="1:40" s="754" customFormat="1" ht="15" customHeight="1">
      <c r="A64" s="755" t="s">
        <v>948</v>
      </c>
      <c r="B64" s="762" t="s">
        <v>846</v>
      </c>
      <c r="C64" s="762" t="s">
        <v>850</v>
      </c>
      <c r="D64" s="581"/>
      <c r="E64" s="583"/>
      <c r="F64" s="582">
        <v>1</v>
      </c>
      <c r="G64" s="582">
        <v>1</v>
      </c>
      <c r="H64" s="582">
        <v>1</v>
      </c>
      <c r="I64" s="582">
        <v>1</v>
      </c>
      <c r="J64" s="582">
        <v>1</v>
      </c>
      <c r="K64" s="583"/>
      <c r="L64" s="583"/>
      <c r="M64" s="582">
        <v>1</v>
      </c>
      <c r="N64" s="582">
        <v>1</v>
      </c>
      <c r="O64" s="582">
        <v>1</v>
      </c>
      <c r="P64" s="582">
        <v>1</v>
      </c>
      <c r="Q64" s="582">
        <v>1</v>
      </c>
      <c r="R64" s="583"/>
      <c r="S64" s="583"/>
      <c r="T64" s="582">
        <v>1</v>
      </c>
      <c r="U64" s="582">
        <v>1</v>
      </c>
      <c r="V64" s="582">
        <v>1</v>
      </c>
      <c r="W64" s="582">
        <v>1</v>
      </c>
      <c r="X64" s="582">
        <v>1</v>
      </c>
      <c r="Y64" s="583"/>
      <c r="Z64" s="583"/>
      <c r="AA64" s="582">
        <v>1</v>
      </c>
      <c r="AB64" s="582">
        <v>1</v>
      </c>
      <c r="AC64" s="582">
        <v>1</v>
      </c>
      <c r="AD64" s="582">
        <v>1</v>
      </c>
      <c r="AE64" s="582">
        <v>1</v>
      </c>
      <c r="AF64" s="583"/>
      <c r="AG64" s="583"/>
      <c r="AH64" s="582">
        <v>1</v>
      </c>
      <c r="AI64" s="582">
        <v>1</v>
      </c>
      <c r="AJ64" s="579">
        <f t="shared" si="5"/>
        <v>22</v>
      </c>
      <c r="AK64" s="580">
        <f>+AJ64/AJ$3</f>
        <v>1</v>
      </c>
      <c r="AL64" s="584">
        <f>17*10*26</f>
        <v>4420</v>
      </c>
      <c r="AM64" s="765">
        <f>+AL64*AK64</f>
        <v>4420</v>
      </c>
      <c r="AN64" s="943"/>
    </row>
    <row r="65" spans="1:40" s="754" customFormat="1" ht="15" customHeight="1">
      <c r="A65" s="755" t="s">
        <v>949</v>
      </c>
      <c r="B65" s="762" t="s">
        <v>846</v>
      </c>
      <c r="C65" s="762" t="s">
        <v>950</v>
      </c>
      <c r="D65" s="581"/>
      <c r="E65" s="583"/>
      <c r="F65" s="582"/>
      <c r="G65" s="582"/>
      <c r="H65" s="582"/>
      <c r="I65" s="582"/>
      <c r="J65" s="582"/>
      <c r="K65" s="583"/>
      <c r="L65" s="583"/>
      <c r="M65" s="582"/>
      <c r="N65" s="582"/>
      <c r="O65" s="582"/>
      <c r="P65" s="582"/>
      <c r="Q65" s="582"/>
      <c r="R65" s="583"/>
      <c r="S65" s="583"/>
      <c r="T65" s="582"/>
      <c r="U65" s="582"/>
      <c r="V65" s="582"/>
      <c r="W65" s="582">
        <v>1</v>
      </c>
      <c r="X65" s="582">
        <v>1</v>
      </c>
      <c r="Y65" s="583"/>
      <c r="Z65" s="583"/>
      <c r="AA65" s="582">
        <v>1</v>
      </c>
      <c r="AB65" s="582">
        <v>1</v>
      </c>
      <c r="AC65" s="582">
        <v>1</v>
      </c>
      <c r="AD65" s="582">
        <v>1</v>
      </c>
      <c r="AE65" s="582">
        <v>1</v>
      </c>
      <c r="AF65" s="583"/>
      <c r="AG65" s="583"/>
      <c r="AH65" s="582">
        <v>1</v>
      </c>
      <c r="AI65" s="582">
        <v>1</v>
      </c>
      <c r="AJ65" s="579">
        <f t="shared" si="5"/>
        <v>9</v>
      </c>
      <c r="AK65" s="580">
        <f t="shared" ref="AK65:AK66" si="9">+AJ65/AJ$3</f>
        <v>0.40909090909090912</v>
      </c>
      <c r="AL65" s="584">
        <f t="shared" ref="AL65:AL66" si="10">17*10*26</f>
        <v>4420</v>
      </c>
      <c r="AM65" s="765">
        <f t="shared" ref="AM65:AM66" si="11">+AL65*AK65</f>
        <v>1808.1818181818182</v>
      </c>
      <c r="AN65" s="943"/>
    </row>
    <row r="66" spans="1:40" s="754" customFormat="1" ht="15" customHeight="1">
      <c r="A66" s="755" t="s">
        <v>951</v>
      </c>
      <c r="B66" s="762" t="s">
        <v>846</v>
      </c>
      <c r="C66" s="762" t="s">
        <v>952</v>
      </c>
      <c r="D66" s="581"/>
      <c r="E66" s="583"/>
      <c r="F66" s="582"/>
      <c r="G66" s="582"/>
      <c r="H66" s="582"/>
      <c r="I66" s="582"/>
      <c r="J66" s="582"/>
      <c r="K66" s="583"/>
      <c r="L66" s="583"/>
      <c r="M66" s="582"/>
      <c r="N66" s="582"/>
      <c r="O66" s="582"/>
      <c r="P66" s="582"/>
      <c r="Q66" s="582"/>
      <c r="R66" s="583"/>
      <c r="S66" s="583"/>
      <c r="T66" s="582"/>
      <c r="U66" s="582"/>
      <c r="V66" s="582"/>
      <c r="W66" s="582">
        <v>1</v>
      </c>
      <c r="X66" s="582">
        <v>1</v>
      </c>
      <c r="Y66" s="583"/>
      <c r="Z66" s="583"/>
      <c r="AA66" s="582">
        <v>1</v>
      </c>
      <c r="AB66" s="582">
        <v>1</v>
      </c>
      <c r="AC66" s="582">
        <v>1</v>
      </c>
      <c r="AD66" s="582">
        <v>1</v>
      </c>
      <c r="AE66" s="582">
        <v>1</v>
      </c>
      <c r="AF66" s="583"/>
      <c r="AG66" s="583"/>
      <c r="AH66" s="582">
        <v>1</v>
      </c>
      <c r="AI66" s="582">
        <v>1</v>
      </c>
      <c r="AJ66" s="579">
        <f t="shared" si="5"/>
        <v>9</v>
      </c>
      <c r="AK66" s="580">
        <f t="shared" si="9"/>
        <v>0.40909090909090912</v>
      </c>
      <c r="AL66" s="584">
        <f t="shared" si="10"/>
        <v>4420</v>
      </c>
      <c r="AM66" s="765">
        <f t="shared" si="11"/>
        <v>1808.1818181818182</v>
      </c>
      <c r="AN66" s="943"/>
    </row>
    <row r="67" spans="1:40" s="754" customFormat="1" ht="15" customHeight="1">
      <c r="A67" s="755"/>
      <c r="B67" s="762"/>
      <c r="C67" s="762"/>
      <c r="D67" s="581"/>
      <c r="E67" s="583"/>
      <c r="F67" s="582"/>
      <c r="G67" s="582"/>
      <c r="H67" s="582"/>
      <c r="I67" s="582"/>
      <c r="J67" s="582"/>
      <c r="K67" s="583"/>
      <c r="L67" s="583"/>
      <c r="M67" s="582"/>
      <c r="N67" s="582"/>
      <c r="O67" s="582"/>
      <c r="P67" s="582"/>
      <c r="Q67" s="582"/>
      <c r="R67" s="583"/>
      <c r="S67" s="583"/>
      <c r="T67" s="582"/>
      <c r="U67" s="582"/>
      <c r="V67" s="582"/>
      <c r="W67" s="582"/>
      <c r="X67" s="582"/>
      <c r="Y67" s="583"/>
      <c r="Z67" s="583"/>
      <c r="AA67" s="582"/>
      <c r="AB67" s="582"/>
      <c r="AC67" s="582"/>
      <c r="AD67" s="582"/>
      <c r="AE67" s="582"/>
      <c r="AF67" s="583"/>
      <c r="AG67" s="583"/>
      <c r="AH67" s="582"/>
      <c r="AI67" s="582"/>
      <c r="AJ67" s="579"/>
      <c r="AK67" s="580"/>
      <c r="AL67" s="584"/>
      <c r="AM67" s="765"/>
      <c r="AN67" s="943"/>
    </row>
    <row r="68" spans="1:40" s="754" customFormat="1" ht="15" customHeight="1">
      <c r="A68" s="755">
        <v>8</v>
      </c>
      <c r="B68" s="762" t="s">
        <v>399</v>
      </c>
      <c r="C68" s="762"/>
      <c r="D68" s="581">
        <v>0</v>
      </c>
      <c r="E68" s="583"/>
      <c r="F68" s="582"/>
      <c r="G68" s="582"/>
      <c r="H68" s="582"/>
      <c r="I68" s="582"/>
      <c r="J68" s="582"/>
      <c r="K68" s="583"/>
      <c r="L68" s="583"/>
      <c r="M68" s="582"/>
      <c r="N68" s="582"/>
      <c r="O68" s="582"/>
      <c r="P68" s="582"/>
      <c r="Q68" s="582"/>
      <c r="R68" s="583"/>
      <c r="S68" s="583"/>
      <c r="T68" s="582"/>
      <c r="U68" s="582"/>
      <c r="V68" s="582"/>
      <c r="W68" s="582"/>
      <c r="X68" s="582"/>
      <c r="Y68" s="583"/>
      <c r="Z68" s="583"/>
      <c r="AA68" s="582"/>
      <c r="AB68" s="582"/>
      <c r="AC68" s="582"/>
      <c r="AD68" s="582"/>
      <c r="AE68" s="582"/>
      <c r="AF68" s="583"/>
      <c r="AG68" s="583"/>
      <c r="AH68" s="582"/>
      <c r="AI68" s="582"/>
      <c r="AJ68" s="579">
        <f>SUM(E68:AI68)</f>
        <v>0</v>
      </c>
      <c r="AK68" s="580">
        <f t="shared" si="3"/>
        <v>0</v>
      </c>
      <c r="AL68" s="584">
        <v>4000</v>
      </c>
      <c r="AM68" s="765">
        <f t="shared" si="2"/>
        <v>0</v>
      </c>
      <c r="AN68" s="943"/>
    </row>
    <row r="69" spans="1:40" s="754" customFormat="1" ht="15" customHeight="1">
      <c r="A69" s="755"/>
      <c r="B69" s="762"/>
      <c r="C69" s="762"/>
      <c r="D69" s="581"/>
      <c r="E69" s="583"/>
      <c r="F69" s="582"/>
      <c r="G69" s="582"/>
      <c r="H69" s="582"/>
      <c r="I69" s="582"/>
      <c r="J69" s="582"/>
      <c r="K69" s="583"/>
      <c r="L69" s="583"/>
      <c r="M69" s="582"/>
      <c r="N69" s="582"/>
      <c r="O69" s="582"/>
      <c r="P69" s="582"/>
      <c r="Q69" s="582"/>
      <c r="R69" s="583"/>
      <c r="S69" s="583"/>
      <c r="T69" s="582"/>
      <c r="U69" s="582"/>
      <c r="V69" s="582"/>
      <c r="W69" s="582"/>
      <c r="X69" s="582"/>
      <c r="Y69" s="583"/>
      <c r="Z69" s="583"/>
      <c r="AA69" s="582"/>
      <c r="AB69" s="582"/>
      <c r="AC69" s="582"/>
      <c r="AD69" s="582"/>
      <c r="AE69" s="582"/>
      <c r="AF69" s="583"/>
      <c r="AG69" s="583"/>
      <c r="AH69" s="582"/>
      <c r="AI69" s="582"/>
      <c r="AJ69" s="579"/>
      <c r="AK69" s="580"/>
      <c r="AL69" s="578"/>
      <c r="AM69" s="765"/>
      <c r="AN69" s="943"/>
    </row>
    <row r="70" spans="1:40" s="754" customFormat="1" ht="15" customHeight="1">
      <c r="A70" s="755"/>
      <c r="B70" s="756" t="s">
        <v>400</v>
      </c>
      <c r="C70" s="757"/>
      <c r="D70" s="581"/>
      <c r="E70" s="583"/>
      <c r="F70" s="582"/>
      <c r="G70" s="582"/>
      <c r="H70" s="582"/>
      <c r="I70" s="582"/>
      <c r="J70" s="582"/>
      <c r="K70" s="583"/>
      <c r="L70" s="583"/>
      <c r="M70" s="582"/>
      <c r="N70" s="582"/>
      <c r="O70" s="582"/>
      <c r="P70" s="582"/>
      <c r="Q70" s="582"/>
      <c r="R70" s="583"/>
      <c r="S70" s="583"/>
      <c r="T70" s="582"/>
      <c r="U70" s="582"/>
      <c r="V70" s="582"/>
      <c r="W70" s="582"/>
      <c r="X70" s="582"/>
      <c r="Y70" s="583"/>
      <c r="Z70" s="583"/>
      <c r="AA70" s="582"/>
      <c r="AB70" s="582"/>
      <c r="AC70" s="582"/>
      <c r="AD70" s="582"/>
      <c r="AE70" s="582"/>
      <c r="AF70" s="583"/>
      <c r="AG70" s="583"/>
      <c r="AH70" s="582"/>
      <c r="AI70" s="582"/>
      <c r="AJ70" s="579"/>
      <c r="AK70" s="580"/>
      <c r="AL70" s="578"/>
      <c r="AM70" s="765"/>
      <c r="AN70" s="943"/>
    </row>
    <row r="71" spans="1:40" s="754" customFormat="1" ht="14.4" customHeight="1">
      <c r="A71" s="755">
        <v>9</v>
      </c>
      <c r="B71" s="762" t="s">
        <v>401</v>
      </c>
      <c r="C71" s="762" t="s">
        <v>402</v>
      </c>
      <c r="D71" s="581">
        <v>0</v>
      </c>
      <c r="E71" s="583"/>
      <c r="F71" s="582"/>
      <c r="G71" s="582"/>
      <c r="H71" s="582">
        <v>1</v>
      </c>
      <c r="I71" s="582"/>
      <c r="J71" s="582"/>
      <c r="K71" s="583"/>
      <c r="L71" s="583"/>
      <c r="M71" s="582"/>
      <c r="N71" s="582"/>
      <c r="O71" s="582">
        <v>1</v>
      </c>
      <c r="P71" s="582"/>
      <c r="Q71" s="582"/>
      <c r="R71" s="583"/>
      <c r="S71" s="583"/>
      <c r="T71" s="582"/>
      <c r="U71" s="582"/>
      <c r="V71" s="582"/>
      <c r="W71" s="582"/>
      <c r="X71" s="582"/>
      <c r="Y71" s="583"/>
      <c r="Z71" s="583"/>
      <c r="AA71" s="582"/>
      <c r="AB71" s="582"/>
      <c r="AC71" s="582"/>
      <c r="AD71" s="582">
        <v>1</v>
      </c>
      <c r="AE71" s="582"/>
      <c r="AF71" s="583"/>
      <c r="AG71" s="583"/>
      <c r="AH71" s="582">
        <v>0</v>
      </c>
      <c r="AI71" s="582">
        <v>1</v>
      </c>
      <c r="AJ71" s="579">
        <f t="shared" ref="AJ71:AJ112" si="12">SUM(E71:AI71)</f>
        <v>4</v>
      </c>
      <c r="AK71" s="580">
        <f>+AJ71/AJ$3</f>
        <v>0.18181818181818182</v>
      </c>
      <c r="AL71" s="584">
        <v>56800</v>
      </c>
      <c r="AM71" s="765">
        <f t="shared" ref="AM71:AM101" si="13">+AL71*AK71</f>
        <v>10327.272727272728</v>
      </c>
      <c r="AN71" s="943"/>
    </row>
    <row r="72" spans="1:40" s="754" customFormat="1" ht="15" customHeight="1">
      <c r="A72" s="755">
        <v>10</v>
      </c>
      <c r="B72" s="762" t="s">
        <v>403</v>
      </c>
      <c r="C72" s="762" t="s">
        <v>404</v>
      </c>
      <c r="D72" s="581">
        <v>2</v>
      </c>
      <c r="E72" s="583"/>
      <c r="F72" s="582">
        <v>1</v>
      </c>
      <c r="G72" s="582">
        <v>1</v>
      </c>
      <c r="H72" s="582">
        <v>1</v>
      </c>
      <c r="I72" s="582">
        <v>1</v>
      </c>
      <c r="J72" s="582">
        <v>1</v>
      </c>
      <c r="K72" s="583"/>
      <c r="L72" s="583"/>
      <c r="M72" s="582">
        <v>1</v>
      </c>
      <c r="N72" s="582">
        <v>1</v>
      </c>
      <c r="O72" s="582">
        <v>1</v>
      </c>
      <c r="P72" s="582">
        <v>1</v>
      </c>
      <c r="Q72" s="582">
        <v>1</v>
      </c>
      <c r="R72" s="583"/>
      <c r="S72" s="583"/>
      <c r="T72" s="582">
        <v>1</v>
      </c>
      <c r="U72" s="582">
        <v>1</v>
      </c>
      <c r="V72" s="582">
        <v>1</v>
      </c>
      <c r="W72" s="582">
        <v>1</v>
      </c>
      <c r="X72" s="582">
        <v>1</v>
      </c>
      <c r="Y72" s="583"/>
      <c r="Z72" s="583"/>
      <c r="AA72" s="582">
        <v>1</v>
      </c>
      <c r="AB72" s="582">
        <v>1</v>
      </c>
      <c r="AC72" s="582">
        <v>1</v>
      </c>
      <c r="AD72" s="582">
        <v>1</v>
      </c>
      <c r="AE72" s="582">
        <v>1</v>
      </c>
      <c r="AF72" s="583"/>
      <c r="AG72" s="583"/>
      <c r="AH72" s="582">
        <v>1</v>
      </c>
      <c r="AI72" s="582">
        <v>1</v>
      </c>
      <c r="AJ72" s="579">
        <f t="shared" si="12"/>
        <v>22</v>
      </c>
      <c r="AK72" s="580">
        <f>+AJ72/AJ$3</f>
        <v>1</v>
      </c>
      <c r="AL72" s="584">
        <v>25200</v>
      </c>
      <c r="AM72" s="765">
        <f t="shared" si="13"/>
        <v>25200</v>
      </c>
      <c r="AN72" s="943"/>
    </row>
    <row r="73" spans="1:40" s="754" customFormat="1" ht="15" customHeight="1">
      <c r="A73" s="755" t="s">
        <v>405</v>
      </c>
      <c r="B73" s="762" t="s">
        <v>403</v>
      </c>
      <c r="C73" s="762" t="s">
        <v>406</v>
      </c>
      <c r="D73" s="581"/>
      <c r="E73" s="583"/>
      <c r="F73" s="582">
        <v>1</v>
      </c>
      <c r="G73" s="582">
        <v>1</v>
      </c>
      <c r="H73" s="582">
        <v>1</v>
      </c>
      <c r="I73" s="582">
        <v>1</v>
      </c>
      <c r="J73" s="582">
        <v>1</v>
      </c>
      <c r="K73" s="583"/>
      <c r="L73" s="583"/>
      <c r="M73" s="582">
        <v>1</v>
      </c>
      <c r="N73" s="582">
        <v>1</v>
      </c>
      <c r="O73" s="582">
        <v>1</v>
      </c>
      <c r="P73" s="582">
        <v>1</v>
      </c>
      <c r="Q73" s="582">
        <v>1</v>
      </c>
      <c r="R73" s="583"/>
      <c r="S73" s="583"/>
      <c r="T73" s="582">
        <v>1</v>
      </c>
      <c r="U73" s="582">
        <v>1</v>
      </c>
      <c r="V73" s="582">
        <v>1</v>
      </c>
      <c r="W73" s="582">
        <v>1</v>
      </c>
      <c r="X73" s="582">
        <v>1</v>
      </c>
      <c r="Y73" s="583"/>
      <c r="Z73" s="583"/>
      <c r="AA73" s="582">
        <v>1</v>
      </c>
      <c r="AB73" s="582">
        <v>1</v>
      </c>
      <c r="AC73" s="582">
        <v>1</v>
      </c>
      <c r="AD73" s="582">
        <v>1</v>
      </c>
      <c r="AE73" s="582">
        <v>1</v>
      </c>
      <c r="AF73" s="583"/>
      <c r="AG73" s="583"/>
      <c r="AH73" s="582">
        <v>1</v>
      </c>
      <c r="AI73" s="582">
        <v>1</v>
      </c>
      <c r="AJ73" s="579">
        <f t="shared" si="12"/>
        <v>22</v>
      </c>
      <c r="AK73" s="580">
        <f>+AJ73/AJ$3</f>
        <v>1</v>
      </c>
      <c r="AL73" s="584">
        <v>25200</v>
      </c>
      <c r="AM73" s="765">
        <f t="shared" si="13"/>
        <v>25200</v>
      </c>
      <c r="AN73" s="943"/>
    </row>
    <row r="74" spans="1:40" s="754" customFormat="1" ht="15" customHeight="1">
      <c r="A74" s="755" t="s">
        <v>407</v>
      </c>
      <c r="B74" s="762" t="s">
        <v>403</v>
      </c>
      <c r="C74" s="762" t="s">
        <v>408</v>
      </c>
      <c r="D74" s="581"/>
      <c r="E74" s="583"/>
      <c r="F74" s="582">
        <v>1</v>
      </c>
      <c r="G74" s="582">
        <v>1</v>
      </c>
      <c r="H74" s="582">
        <v>1</v>
      </c>
      <c r="I74" s="582">
        <v>1</v>
      </c>
      <c r="J74" s="582">
        <v>1</v>
      </c>
      <c r="K74" s="583"/>
      <c r="L74" s="583"/>
      <c r="M74" s="582">
        <v>1</v>
      </c>
      <c r="N74" s="582">
        <v>1</v>
      </c>
      <c r="O74" s="582">
        <v>1</v>
      </c>
      <c r="P74" s="582">
        <v>1</v>
      </c>
      <c r="Q74" s="582">
        <v>1</v>
      </c>
      <c r="R74" s="583"/>
      <c r="S74" s="583"/>
      <c r="T74" s="582">
        <v>1</v>
      </c>
      <c r="U74" s="582">
        <v>1</v>
      </c>
      <c r="V74" s="582">
        <v>1</v>
      </c>
      <c r="W74" s="582">
        <v>1</v>
      </c>
      <c r="X74" s="582">
        <v>1</v>
      </c>
      <c r="Y74" s="583"/>
      <c r="Z74" s="583"/>
      <c r="AA74" s="582">
        <v>1</v>
      </c>
      <c r="AB74" s="582">
        <v>1</v>
      </c>
      <c r="AC74" s="582">
        <v>1</v>
      </c>
      <c r="AD74" s="582">
        <v>1</v>
      </c>
      <c r="AE74" s="582">
        <v>1</v>
      </c>
      <c r="AF74" s="583"/>
      <c r="AG74" s="583"/>
      <c r="AH74" s="582">
        <v>1</v>
      </c>
      <c r="AI74" s="582">
        <v>1</v>
      </c>
      <c r="AJ74" s="579">
        <f t="shared" si="12"/>
        <v>22</v>
      </c>
      <c r="AK74" s="580">
        <f>+AJ74/AJ$3</f>
        <v>1</v>
      </c>
      <c r="AL74" s="584">
        <v>25200</v>
      </c>
      <c r="AM74" s="765">
        <f>+AL74*AK74</f>
        <v>25200</v>
      </c>
      <c r="AN74" s="943"/>
    </row>
    <row r="75" spans="1:40" s="754" customFormat="1" ht="15" customHeight="1">
      <c r="A75" s="755" t="s">
        <v>409</v>
      </c>
      <c r="B75" s="762" t="s">
        <v>403</v>
      </c>
      <c r="C75" s="762" t="s">
        <v>410</v>
      </c>
      <c r="D75" s="581"/>
      <c r="E75" s="583"/>
      <c r="F75" s="582">
        <v>1</v>
      </c>
      <c r="G75" s="582">
        <v>1</v>
      </c>
      <c r="H75" s="582">
        <v>1</v>
      </c>
      <c r="I75" s="582">
        <v>1</v>
      </c>
      <c r="J75" s="582">
        <v>1</v>
      </c>
      <c r="K75" s="583"/>
      <c r="L75" s="583"/>
      <c r="M75" s="582">
        <v>1</v>
      </c>
      <c r="N75" s="582">
        <v>1</v>
      </c>
      <c r="O75" s="582">
        <v>1</v>
      </c>
      <c r="P75" s="582">
        <v>1</v>
      </c>
      <c r="Q75" s="582">
        <v>1</v>
      </c>
      <c r="R75" s="583"/>
      <c r="S75" s="583"/>
      <c r="T75" s="582">
        <v>1</v>
      </c>
      <c r="U75" s="582">
        <v>1</v>
      </c>
      <c r="V75" s="582">
        <v>1</v>
      </c>
      <c r="W75" s="582">
        <v>1</v>
      </c>
      <c r="X75" s="582">
        <v>1</v>
      </c>
      <c r="Y75" s="583"/>
      <c r="Z75" s="583"/>
      <c r="AA75" s="582">
        <v>1</v>
      </c>
      <c r="AB75" s="582">
        <v>1</v>
      </c>
      <c r="AC75" s="582">
        <v>1</v>
      </c>
      <c r="AD75" s="582">
        <v>1</v>
      </c>
      <c r="AE75" s="582">
        <v>1</v>
      </c>
      <c r="AF75" s="583"/>
      <c r="AG75" s="583"/>
      <c r="AH75" s="582">
        <v>1</v>
      </c>
      <c r="AI75" s="582">
        <v>1</v>
      </c>
      <c r="AJ75" s="579">
        <f t="shared" si="12"/>
        <v>22</v>
      </c>
      <c r="AK75" s="580">
        <f>+AJ75/AJ$3</f>
        <v>1</v>
      </c>
      <c r="AL75" s="584">
        <v>25200</v>
      </c>
      <c r="AM75" s="765">
        <f>+AL75*AK75</f>
        <v>25200</v>
      </c>
      <c r="AN75" s="943"/>
    </row>
    <row r="76" spans="1:40" s="754" customFormat="1" ht="15" customHeight="1">
      <c r="A76" s="755">
        <v>11</v>
      </c>
      <c r="B76" s="762" t="s">
        <v>411</v>
      </c>
      <c r="C76" s="762" t="s">
        <v>412</v>
      </c>
      <c r="D76" s="581">
        <v>2</v>
      </c>
      <c r="E76" s="583"/>
      <c r="F76" s="582">
        <v>1</v>
      </c>
      <c r="G76" s="582">
        <v>1</v>
      </c>
      <c r="H76" s="582">
        <v>1</v>
      </c>
      <c r="I76" s="582">
        <v>1</v>
      </c>
      <c r="J76" s="582">
        <v>1</v>
      </c>
      <c r="K76" s="583"/>
      <c r="L76" s="583"/>
      <c r="M76" s="582">
        <v>1</v>
      </c>
      <c r="N76" s="582">
        <v>1</v>
      </c>
      <c r="O76" s="582">
        <v>1</v>
      </c>
      <c r="P76" s="582">
        <v>1</v>
      </c>
      <c r="Q76" s="582">
        <v>1</v>
      </c>
      <c r="R76" s="583"/>
      <c r="S76" s="583"/>
      <c r="T76" s="582">
        <v>1</v>
      </c>
      <c r="U76" s="582">
        <v>1</v>
      </c>
      <c r="V76" s="582">
        <v>1</v>
      </c>
      <c r="W76" s="582">
        <v>1</v>
      </c>
      <c r="X76" s="582">
        <v>1</v>
      </c>
      <c r="Y76" s="583"/>
      <c r="Z76" s="583"/>
      <c r="AA76" s="582">
        <v>1</v>
      </c>
      <c r="AB76" s="582">
        <v>1</v>
      </c>
      <c r="AC76" s="582">
        <v>1</v>
      </c>
      <c r="AD76" s="582">
        <v>1</v>
      </c>
      <c r="AE76" s="582">
        <v>1</v>
      </c>
      <c r="AF76" s="583"/>
      <c r="AG76" s="583"/>
      <c r="AH76" s="582">
        <v>1</v>
      </c>
      <c r="AI76" s="582">
        <v>1</v>
      </c>
      <c r="AJ76" s="579">
        <f t="shared" si="12"/>
        <v>22</v>
      </c>
      <c r="AK76" s="580">
        <f t="shared" si="3"/>
        <v>1</v>
      </c>
      <c r="AL76" s="584">
        <v>22600</v>
      </c>
      <c r="AM76" s="765">
        <f t="shared" si="13"/>
        <v>22600</v>
      </c>
      <c r="AN76" s="943"/>
    </row>
    <row r="77" spans="1:40" s="754" customFormat="1" ht="15" customHeight="1">
      <c r="A77" s="755" t="s">
        <v>413</v>
      </c>
      <c r="B77" s="762" t="s">
        <v>411</v>
      </c>
      <c r="C77" s="762" t="s">
        <v>414</v>
      </c>
      <c r="D77" s="581"/>
      <c r="E77" s="583"/>
      <c r="F77" s="582">
        <v>1</v>
      </c>
      <c r="G77" s="582">
        <v>1</v>
      </c>
      <c r="H77" s="582">
        <v>1</v>
      </c>
      <c r="I77" s="582">
        <v>1</v>
      </c>
      <c r="J77" s="582">
        <v>1</v>
      </c>
      <c r="K77" s="583"/>
      <c r="L77" s="583"/>
      <c r="M77" s="582">
        <v>1</v>
      </c>
      <c r="N77" s="582">
        <v>1</v>
      </c>
      <c r="O77" s="582">
        <v>1</v>
      </c>
      <c r="P77" s="582">
        <v>1</v>
      </c>
      <c r="Q77" s="582">
        <v>1</v>
      </c>
      <c r="R77" s="583"/>
      <c r="S77" s="583"/>
      <c r="T77" s="582">
        <v>1</v>
      </c>
      <c r="U77" s="582">
        <v>1</v>
      </c>
      <c r="V77" s="582">
        <v>1</v>
      </c>
      <c r="W77" s="582">
        <v>1</v>
      </c>
      <c r="X77" s="582">
        <v>1</v>
      </c>
      <c r="Y77" s="583"/>
      <c r="Z77" s="583"/>
      <c r="AA77" s="582">
        <v>1</v>
      </c>
      <c r="AB77" s="582">
        <v>1</v>
      </c>
      <c r="AC77" s="582">
        <v>1</v>
      </c>
      <c r="AD77" s="582">
        <v>1</v>
      </c>
      <c r="AE77" s="582">
        <v>1</v>
      </c>
      <c r="AF77" s="583"/>
      <c r="AG77" s="583"/>
      <c r="AH77" s="582">
        <v>1</v>
      </c>
      <c r="AI77" s="582">
        <v>1</v>
      </c>
      <c r="AJ77" s="579">
        <f t="shared" si="12"/>
        <v>22</v>
      </c>
      <c r="AK77" s="580">
        <f>+AJ77/AJ$3</f>
        <v>1</v>
      </c>
      <c r="AL77" s="584">
        <v>22600</v>
      </c>
      <c r="AM77" s="765">
        <f t="shared" si="13"/>
        <v>22600</v>
      </c>
      <c r="AN77" s="943"/>
    </row>
    <row r="78" spans="1:40" s="754" customFormat="1" ht="15" customHeight="1">
      <c r="A78" s="755">
        <v>12</v>
      </c>
      <c r="B78" s="762" t="s">
        <v>415</v>
      </c>
      <c r="C78" s="762" t="s">
        <v>416</v>
      </c>
      <c r="D78" s="581">
        <v>1</v>
      </c>
      <c r="E78" s="583"/>
      <c r="F78" s="582"/>
      <c r="G78" s="582"/>
      <c r="H78" s="582"/>
      <c r="I78" s="582"/>
      <c r="J78" s="582"/>
      <c r="K78" s="583"/>
      <c r="L78" s="583"/>
      <c r="M78" s="582"/>
      <c r="N78" s="582"/>
      <c r="O78" s="582"/>
      <c r="P78" s="582"/>
      <c r="Q78" s="582"/>
      <c r="R78" s="583"/>
      <c r="S78" s="583"/>
      <c r="T78" s="582"/>
      <c r="U78" s="582"/>
      <c r="V78" s="582"/>
      <c r="W78" s="582"/>
      <c r="X78" s="582"/>
      <c r="Y78" s="583"/>
      <c r="Z78" s="583"/>
      <c r="AA78" s="582"/>
      <c r="AB78" s="582"/>
      <c r="AC78" s="582"/>
      <c r="AD78" s="582"/>
      <c r="AE78" s="582"/>
      <c r="AF78" s="583"/>
      <c r="AG78" s="583"/>
      <c r="AH78" s="582"/>
      <c r="AI78" s="582"/>
      <c r="AJ78" s="579">
        <f t="shared" si="12"/>
        <v>0</v>
      </c>
      <c r="AK78" s="580">
        <f t="shared" si="3"/>
        <v>0</v>
      </c>
      <c r="AL78" s="584">
        <v>25200</v>
      </c>
      <c r="AM78" s="765">
        <f t="shared" si="13"/>
        <v>0</v>
      </c>
      <c r="AN78" s="943"/>
    </row>
    <row r="79" spans="1:40" s="754" customFormat="1" ht="15" customHeight="1">
      <c r="A79" s="755">
        <v>13</v>
      </c>
      <c r="B79" s="762" t="s">
        <v>417</v>
      </c>
      <c r="C79" s="762" t="s">
        <v>418</v>
      </c>
      <c r="D79" s="581">
        <v>2</v>
      </c>
      <c r="E79" s="583"/>
      <c r="F79" s="582">
        <v>1</v>
      </c>
      <c r="G79" s="582">
        <v>1</v>
      </c>
      <c r="H79" s="582">
        <v>1</v>
      </c>
      <c r="I79" s="582">
        <v>1</v>
      </c>
      <c r="J79" s="582">
        <v>1</v>
      </c>
      <c r="K79" s="583"/>
      <c r="L79" s="583"/>
      <c r="M79" s="582">
        <v>1</v>
      </c>
      <c r="N79" s="582">
        <v>1</v>
      </c>
      <c r="O79" s="582">
        <v>1</v>
      </c>
      <c r="P79" s="582">
        <v>1</v>
      </c>
      <c r="Q79" s="582">
        <v>1</v>
      </c>
      <c r="R79" s="583"/>
      <c r="S79" s="583"/>
      <c r="T79" s="582">
        <v>1</v>
      </c>
      <c r="U79" s="582">
        <v>1</v>
      </c>
      <c r="V79" s="582">
        <v>1</v>
      </c>
      <c r="W79" s="582">
        <v>1</v>
      </c>
      <c r="X79" s="582">
        <v>1</v>
      </c>
      <c r="Y79" s="583"/>
      <c r="Z79" s="583"/>
      <c r="AA79" s="582">
        <v>1</v>
      </c>
      <c r="AB79" s="582">
        <v>1</v>
      </c>
      <c r="AC79" s="582">
        <v>1</v>
      </c>
      <c r="AD79" s="582">
        <v>1</v>
      </c>
      <c r="AE79" s="582">
        <v>1</v>
      </c>
      <c r="AF79" s="583"/>
      <c r="AG79" s="583"/>
      <c r="AH79" s="582">
        <v>1</v>
      </c>
      <c r="AI79" s="582">
        <v>1</v>
      </c>
      <c r="AJ79" s="579">
        <f t="shared" si="12"/>
        <v>22</v>
      </c>
      <c r="AK79" s="580">
        <f>+AJ79/AJ$3</f>
        <v>1</v>
      </c>
      <c r="AL79" s="584">
        <v>14300</v>
      </c>
      <c r="AM79" s="765">
        <f>+AL79*AK79</f>
        <v>14300</v>
      </c>
      <c r="AN79" s="943"/>
    </row>
    <row r="80" spans="1:40" s="754" customFormat="1" ht="15" customHeight="1">
      <c r="A80" s="755" t="s">
        <v>419</v>
      </c>
      <c r="B80" s="762" t="s">
        <v>417</v>
      </c>
      <c r="C80" s="762" t="s">
        <v>420</v>
      </c>
      <c r="D80" s="581"/>
      <c r="E80" s="583"/>
      <c r="F80" s="582">
        <v>1</v>
      </c>
      <c r="G80" s="582">
        <v>1</v>
      </c>
      <c r="H80" s="582">
        <v>1</v>
      </c>
      <c r="I80" s="582">
        <v>1</v>
      </c>
      <c r="J80" s="582">
        <v>1</v>
      </c>
      <c r="K80" s="583"/>
      <c r="L80" s="583"/>
      <c r="M80" s="582">
        <v>1</v>
      </c>
      <c r="N80" s="582">
        <v>1</v>
      </c>
      <c r="O80" s="582">
        <v>1</v>
      </c>
      <c r="P80" s="582">
        <v>1</v>
      </c>
      <c r="Q80" s="582">
        <v>1</v>
      </c>
      <c r="R80" s="583"/>
      <c r="S80" s="583"/>
      <c r="T80" s="582">
        <v>1</v>
      </c>
      <c r="U80" s="582">
        <v>1</v>
      </c>
      <c r="V80" s="582">
        <v>1</v>
      </c>
      <c r="W80" s="582">
        <v>1</v>
      </c>
      <c r="X80" s="582">
        <v>1</v>
      </c>
      <c r="Y80" s="583"/>
      <c r="Z80" s="583"/>
      <c r="AA80" s="582">
        <v>1</v>
      </c>
      <c r="AB80" s="582">
        <v>1</v>
      </c>
      <c r="AC80" s="582">
        <v>1</v>
      </c>
      <c r="AD80" s="582">
        <v>1</v>
      </c>
      <c r="AE80" s="582">
        <v>1</v>
      </c>
      <c r="AF80" s="583"/>
      <c r="AG80" s="583"/>
      <c r="AH80" s="582">
        <v>1</v>
      </c>
      <c r="AI80" s="582">
        <v>1</v>
      </c>
      <c r="AJ80" s="579">
        <f t="shared" si="12"/>
        <v>22</v>
      </c>
      <c r="AK80" s="580">
        <f>+AJ80/AJ$3</f>
        <v>1</v>
      </c>
      <c r="AL80" s="584">
        <v>14300</v>
      </c>
      <c r="AM80" s="765">
        <f>+AL80*AK80</f>
        <v>14300</v>
      </c>
      <c r="AN80" s="943"/>
    </row>
    <row r="81" spans="1:40" s="754" customFormat="1" ht="15" customHeight="1">
      <c r="A81" s="755" t="s">
        <v>421</v>
      </c>
      <c r="B81" s="762" t="s">
        <v>417</v>
      </c>
      <c r="C81" s="762" t="s">
        <v>422</v>
      </c>
      <c r="D81" s="581"/>
      <c r="E81" s="583"/>
      <c r="F81" s="582">
        <v>1</v>
      </c>
      <c r="G81" s="582">
        <v>1</v>
      </c>
      <c r="H81" s="582">
        <v>1</v>
      </c>
      <c r="I81" s="582">
        <v>1</v>
      </c>
      <c r="J81" s="582">
        <v>1</v>
      </c>
      <c r="K81" s="583"/>
      <c r="L81" s="583"/>
      <c r="M81" s="582">
        <v>1</v>
      </c>
      <c r="N81" s="582">
        <v>1</v>
      </c>
      <c r="O81" s="582">
        <v>1</v>
      </c>
      <c r="P81" s="582">
        <v>1</v>
      </c>
      <c r="Q81" s="582">
        <v>1</v>
      </c>
      <c r="R81" s="583"/>
      <c r="S81" s="583"/>
      <c r="T81" s="582">
        <v>1</v>
      </c>
      <c r="U81" s="582">
        <v>1</v>
      </c>
      <c r="V81" s="582">
        <v>1</v>
      </c>
      <c r="W81" s="582">
        <v>1</v>
      </c>
      <c r="X81" s="582">
        <v>1</v>
      </c>
      <c r="Y81" s="583"/>
      <c r="Z81" s="583"/>
      <c r="AA81" s="582">
        <v>1</v>
      </c>
      <c r="AB81" s="582">
        <v>1</v>
      </c>
      <c r="AC81" s="582">
        <v>1</v>
      </c>
      <c r="AD81" s="582">
        <v>1</v>
      </c>
      <c r="AE81" s="582">
        <v>1</v>
      </c>
      <c r="AF81" s="583"/>
      <c r="AG81" s="583"/>
      <c r="AH81" s="582">
        <v>1</v>
      </c>
      <c r="AI81" s="582">
        <v>1</v>
      </c>
      <c r="AJ81" s="579">
        <f t="shared" si="12"/>
        <v>22</v>
      </c>
      <c r="AK81" s="580">
        <f>+AJ81/AJ$3</f>
        <v>1</v>
      </c>
      <c r="AL81" s="584">
        <v>14300</v>
      </c>
      <c r="AM81" s="765">
        <f>+AL81*AK81</f>
        <v>14300</v>
      </c>
      <c r="AN81" s="943"/>
    </row>
    <row r="82" spans="1:40" s="754" customFormat="1" ht="15" customHeight="1">
      <c r="A82" s="755">
        <v>14</v>
      </c>
      <c r="B82" s="762" t="s">
        <v>423</v>
      </c>
      <c r="C82" s="762" t="s">
        <v>424</v>
      </c>
      <c r="D82" s="581">
        <v>1</v>
      </c>
      <c r="E82" s="583"/>
      <c r="F82" s="582">
        <v>1</v>
      </c>
      <c r="G82" s="582">
        <v>1</v>
      </c>
      <c r="H82" s="582">
        <v>1</v>
      </c>
      <c r="I82" s="582">
        <v>1</v>
      </c>
      <c r="J82" s="582">
        <v>1</v>
      </c>
      <c r="K82" s="583"/>
      <c r="L82" s="583"/>
      <c r="M82" s="582">
        <v>1</v>
      </c>
      <c r="N82" s="582">
        <v>1</v>
      </c>
      <c r="O82" s="582">
        <v>1</v>
      </c>
      <c r="P82" s="582">
        <v>1</v>
      </c>
      <c r="Q82" s="582">
        <v>1</v>
      </c>
      <c r="R82" s="583"/>
      <c r="S82" s="583"/>
      <c r="T82" s="582">
        <v>1</v>
      </c>
      <c r="U82" s="582">
        <v>1</v>
      </c>
      <c r="V82" s="582">
        <v>1</v>
      </c>
      <c r="W82" s="582">
        <v>1</v>
      </c>
      <c r="X82" s="582">
        <v>1</v>
      </c>
      <c r="Y82" s="583"/>
      <c r="Z82" s="583"/>
      <c r="AA82" s="582">
        <v>1</v>
      </c>
      <c r="AB82" s="582">
        <v>1</v>
      </c>
      <c r="AC82" s="582">
        <v>1</v>
      </c>
      <c r="AD82" s="582">
        <v>1</v>
      </c>
      <c r="AE82" s="582">
        <v>1</v>
      </c>
      <c r="AF82" s="583"/>
      <c r="AG82" s="583"/>
      <c r="AH82" s="582">
        <v>1</v>
      </c>
      <c r="AI82" s="582">
        <v>1</v>
      </c>
      <c r="AJ82" s="579">
        <f t="shared" si="12"/>
        <v>22</v>
      </c>
      <c r="AK82" s="580">
        <f t="shared" si="3"/>
        <v>1</v>
      </c>
      <c r="AL82" s="584">
        <v>29100</v>
      </c>
      <c r="AM82" s="765">
        <f t="shared" si="13"/>
        <v>29100</v>
      </c>
      <c r="AN82" s="943"/>
    </row>
    <row r="83" spans="1:40" s="754" customFormat="1" ht="15" customHeight="1">
      <c r="A83" s="755">
        <v>15</v>
      </c>
      <c r="B83" s="762" t="s">
        <v>425</v>
      </c>
      <c r="C83" s="762"/>
      <c r="D83" s="581">
        <v>1</v>
      </c>
      <c r="E83" s="583"/>
      <c r="F83" s="582"/>
      <c r="G83" s="582"/>
      <c r="H83" s="582"/>
      <c r="I83" s="582"/>
      <c r="J83" s="582"/>
      <c r="K83" s="583"/>
      <c r="L83" s="583"/>
      <c r="M83" s="582"/>
      <c r="N83" s="582"/>
      <c r="O83" s="582"/>
      <c r="P83" s="582"/>
      <c r="Q83" s="582"/>
      <c r="R83" s="583"/>
      <c r="S83" s="583"/>
      <c r="T83" s="582"/>
      <c r="U83" s="582"/>
      <c r="V83" s="582"/>
      <c r="W83" s="582"/>
      <c r="X83" s="582"/>
      <c r="Y83" s="583"/>
      <c r="Z83" s="583"/>
      <c r="AA83" s="582"/>
      <c r="AB83" s="582"/>
      <c r="AC83" s="582"/>
      <c r="AD83" s="582"/>
      <c r="AE83" s="582"/>
      <c r="AF83" s="583"/>
      <c r="AG83" s="583"/>
      <c r="AH83" s="582"/>
      <c r="AI83" s="582"/>
      <c r="AJ83" s="579">
        <f t="shared" si="12"/>
        <v>0</v>
      </c>
      <c r="AK83" s="580">
        <f t="shared" si="3"/>
        <v>0</v>
      </c>
      <c r="AL83" s="584">
        <v>19500</v>
      </c>
      <c r="AM83" s="765">
        <f t="shared" si="13"/>
        <v>0</v>
      </c>
      <c r="AN83" s="943"/>
    </row>
    <row r="84" spans="1:40" s="754" customFormat="1" ht="15" customHeight="1">
      <c r="A84" s="755">
        <v>16</v>
      </c>
      <c r="B84" s="762" t="s">
        <v>426</v>
      </c>
      <c r="C84" s="762" t="s">
        <v>427</v>
      </c>
      <c r="D84" s="581">
        <v>0.2</v>
      </c>
      <c r="E84" s="583"/>
      <c r="F84" s="582"/>
      <c r="G84" s="582"/>
      <c r="H84" s="582"/>
      <c r="I84" s="582"/>
      <c r="J84" s="582">
        <v>0.3</v>
      </c>
      <c r="K84" s="583"/>
      <c r="L84" s="583"/>
      <c r="M84" s="582"/>
      <c r="N84" s="582"/>
      <c r="O84" s="582"/>
      <c r="P84" s="582"/>
      <c r="Q84" s="582">
        <v>0.3</v>
      </c>
      <c r="R84" s="583"/>
      <c r="S84" s="583"/>
      <c r="T84" s="582"/>
      <c r="U84" s="582">
        <v>0.5</v>
      </c>
      <c r="V84" s="582"/>
      <c r="W84" s="582"/>
      <c r="X84" s="582"/>
      <c r="Y84" s="583"/>
      <c r="Z84" s="583"/>
      <c r="AA84" s="582"/>
      <c r="AB84" s="582"/>
      <c r="AC84" s="582">
        <v>0.3</v>
      </c>
      <c r="AD84" s="582"/>
      <c r="AE84" s="582"/>
      <c r="AF84" s="583"/>
      <c r="AG84" s="583"/>
      <c r="AH84" s="582"/>
      <c r="AI84" s="582"/>
      <c r="AJ84" s="579">
        <f t="shared" si="12"/>
        <v>1.4000000000000001</v>
      </c>
      <c r="AK84" s="580">
        <f t="shared" si="3"/>
        <v>6.3636363636363644E-2</v>
      </c>
      <c r="AL84" s="584">
        <v>68500</v>
      </c>
      <c r="AM84" s="765">
        <f t="shared" si="13"/>
        <v>4359.0909090909099</v>
      </c>
      <c r="AN84" s="943"/>
    </row>
    <row r="85" spans="1:40" s="754" customFormat="1" ht="15" customHeight="1">
      <c r="A85" s="755">
        <v>17</v>
      </c>
      <c r="B85" s="762" t="s">
        <v>428</v>
      </c>
      <c r="C85" s="762" t="s">
        <v>429</v>
      </c>
      <c r="D85" s="581">
        <v>2</v>
      </c>
      <c r="E85" s="583"/>
      <c r="F85" s="582"/>
      <c r="G85" s="582"/>
      <c r="H85" s="582"/>
      <c r="I85" s="582"/>
      <c r="J85" s="582"/>
      <c r="K85" s="583"/>
      <c r="L85" s="583"/>
      <c r="M85" s="582"/>
      <c r="N85" s="582"/>
      <c r="O85" s="582"/>
      <c r="P85" s="582"/>
      <c r="Q85" s="582"/>
      <c r="R85" s="583"/>
      <c r="S85" s="583"/>
      <c r="T85" s="582"/>
      <c r="U85" s="582"/>
      <c r="V85" s="582"/>
      <c r="W85" s="582"/>
      <c r="X85" s="582"/>
      <c r="Y85" s="583"/>
      <c r="Z85" s="583"/>
      <c r="AA85" s="582"/>
      <c r="AB85" s="582"/>
      <c r="AC85" s="582"/>
      <c r="AD85" s="582"/>
      <c r="AE85" s="582"/>
      <c r="AF85" s="583"/>
      <c r="AG85" s="583"/>
      <c r="AH85" s="582"/>
      <c r="AI85" s="582"/>
      <c r="AJ85" s="579">
        <f t="shared" si="12"/>
        <v>0</v>
      </c>
      <c r="AK85" s="580">
        <f t="shared" si="3"/>
        <v>0</v>
      </c>
      <c r="AL85" s="584">
        <v>19500</v>
      </c>
      <c r="AM85" s="765">
        <f t="shared" si="13"/>
        <v>0</v>
      </c>
      <c r="AN85" s="943"/>
    </row>
    <row r="86" spans="1:40" s="754" customFormat="1" ht="15" customHeight="1">
      <c r="A86" s="755" t="s">
        <v>430</v>
      </c>
      <c r="B86" s="762" t="s">
        <v>428</v>
      </c>
      <c r="C86" s="762" t="s">
        <v>431</v>
      </c>
      <c r="D86" s="581"/>
      <c r="E86" s="583"/>
      <c r="F86" s="582">
        <v>1</v>
      </c>
      <c r="G86" s="582">
        <v>1</v>
      </c>
      <c r="H86" s="582">
        <v>1</v>
      </c>
      <c r="I86" s="582">
        <v>1</v>
      </c>
      <c r="J86" s="582">
        <v>1</v>
      </c>
      <c r="K86" s="583"/>
      <c r="L86" s="583"/>
      <c r="M86" s="582">
        <v>1</v>
      </c>
      <c r="N86" s="582">
        <v>1</v>
      </c>
      <c r="O86" s="582">
        <v>1</v>
      </c>
      <c r="P86" s="582">
        <v>1</v>
      </c>
      <c r="Q86" s="582">
        <v>1</v>
      </c>
      <c r="R86" s="583"/>
      <c r="S86" s="583"/>
      <c r="T86" s="582">
        <v>1</v>
      </c>
      <c r="U86" s="582">
        <v>1</v>
      </c>
      <c r="V86" s="582">
        <v>1</v>
      </c>
      <c r="W86" s="582">
        <v>1</v>
      </c>
      <c r="X86" s="582">
        <v>1</v>
      </c>
      <c r="Y86" s="583"/>
      <c r="Z86" s="583"/>
      <c r="AA86" s="582">
        <v>1</v>
      </c>
      <c r="AB86" s="582">
        <v>1</v>
      </c>
      <c r="AC86" s="582">
        <v>1</v>
      </c>
      <c r="AD86" s="582">
        <v>1</v>
      </c>
      <c r="AE86" s="582">
        <v>1</v>
      </c>
      <c r="AF86" s="583"/>
      <c r="AG86" s="583"/>
      <c r="AH86" s="582">
        <v>1</v>
      </c>
      <c r="AI86" s="582">
        <v>1</v>
      </c>
      <c r="AJ86" s="579">
        <f t="shared" si="12"/>
        <v>22</v>
      </c>
      <c r="AK86" s="580">
        <f t="shared" si="3"/>
        <v>1</v>
      </c>
      <c r="AL86" s="584">
        <v>19500</v>
      </c>
      <c r="AM86" s="765">
        <f t="shared" si="13"/>
        <v>19500</v>
      </c>
      <c r="AN86" s="943"/>
    </row>
    <row r="87" spans="1:40" s="754" customFormat="1" ht="15" customHeight="1">
      <c r="A87" s="755" t="s">
        <v>432</v>
      </c>
      <c r="B87" s="762" t="s">
        <v>428</v>
      </c>
      <c r="C87" s="762" t="s">
        <v>766</v>
      </c>
      <c r="D87" s="581"/>
      <c r="E87" s="583"/>
      <c r="F87" s="582">
        <v>1</v>
      </c>
      <c r="G87" s="582">
        <v>1</v>
      </c>
      <c r="H87" s="582">
        <v>1</v>
      </c>
      <c r="I87" s="582">
        <v>1</v>
      </c>
      <c r="J87" s="582">
        <v>1</v>
      </c>
      <c r="K87" s="583"/>
      <c r="L87" s="583"/>
      <c r="M87" s="582">
        <v>1</v>
      </c>
      <c r="N87" s="582">
        <v>1</v>
      </c>
      <c r="O87" s="582">
        <v>1</v>
      </c>
      <c r="P87" s="582">
        <v>1</v>
      </c>
      <c r="Q87" s="582">
        <v>1</v>
      </c>
      <c r="R87" s="583"/>
      <c r="S87" s="583"/>
      <c r="T87" s="582">
        <v>1</v>
      </c>
      <c r="U87" s="582">
        <v>1</v>
      </c>
      <c r="V87" s="582">
        <v>1</v>
      </c>
      <c r="W87" s="582">
        <v>1</v>
      </c>
      <c r="X87" s="582">
        <v>1</v>
      </c>
      <c r="Y87" s="583"/>
      <c r="Z87" s="583"/>
      <c r="AA87" s="582">
        <v>1</v>
      </c>
      <c r="AB87" s="582">
        <v>1</v>
      </c>
      <c r="AC87" s="582">
        <v>1</v>
      </c>
      <c r="AD87" s="582">
        <v>1</v>
      </c>
      <c r="AE87" s="582">
        <v>1</v>
      </c>
      <c r="AF87" s="583"/>
      <c r="AG87" s="583"/>
      <c r="AH87" s="582">
        <v>1</v>
      </c>
      <c r="AI87" s="582">
        <v>1</v>
      </c>
      <c r="AJ87" s="579">
        <f>SUM(E87:AI87)</f>
        <v>22</v>
      </c>
      <c r="AK87" s="580">
        <f t="shared" si="3"/>
        <v>1</v>
      </c>
      <c r="AL87" s="584">
        <v>19500</v>
      </c>
      <c r="AM87" s="765">
        <f t="shared" si="13"/>
        <v>19500</v>
      </c>
      <c r="AN87" s="943"/>
    </row>
    <row r="88" spans="1:40" s="754" customFormat="1" ht="15" customHeight="1">
      <c r="A88" s="755" t="s">
        <v>765</v>
      </c>
      <c r="B88" s="762" t="s">
        <v>428</v>
      </c>
      <c r="C88" s="762" t="s">
        <v>910</v>
      </c>
      <c r="D88" s="581"/>
      <c r="E88" s="583"/>
      <c r="F88" s="582">
        <v>1</v>
      </c>
      <c r="G88" s="582">
        <v>1</v>
      </c>
      <c r="H88" s="582">
        <v>1</v>
      </c>
      <c r="I88" s="582">
        <v>1</v>
      </c>
      <c r="J88" s="582">
        <v>1</v>
      </c>
      <c r="K88" s="583"/>
      <c r="L88" s="583"/>
      <c r="M88" s="582">
        <v>1</v>
      </c>
      <c r="N88" s="582">
        <v>1</v>
      </c>
      <c r="O88" s="582">
        <v>1</v>
      </c>
      <c r="P88" s="582">
        <v>1</v>
      </c>
      <c r="Q88" s="582">
        <v>1</v>
      </c>
      <c r="R88" s="583"/>
      <c r="S88" s="583"/>
      <c r="T88" s="582">
        <v>1</v>
      </c>
      <c r="U88" s="582">
        <v>1</v>
      </c>
      <c r="V88" s="582">
        <v>1</v>
      </c>
      <c r="W88" s="582">
        <v>1</v>
      </c>
      <c r="X88" s="582">
        <v>1</v>
      </c>
      <c r="Y88" s="583"/>
      <c r="Z88" s="583"/>
      <c r="AA88" s="582">
        <v>1</v>
      </c>
      <c r="AB88" s="582">
        <v>1</v>
      </c>
      <c r="AC88" s="582">
        <v>1</v>
      </c>
      <c r="AD88" s="582">
        <v>1</v>
      </c>
      <c r="AE88" s="582">
        <v>1</v>
      </c>
      <c r="AF88" s="583"/>
      <c r="AG88" s="583"/>
      <c r="AH88" s="582">
        <v>1</v>
      </c>
      <c r="AI88" s="582">
        <v>1</v>
      </c>
      <c r="AJ88" s="579">
        <f>SUM(E88:AI88)</f>
        <v>22</v>
      </c>
      <c r="AK88" s="580">
        <f t="shared" si="3"/>
        <v>1</v>
      </c>
      <c r="AL88" s="584">
        <v>19500</v>
      </c>
      <c r="AM88" s="765">
        <f t="shared" si="13"/>
        <v>19500</v>
      </c>
      <c r="AN88" s="943"/>
    </row>
    <row r="89" spans="1:40" s="754" customFormat="1" ht="15" customHeight="1">
      <c r="A89" s="755">
        <v>18</v>
      </c>
      <c r="B89" s="762" t="s">
        <v>433</v>
      </c>
      <c r="C89" s="762" t="s">
        <v>434</v>
      </c>
      <c r="D89" s="581">
        <v>0.6</v>
      </c>
      <c r="E89" s="583"/>
      <c r="F89" s="582">
        <v>0.8</v>
      </c>
      <c r="G89" s="582">
        <v>0.8</v>
      </c>
      <c r="H89" s="582">
        <v>0.8</v>
      </c>
      <c r="I89" s="582">
        <v>0.8</v>
      </c>
      <c r="J89" s="582">
        <v>0.8</v>
      </c>
      <c r="K89" s="583"/>
      <c r="L89" s="583"/>
      <c r="M89" s="582">
        <v>0.8</v>
      </c>
      <c r="N89" s="582">
        <v>0.8</v>
      </c>
      <c r="O89" s="582">
        <v>0.8</v>
      </c>
      <c r="P89" s="582">
        <v>0.8</v>
      </c>
      <c r="Q89" s="582">
        <v>0.8</v>
      </c>
      <c r="R89" s="583"/>
      <c r="S89" s="583"/>
      <c r="T89" s="582">
        <v>0.8</v>
      </c>
      <c r="U89" s="582">
        <v>0.8</v>
      </c>
      <c r="V89" s="582">
        <v>0.8</v>
      </c>
      <c r="W89" s="582">
        <v>0.8</v>
      </c>
      <c r="X89" s="582">
        <v>0.8</v>
      </c>
      <c r="Y89" s="583"/>
      <c r="Z89" s="583"/>
      <c r="AA89" s="582">
        <v>0.8</v>
      </c>
      <c r="AB89" s="582">
        <v>0.8</v>
      </c>
      <c r="AC89" s="582">
        <v>0.8</v>
      </c>
      <c r="AD89" s="582">
        <v>0.8</v>
      </c>
      <c r="AE89" s="582">
        <v>0.8</v>
      </c>
      <c r="AF89" s="583"/>
      <c r="AG89" s="583"/>
      <c r="AH89" s="582">
        <v>0.8</v>
      </c>
      <c r="AI89" s="582">
        <v>0.8</v>
      </c>
      <c r="AJ89" s="579">
        <f t="shared" si="12"/>
        <v>17.600000000000005</v>
      </c>
      <c r="AK89" s="580">
        <f>+AJ89/AJ$3</f>
        <v>0.80000000000000027</v>
      </c>
      <c r="AL89" s="584">
        <v>78000</v>
      </c>
      <c r="AM89" s="765">
        <f t="shared" si="13"/>
        <v>62400.000000000022</v>
      </c>
      <c r="AN89" s="943"/>
    </row>
    <row r="90" spans="1:40" s="754" customFormat="1" ht="15" customHeight="1">
      <c r="A90" s="755">
        <v>19</v>
      </c>
      <c r="B90" s="762" t="s">
        <v>435</v>
      </c>
      <c r="C90" s="762"/>
      <c r="D90" s="581">
        <v>2</v>
      </c>
      <c r="E90" s="583"/>
      <c r="F90" s="582"/>
      <c r="G90" s="582"/>
      <c r="H90" s="582"/>
      <c r="I90" s="582"/>
      <c r="J90" s="582"/>
      <c r="K90" s="583"/>
      <c r="L90" s="583"/>
      <c r="M90" s="582"/>
      <c r="N90" s="582"/>
      <c r="O90" s="582"/>
      <c r="P90" s="582"/>
      <c r="Q90" s="582"/>
      <c r="R90" s="583"/>
      <c r="S90" s="583"/>
      <c r="T90" s="582"/>
      <c r="U90" s="582"/>
      <c r="V90" s="582"/>
      <c r="W90" s="582"/>
      <c r="X90" s="582"/>
      <c r="Y90" s="583"/>
      <c r="Z90" s="583"/>
      <c r="AA90" s="582"/>
      <c r="AB90" s="582"/>
      <c r="AC90" s="582"/>
      <c r="AD90" s="582"/>
      <c r="AE90" s="582"/>
      <c r="AF90" s="583"/>
      <c r="AG90" s="583"/>
      <c r="AH90" s="582"/>
      <c r="AI90" s="582"/>
      <c r="AJ90" s="579">
        <f t="shared" si="12"/>
        <v>0</v>
      </c>
      <c r="AK90" s="580">
        <f t="shared" si="3"/>
        <v>0</v>
      </c>
      <c r="AL90" s="584">
        <v>28000</v>
      </c>
      <c r="AM90" s="765">
        <f t="shared" si="13"/>
        <v>0</v>
      </c>
      <c r="AN90" s="943"/>
    </row>
    <row r="91" spans="1:40" s="754" customFormat="1" ht="15" customHeight="1">
      <c r="A91" s="755">
        <v>20</v>
      </c>
      <c r="B91" s="762" t="s">
        <v>436</v>
      </c>
      <c r="C91" s="762" t="s">
        <v>437</v>
      </c>
      <c r="D91" s="581">
        <v>1</v>
      </c>
      <c r="E91" s="583"/>
      <c r="F91" s="582">
        <v>1</v>
      </c>
      <c r="G91" s="582">
        <v>1</v>
      </c>
      <c r="H91" s="582">
        <v>1</v>
      </c>
      <c r="I91" s="582">
        <v>1</v>
      </c>
      <c r="J91" s="582">
        <v>1</v>
      </c>
      <c r="K91" s="583"/>
      <c r="L91" s="583"/>
      <c r="M91" s="582">
        <v>1</v>
      </c>
      <c r="N91" s="582">
        <v>1</v>
      </c>
      <c r="O91" s="582">
        <v>1</v>
      </c>
      <c r="P91" s="582">
        <v>1</v>
      </c>
      <c r="Q91" s="582">
        <v>1</v>
      </c>
      <c r="R91" s="583"/>
      <c r="S91" s="583"/>
      <c r="T91" s="582">
        <v>1</v>
      </c>
      <c r="U91" s="582">
        <v>1</v>
      </c>
      <c r="V91" s="582">
        <v>1</v>
      </c>
      <c r="W91" s="582">
        <v>1</v>
      </c>
      <c r="X91" s="582">
        <v>1</v>
      </c>
      <c r="Y91" s="583"/>
      <c r="Z91" s="583"/>
      <c r="AA91" s="582">
        <v>1</v>
      </c>
      <c r="AB91" s="582">
        <v>1</v>
      </c>
      <c r="AC91" s="582">
        <v>1</v>
      </c>
      <c r="AD91" s="582">
        <v>1</v>
      </c>
      <c r="AE91" s="582">
        <v>1</v>
      </c>
      <c r="AF91" s="583"/>
      <c r="AG91" s="583"/>
      <c r="AH91" s="582">
        <v>1</v>
      </c>
      <c r="AI91" s="582">
        <v>1</v>
      </c>
      <c r="AJ91" s="579">
        <f t="shared" si="12"/>
        <v>22</v>
      </c>
      <c r="AK91" s="580">
        <f t="shared" si="3"/>
        <v>1</v>
      </c>
      <c r="AL91" s="584">
        <v>8300</v>
      </c>
      <c r="AM91" s="765">
        <f t="shared" si="13"/>
        <v>8300</v>
      </c>
      <c r="AN91" s="943"/>
    </row>
    <row r="92" spans="1:40" s="754" customFormat="1" ht="15" customHeight="1">
      <c r="A92" s="755" t="s">
        <v>438</v>
      </c>
      <c r="B92" s="762" t="s">
        <v>436</v>
      </c>
      <c r="C92" s="762" t="s">
        <v>439</v>
      </c>
      <c r="D92" s="581"/>
      <c r="E92" s="583"/>
      <c r="F92" s="582">
        <v>1</v>
      </c>
      <c r="G92" s="582">
        <v>1</v>
      </c>
      <c r="H92" s="582">
        <v>1</v>
      </c>
      <c r="I92" s="582">
        <v>1</v>
      </c>
      <c r="J92" s="582">
        <v>1</v>
      </c>
      <c r="K92" s="583"/>
      <c r="L92" s="583"/>
      <c r="M92" s="582">
        <v>1</v>
      </c>
      <c r="N92" s="582">
        <v>1</v>
      </c>
      <c r="O92" s="582">
        <v>1</v>
      </c>
      <c r="P92" s="582">
        <v>1</v>
      </c>
      <c r="Q92" s="582">
        <v>1</v>
      </c>
      <c r="R92" s="583"/>
      <c r="S92" s="583"/>
      <c r="T92" s="582">
        <v>1</v>
      </c>
      <c r="U92" s="582">
        <v>1</v>
      </c>
      <c r="V92" s="582">
        <v>1</v>
      </c>
      <c r="W92" s="582">
        <v>1</v>
      </c>
      <c r="X92" s="582">
        <v>1</v>
      </c>
      <c r="Y92" s="583"/>
      <c r="Z92" s="583"/>
      <c r="AA92" s="582">
        <v>1</v>
      </c>
      <c r="AB92" s="582">
        <v>1</v>
      </c>
      <c r="AC92" s="582">
        <v>1</v>
      </c>
      <c r="AD92" s="582">
        <v>1</v>
      </c>
      <c r="AE92" s="582">
        <v>1</v>
      </c>
      <c r="AF92" s="583"/>
      <c r="AG92" s="583"/>
      <c r="AH92" s="582">
        <v>1</v>
      </c>
      <c r="AI92" s="582">
        <v>1</v>
      </c>
      <c r="AJ92" s="579">
        <f t="shared" si="12"/>
        <v>22</v>
      </c>
      <c r="AK92" s="580">
        <f t="shared" si="3"/>
        <v>1</v>
      </c>
      <c r="AL92" s="584">
        <v>8300</v>
      </c>
      <c r="AM92" s="765">
        <f t="shared" si="13"/>
        <v>8300</v>
      </c>
      <c r="AN92" s="943"/>
    </row>
    <row r="93" spans="1:40" s="754" customFormat="1" ht="15" customHeight="1">
      <c r="A93" s="755">
        <v>21</v>
      </c>
      <c r="B93" s="762" t="s">
        <v>440</v>
      </c>
      <c r="C93" s="762" t="s">
        <v>441</v>
      </c>
      <c r="D93" s="581">
        <v>0</v>
      </c>
      <c r="E93" s="583"/>
      <c r="F93" s="582">
        <v>1</v>
      </c>
      <c r="G93" s="582">
        <v>1</v>
      </c>
      <c r="H93" s="582">
        <v>1</v>
      </c>
      <c r="I93" s="582">
        <v>1</v>
      </c>
      <c r="J93" s="582">
        <v>1</v>
      </c>
      <c r="K93" s="583"/>
      <c r="L93" s="583"/>
      <c r="M93" s="582">
        <v>1</v>
      </c>
      <c r="N93" s="582">
        <v>1</v>
      </c>
      <c r="O93" s="582">
        <v>1</v>
      </c>
      <c r="P93" s="582">
        <v>1</v>
      </c>
      <c r="Q93" s="582">
        <v>1</v>
      </c>
      <c r="R93" s="583"/>
      <c r="S93" s="583"/>
      <c r="T93" s="582">
        <v>1</v>
      </c>
      <c r="U93" s="582">
        <v>1</v>
      </c>
      <c r="V93" s="582">
        <v>1</v>
      </c>
      <c r="W93" s="582">
        <v>1</v>
      </c>
      <c r="X93" s="582">
        <v>1</v>
      </c>
      <c r="Y93" s="583"/>
      <c r="Z93" s="583"/>
      <c r="AA93" s="582">
        <v>1</v>
      </c>
      <c r="AB93" s="582">
        <v>1</v>
      </c>
      <c r="AC93" s="582">
        <v>1</v>
      </c>
      <c r="AD93" s="582">
        <v>1</v>
      </c>
      <c r="AE93" s="582">
        <v>1</v>
      </c>
      <c r="AF93" s="583"/>
      <c r="AG93" s="583"/>
      <c r="AH93" s="582">
        <v>1</v>
      </c>
      <c r="AI93" s="582">
        <v>1</v>
      </c>
      <c r="AJ93" s="579">
        <f t="shared" si="12"/>
        <v>22</v>
      </c>
      <c r="AK93" s="580">
        <f>+AJ93/AJ$3</f>
        <v>1</v>
      </c>
      <c r="AL93" s="584">
        <v>54200</v>
      </c>
      <c r="AM93" s="765">
        <f t="shared" si="13"/>
        <v>54200</v>
      </c>
      <c r="AN93" s="943"/>
    </row>
    <row r="94" spans="1:40" s="754" customFormat="1" ht="15" customHeight="1">
      <c r="A94" s="755">
        <v>22</v>
      </c>
      <c r="B94" s="762" t="s">
        <v>442</v>
      </c>
      <c r="C94" s="762" t="s">
        <v>443</v>
      </c>
      <c r="D94" s="581">
        <v>2</v>
      </c>
      <c r="E94" s="583"/>
      <c r="F94" s="582">
        <v>1</v>
      </c>
      <c r="G94" s="582">
        <v>1</v>
      </c>
      <c r="H94" s="582">
        <v>1</v>
      </c>
      <c r="I94" s="582">
        <v>1</v>
      </c>
      <c r="J94" s="582">
        <v>1</v>
      </c>
      <c r="K94" s="583"/>
      <c r="L94" s="583"/>
      <c r="M94" s="582">
        <v>1</v>
      </c>
      <c r="N94" s="582">
        <v>1</v>
      </c>
      <c r="O94" s="582">
        <v>1</v>
      </c>
      <c r="P94" s="582">
        <v>1</v>
      </c>
      <c r="Q94" s="582">
        <v>1</v>
      </c>
      <c r="R94" s="583"/>
      <c r="S94" s="583"/>
      <c r="T94" s="582">
        <v>1</v>
      </c>
      <c r="U94" s="582">
        <v>1</v>
      </c>
      <c r="V94" s="582">
        <v>1</v>
      </c>
      <c r="W94" s="582">
        <v>1</v>
      </c>
      <c r="X94" s="582">
        <v>1</v>
      </c>
      <c r="Y94" s="583"/>
      <c r="Z94" s="583"/>
      <c r="AA94" s="582">
        <v>1</v>
      </c>
      <c r="AB94" s="582">
        <v>1</v>
      </c>
      <c r="AC94" s="582">
        <v>1</v>
      </c>
      <c r="AD94" s="582">
        <v>1</v>
      </c>
      <c r="AE94" s="582">
        <v>1</v>
      </c>
      <c r="AF94" s="583"/>
      <c r="AG94" s="583"/>
      <c r="AH94" s="582">
        <v>1</v>
      </c>
      <c r="AI94" s="582">
        <v>1</v>
      </c>
      <c r="AJ94" s="579">
        <f t="shared" si="12"/>
        <v>22</v>
      </c>
      <c r="AK94" s="580">
        <f>+AJ94/AJ$3</f>
        <v>1</v>
      </c>
      <c r="AL94" s="584">
        <v>17500</v>
      </c>
      <c r="AM94" s="765">
        <f t="shared" si="13"/>
        <v>17500</v>
      </c>
      <c r="AN94" s="943"/>
    </row>
    <row r="95" spans="1:40" s="754" customFormat="1" ht="15" customHeight="1">
      <c r="A95" s="755" t="s">
        <v>444</v>
      </c>
      <c r="B95" s="762" t="s">
        <v>442</v>
      </c>
      <c r="C95" s="762" t="s">
        <v>445</v>
      </c>
      <c r="D95" s="581"/>
      <c r="E95" s="583"/>
      <c r="F95" s="582">
        <v>1</v>
      </c>
      <c r="G95" s="582">
        <v>1</v>
      </c>
      <c r="H95" s="582">
        <v>1</v>
      </c>
      <c r="I95" s="582">
        <v>1</v>
      </c>
      <c r="J95" s="582">
        <v>1</v>
      </c>
      <c r="K95" s="583"/>
      <c r="L95" s="583"/>
      <c r="M95" s="582">
        <v>1</v>
      </c>
      <c r="N95" s="582">
        <v>1</v>
      </c>
      <c r="O95" s="582">
        <v>1</v>
      </c>
      <c r="P95" s="582">
        <v>1</v>
      </c>
      <c r="Q95" s="582">
        <v>1</v>
      </c>
      <c r="R95" s="583"/>
      <c r="S95" s="583"/>
      <c r="T95" s="582">
        <v>1</v>
      </c>
      <c r="U95" s="582">
        <v>1</v>
      </c>
      <c r="V95" s="582">
        <v>1</v>
      </c>
      <c r="W95" s="582">
        <v>1</v>
      </c>
      <c r="X95" s="582">
        <v>1</v>
      </c>
      <c r="Y95" s="583"/>
      <c r="Z95" s="583"/>
      <c r="AA95" s="582">
        <v>1</v>
      </c>
      <c r="AB95" s="582">
        <v>1</v>
      </c>
      <c r="AC95" s="582">
        <v>1</v>
      </c>
      <c r="AD95" s="582">
        <v>1</v>
      </c>
      <c r="AE95" s="582">
        <v>1</v>
      </c>
      <c r="AF95" s="583"/>
      <c r="AG95" s="583"/>
      <c r="AH95" s="582">
        <v>1</v>
      </c>
      <c r="AI95" s="582">
        <v>1</v>
      </c>
      <c r="AJ95" s="579">
        <f t="shared" si="12"/>
        <v>22</v>
      </c>
      <c r="AK95" s="580">
        <f>+AJ95/AJ$3</f>
        <v>1</v>
      </c>
      <c r="AL95" s="584">
        <v>17500</v>
      </c>
      <c r="AM95" s="765">
        <f>+AL95*AK95</f>
        <v>17500</v>
      </c>
      <c r="AN95" s="943"/>
    </row>
    <row r="96" spans="1:40" s="754" customFormat="1" ht="15" customHeight="1">
      <c r="A96" s="755" t="s">
        <v>446</v>
      </c>
      <c r="B96" s="762" t="s">
        <v>442</v>
      </c>
      <c r="C96" s="762" t="s">
        <v>447</v>
      </c>
      <c r="D96" s="581"/>
      <c r="E96" s="583"/>
      <c r="F96" s="582">
        <v>1</v>
      </c>
      <c r="G96" s="582">
        <v>1</v>
      </c>
      <c r="H96" s="582">
        <v>1</v>
      </c>
      <c r="I96" s="582">
        <v>1</v>
      </c>
      <c r="J96" s="582">
        <v>1</v>
      </c>
      <c r="K96" s="583"/>
      <c r="L96" s="583"/>
      <c r="M96" s="582">
        <v>1</v>
      </c>
      <c r="N96" s="582">
        <v>1</v>
      </c>
      <c r="O96" s="582">
        <v>1</v>
      </c>
      <c r="P96" s="582">
        <v>1</v>
      </c>
      <c r="Q96" s="582">
        <v>1</v>
      </c>
      <c r="R96" s="583"/>
      <c r="S96" s="583"/>
      <c r="T96" s="582">
        <v>1</v>
      </c>
      <c r="U96" s="582">
        <v>1</v>
      </c>
      <c r="V96" s="582">
        <v>1</v>
      </c>
      <c r="W96" s="582">
        <v>1</v>
      </c>
      <c r="X96" s="582">
        <v>1</v>
      </c>
      <c r="Y96" s="583"/>
      <c r="Z96" s="583"/>
      <c r="AA96" s="582">
        <v>1</v>
      </c>
      <c r="AB96" s="582">
        <v>1</v>
      </c>
      <c r="AC96" s="582">
        <v>1</v>
      </c>
      <c r="AD96" s="582">
        <v>1</v>
      </c>
      <c r="AE96" s="582">
        <v>1</v>
      </c>
      <c r="AF96" s="583"/>
      <c r="AG96" s="583"/>
      <c r="AH96" s="582">
        <v>1</v>
      </c>
      <c r="AI96" s="582">
        <v>1</v>
      </c>
      <c r="AJ96" s="579">
        <f t="shared" si="12"/>
        <v>22</v>
      </c>
      <c r="AK96" s="580">
        <f t="shared" ref="AK96" si="14">+AJ96/AJ$3</f>
        <v>1</v>
      </c>
      <c r="AL96" s="584">
        <v>17500</v>
      </c>
      <c r="AM96" s="765">
        <f t="shared" ref="AM96" si="15">+AL96*AK96</f>
        <v>17500</v>
      </c>
      <c r="AN96" s="943"/>
    </row>
    <row r="97" spans="1:40" s="754" customFormat="1" ht="15" customHeight="1">
      <c r="A97" s="755">
        <v>23</v>
      </c>
      <c r="B97" s="762" t="s">
        <v>448</v>
      </c>
      <c r="C97" s="762" t="s">
        <v>449</v>
      </c>
      <c r="D97" s="581">
        <v>0.2</v>
      </c>
      <c r="E97" s="583"/>
      <c r="F97" s="582"/>
      <c r="G97" s="582"/>
      <c r="H97" s="582"/>
      <c r="I97" s="582"/>
      <c r="J97" s="582"/>
      <c r="K97" s="583"/>
      <c r="L97" s="583"/>
      <c r="M97" s="582"/>
      <c r="N97" s="582"/>
      <c r="O97" s="582"/>
      <c r="P97" s="582"/>
      <c r="Q97" s="582"/>
      <c r="R97" s="583"/>
      <c r="S97" s="583"/>
      <c r="T97" s="582"/>
      <c r="U97" s="582"/>
      <c r="V97" s="582"/>
      <c r="W97" s="582"/>
      <c r="X97" s="582"/>
      <c r="Y97" s="583"/>
      <c r="Z97" s="583"/>
      <c r="AA97" s="582"/>
      <c r="AB97" s="582"/>
      <c r="AC97" s="582"/>
      <c r="AD97" s="582"/>
      <c r="AE97" s="582"/>
      <c r="AF97" s="583"/>
      <c r="AG97" s="583"/>
      <c r="AH97" s="582"/>
      <c r="AI97" s="582"/>
      <c r="AJ97" s="579">
        <f t="shared" si="12"/>
        <v>0</v>
      </c>
      <c r="AK97" s="580">
        <f t="shared" si="3"/>
        <v>0</v>
      </c>
      <c r="AL97" s="584">
        <v>63700</v>
      </c>
      <c r="AM97" s="765">
        <f t="shared" si="13"/>
        <v>0</v>
      </c>
      <c r="AN97" s="943"/>
    </row>
    <row r="98" spans="1:40" s="754" customFormat="1" ht="15" customHeight="1">
      <c r="A98" s="755">
        <v>24</v>
      </c>
      <c r="B98" s="762" t="s">
        <v>450</v>
      </c>
      <c r="C98" s="762" t="s">
        <v>451</v>
      </c>
      <c r="D98" s="581">
        <v>1</v>
      </c>
      <c r="E98" s="583"/>
      <c r="F98" s="582">
        <v>1</v>
      </c>
      <c r="G98" s="582">
        <v>1</v>
      </c>
      <c r="H98" s="582">
        <v>1</v>
      </c>
      <c r="I98" s="582">
        <v>1</v>
      </c>
      <c r="J98" s="582">
        <v>1</v>
      </c>
      <c r="K98" s="583"/>
      <c r="L98" s="583"/>
      <c r="M98" s="582">
        <v>1</v>
      </c>
      <c r="N98" s="582">
        <v>1</v>
      </c>
      <c r="O98" s="582">
        <v>1</v>
      </c>
      <c r="P98" s="582">
        <v>1</v>
      </c>
      <c r="Q98" s="582">
        <v>1</v>
      </c>
      <c r="R98" s="583"/>
      <c r="S98" s="583"/>
      <c r="T98" s="582">
        <v>1</v>
      </c>
      <c r="U98" s="582">
        <v>1</v>
      </c>
      <c r="V98" s="582">
        <v>1</v>
      </c>
      <c r="W98" s="582">
        <v>1</v>
      </c>
      <c r="X98" s="582">
        <v>1</v>
      </c>
      <c r="Y98" s="583"/>
      <c r="Z98" s="583"/>
      <c r="AA98" s="582">
        <v>1</v>
      </c>
      <c r="AB98" s="582">
        <v>1</v>
      </c>
      <c r="AC98" s="582">
        <v>1</v>
      </c>
      <c r="AD98" s="582">
        <v>1</v>
      </c>
      <c r="AE98" s="582">
        <v>1</v>
      </c>
      <c r="AF98" s="583"/>
      <c r="AG98" s="583"/>
      <c r="AH98" s="582">
        <v>1</v>
      </c>
      <c r="AI98" s="582">
        <v>1</v>
      </c>
      <c r="AJ98" s="579">
        <f t="shared" si="12"/>
        <v>22</v>
      </c>
      <c r="AK98" s="580">
        <f t="shared" si="3"/>
        <v>1</v>
      </c>
      <c r="AL98" s="584">
        <v>23900</v>
      </c>
      <c r="AM98" s="765">
        <f t="shared" si="13"/>
        <v>23900</v>
      </c>
      <c r="AN98" s="943"/>
    </row>
    <row r="99" spans="1:40" s="754" customFormat="1" ht="15" customHeight="1">
      <c r="A99" s="755" t="s">
        <v>452</v>
      </c>
      <c r="B99" s="762" t="s">
        <v>450</v>
      </c>
      <c r="C99" s="762" t="s">
        <v>852</v>
      </c>
      <c r="D99" s="581"/>
      <c r="E99" s="583"/>
      <c r="F99" s="582"/>
      <c r="G99" s="582"/>
      <c r="H99" s="582"/>
      <c r="I99" s="582"/>
      <c r="J99" s="582"/>
      <c r="K99" s="583"/>
      <c r="L99" s="583"/>
      <c r="M99" s="582"/>
      <c r="N99" s="582"/>
      <c r="O99" s="582"/>
      <c r="P99" s="582"/>
      <c r="Q99" s="582"/>
      <c r="R99" s="583"/>
      <c r="S99" s="583"/>
      <c r="T99" s="582"/>
      <c r="U99" s="582"/>
      <c r="V99" s="582"/>
      <c r="W99" s="582"/>
      <c r="X99" s="582"/>
      <c r="Y99" s="583"/>
      <c r="Z99" s="583"/>
      <c r="AA99" s="582"/>
      <c r="AB99" s="582"/>
      <c r="AC99" s="582"/>
      <c r="AD99" s="582"/>
      <c r="AE99" s="582"/>
      <c r="AF99" s="583"/>
      <c r="AG99" s="583"/>
      <c r="AH99" s="582"/>
      <c r="AI99" s="582"/>
      <c r="AJ99" s="579">
        <f t="shared" si="12"/>
        <v>0</v>
      </c>
      <c r="AK99" s="580">
        <f t="shared" si="3"/>
        <v>0</v>
      </c>
      <c r="AL99" s="584">
        <v>23900</v>
      </c>
      <c r="AM99" s="765">
        <f t="shared" si="13"/>
        <v>0</v>
      </c>
      <c r="AN99" s="943"/>
    </row>
    <row r="100" spans="1:40" s="754" customFormat="1" ht="15" customHeight="1">
      <c r="A100" s="755">
        <v>25</v>
      </c>
      <c r="B100" s="762" t="s">
        <v>453</v>
      </c>
      <c r="C100" s="762" t="s">
        <v>454</v>
      </c>
      <c r="D100" s="581">
        <v>3</v>
      </c>
      <c r="E100" s="583"/>
      <c r="F100" s="582">
        <v>1</v>
      </c>
      <c r="G100" s="582">
        <v>1</v>
      </c>
      <c r="H100" s="582">
        <v>1</v>
      </c>
      <c r="I100" s="582">
        <v>1</v>
      </c>
      <c r="J100" s="582">
        <v>1</v>
      </c>
      <c r="K100" s="583"/>
      <c r="L100" s="583"/>
      <c r="M100" s="582">
        <v>1</v>
      </c>
      <c r="N100" s="582">
        <v>1</v>
      </c>
      <c r="O100" s="582">
        <v>1</v>
      </c>
      <c r="P100" s="582">
        <v>1</v>
      </c>
      <c r="Q100" s="582">
        <v>1</v>
      </c>
      <c r="R100" s="583"/>
      <c r="S100" s="583"/>
      <c r="T100" s="582">
        <v>1</v>
      </c>
      <c r="U100" s="582">
        <v>1</v>
      </c>
      <c r="V100" s="582">
        <v>1</v>
      </c>
      <c r="W100" s="582">
        <v>1</v>
      </c>
      <c r="X100" s="582">
        <v>1</v>
      </c>
      <c r="Y100" s="583"/>
      <c r="Z100" s="583"/>
      <c r="AA100" s="582">
        <v>1</v>
      </c>
      <c r="AB100" s="582">
        <v>1</v>
      </c>
      <c r="AC100" s="582">
        <v>1</v>
      </c>
      <c r="AD100" s="582">
        <v>1</v>
      </c>
      <c r="AE100" s="582">
        <v>1</v>
      </c>
      <c r="AF100" s="583"/>
      <c r="AG100" s="583"/>
      <c r="AH100" s="582">
        <v>1</v>
      </c>
      <c r="AI100" s="582">
        <v>1</v>
      </c>
      <c r="AJ100" s="579">
        <f t="shared" si="12"/>
        <v>22</v>
      </c>
      <c r="AK100" s="580">
        <f t="shared" si="3"/>
        <v>1</v>
      </c>
      <c r="AL100" s="584">
        <v>11000</v>
      </c>
      <c r="AM100" s="765">
        <f t="shared" si="13"/>
        <v>11000</v>
      </c>
      <c r="AN100" s="943"/>
    </row>
    <row r="101" spans="1:40" s="754" customFormat="1" ht="15" customHeight="1">
      <c r="A101" s="755" t="s">
        <v>455</v>
      </c>
      <c r="B101" s="762" t="s">
        <v>953</v>
      </c>
      <c r="C101" s="762" t="s">
        <v>954</v>
      </c>
      <c r="D101" s="581"/>
      <c r="E101" s="583"/>
      <c r="F101" s="582"/>
      <c r="G101" s="582"/>
      <c r="H101" s="582"/>
      <c r="I101" s="582"/>
      <c r="J101" s="582"/>
      <c r="K101" s="583"/>
      <c r="L101" s="583"/>
      <c r="M101" s="582"/>
      <c r="N101" s="582"/>
      <c r="O101" s="582"/>
      <c r="P101" s="582"/>
      <c r="Q101" s="582">
        <v>1</v>
      </c>
      <c r="R101" s="583"/>
      <c r="S101" s="583"/>
      <c r="T101" s="582"/>
      <c r="U101" s="582"/>
      <c r="V101" s="582"/>
      <c r="W101" s="582"/>
      <c r="X101" s="582"/>
      <c r="Y101" s="583"/>
      <c r="Z101" s="583"/>
      <c r="AA101" s="582"/>
      <c r="AB101" s="582"/>
      <c r="AC101" s="582"/>
      <c r="AD101" s="582"/>
      <c r="AE101" s="582"/>
      <c r="AF101" s="583"/>
      <c r="AG101" s="583"/>
      <c r="AH101" s="582"/>
      <c r="AI101" s="582"/>
      <c r="AJ101" s="579">
        <f t="shared" si="12"/>
        <v>1</v>
      </c>
      <c r="AK101" s="580">
        <f t="shared" si="3"/>
        <v>4.5454545454545456E-2</v>
      </c>
      <c r="AL101" s="584">
        <v>11000</v>
      </c>
      <c r="AM101" s="765">
        <f t="shared" si="13"/>
        <v>500</v>
      </c>
      <c r="AN101" s="943"/>
    </row>
    <row r="102" spans="1:40" s="754" customFormat="1" ht="15" customHeight="1">
      <c r="A102" s="755" t="s">
        <v>457</v>
      </c>
      <c r="B102" s="762" t="s">
        <v>453</v>
      </c>
      <c r="C102" s="762" t="s">
        <v>456</v>
      </c>
      <c r="D102" s="581"/>
      <c r="E102" s="583"/>
      <c r="F102" s="582">
        <v>1</v>
      </c>
      <c r="G102" s="582">
        <v>1</v>
      </c>
      <c r="H102" s="582">
        <v>1</v>
      </c>
      <c r="I102" s="582">
        <v>1</v>
      </c>
      <c r="J102" s="582">
        <v>1</v>
      </c>
      <c r="K102" s="583"/>
      <c r="L102" s="583"/>
      <c r="M102" s="582">
        <v>1</v>
      </c>
      <c r="N102" s="582">
        <v>1</v>
      </c>
      <c r="O102" s="582">
        <v>1</v>
      </c>
      <c r="P102" s="582">
        <v>1</v>
      </c>
      <c r="Q102" s="582">
        <v>1</v>
      </c>
      <c r="R102" s="583"/>
      <c r="S102" s="583"/>
      <c r="T102" s="582">
        <v>1</v>
      </c>
      <c r="U102" s="582">
        <v>1</v>
      </c>
      <c r="V102" s="582">
        <v>1</v>
      </c>
      <c r="W102" s="582">
        <v>1</v>
      </c>
      <c r="X102" s="582">
        <v>1</v>
      </c>
      <c r="Y102" s="583"/>
      <c r="Z102" s="583"/>
      <c r="AA102" s="582">
        <v>1</v>
      </c>
      <c r="AB102" s="582">
        <v>1</v>
      </c>
      <c r="AC102" s="582">
        <v>1</v>
      </c>
      <c r="AD102" s="582">
        <v>1</v>
      </c>
      <c r="AE102" s="582">
        <v>1</v>
      </c>
      <c r="AF102" s="583"/>
      <c r="AG102" s="583"/>
      <c r="AH102" s="582">
        <v>1</v>
      </c>
      <c r="AI102" s="582">
        <v>1</v>
      </c>
      <c r="AJ102" s="579">
        <f t="shared" si="12"/>
        <v>22</v>
      </c>
      <c r="AK102" s="580">
        <f t="shared" si="3"/>
        <v>1</v>
      </c>
      <c r="AL102" s="584">
        <v>11000</v>
      </c>
      <c r="AM102" s="765">
        <f>+AL102*AK102</f>
        <v>11000</v>
      </c>
      <c r="AN102" s="943"/>
    </row>
    <row r="103" spans="1:40" s="754" customFormat="1" ht="15" customHeight="1">
      <c r="A103" s="755" t="s">
        <v>955</v>
      </c>
      <c r="B103" s="762" t="s">
        <v>453</v>
      </c>
      <c r="C103" s="762" t="s">
        <v>458</v>
      </c>
      <c r="D103" s="581"/>
      <c r="E103" s="583"/>
      <c r="F103" s="582">
        <v>1</v>
      </c>
      <c r="G103" s="582">
        <v>1</v>
      </c>
      <c r="H103" s="582">
        <v>1</v>
      </c>
      <c r="I103" s="582">
        <v>1</v>
      </c>
      <c r="J103" s="582">
        <v>1</v>
      </c>
      <c r="K103" s="583"/>
      <c r="L103" s="583"/>
      <c r="M103" s="582">
        <v>1</v>
      </c>
      <c r="N103" s="582">
        <v>1</v>
      </c>
      <c r="O103" s="582">
        <v>1</v>
      </c>
      <c r="P103" s="582">
        <v>1</v>
      </c>
      <c r="Q103" s="582">
        <v>1</v>
      </c>
      <c r="R103" s="583"/>
      <c r="S103" s="583"/>
      <c r="T103" s="582">
        <v>1</v>
      </c>
      <c r="U103" s="582">
        <v>1</v>
      </c>
      <c r="V103" s="582">
        <v>1</v>
      </c>
      <c r="W103" s="582">
        <v>1</v>
      </c>
      <c r="X103" s="582">
        <v>1</v>
      </c>
      <c r="Y103" s="583"/>
      <c r="Z103" s="583"/>
      <c r="AA103" s="582">
        <v>1</v>
      </c>
      <c r="AB103" s="582">
        <v>1</v>
      </c>
      <c r="AC103" s="582">
        <v>1</v>
      </c>
      <c r="AD103" s="582">
        <v>1</v>
      </c>
      <c r="AE103" s="582">
        <v>1</v>
      </c>
      <c r="AF103" s="583"/>
      <c r="AG103" s="583"/>
      <c r="AH103" s="582">
        <v>1</v>
      </c>
      <c r="AI103" s="582">
        <v>1</v>
      </c>
      <c r="AJ103" s="579">
        <f t="shared" si="12"/>
        <v>22</v>
      </c>
      <c r="AK103" s="580">
        <f t="shared" si="3"/>
        <v>1</v>
      </c>
      <c r="AL103" s="584">
        <v>11000</v>
      </c>
      <c r="AM103" s="765">
        <f t="shared" ref="AM103:AM112" si="16">+AL103*AK103</f>
        <v>11000</v>
      </c>
      <c r="AN103" s="943"/>
    </row>
    <row r="104" spans="1:40" s="754" customFormat="1" ht="15" customHeight="1">
      <c r="A104" s="755"/>
      <c r="B104" s="756" t="s">
        <v>459</v>
      </c>
      <c r="C104" s="757"/>
      <c r="D104" s="581"/>
      <c r="E104" s="583"/>
      <c r="F104" s="582"/>
      <c r="G104" s="582"/>
      <c r="H104" s="582"/>
      <c r="I104" s="582"/>
      <c r="J104" s="582"/>
      <c r="K104" s="583"/>
      <c r="L104" s="583"/>
      <c r="M104" s="582"/>
      <c r="N104" s="582"/>
      <c r="O104" s="582"/>
      <c r="P104" s="582"/>
      <c r="Q104" s="582"/>
      <c r="R104" s="583"/>
      <c r="S104" s="583"/>
      <c r="T104" s="582"/>
      <c r="U104" s="582"/>
      <c r="V104" s="582"/>
      <c r="W104" s="582"/>
      <c r="X104" s="582"/>
      <c r="Y104" s="583"/>
      <c r="Z104" s="583"/>
      <c r="AA104" s="582"/>
      <c r="AB104" s="582"/>
      <c r="AC104" s="582"/>
      <c r="AD104" s="582"/>
      <c r="AE104" s="582"/>
      <c r="AF104" s="583"/>
      <c r="AG104" s="583"/>
      <c r="AH104" s="582"/>
      <c r="AI104" s="582"/>
      <c r="AJ104" s="579"/>
      <c r="AK104" s="580"/>
      <c r="AL104" s="584"/>
      <c r="AM104" s="765">
        <f t="shared" si="16"/>
        <v>0</v>
      </c>
      <c r="AN104" s="943"/>
    </row>
    <row r="105" spans="1:40" s="754" customFormat="1" ht="15" customHeight="1">
      <c r="A105" s="755">
        <v>49</v>
      </c>
      <c r="B105" s="762" t="s">
        <v>460</v>
      </c>
      <c r="C105" s="762"/>
      <c r="D105" s="581">
        <v>1</v>
      </c>
      <c r="E105" s="583"/>
      <c r="F105" s="582">
        <v>1</v>
      </c>
      <c r="G105" s="582">
        <v>1</v>
      </c>
      <c r="H105" s="582">
        <v>1</v>
      </c>
      <c r="I105" s="582">
        <v>1</v>
      </c>
      <c r="J105" s="582">
        <v>1</v>
      </c>
      <c r="K105" s="583"/>
      <c r="L105" s="583"/>
      <c r="M105" s="582">
        <v>1</v>
      </c>
      <c r="N105" s="582">
        <v>1</v>
      </c>
      <c r="O105" s="582">
        <v>1</v>
      </c>
      <c r="P105" s="582">
        <v>1</v>
      </c>
      <c r="Q105" s="582">
        <v>1</v>
      </c>
      <c r="R105" s="583"/>
      <c r="S105" s="583"/>
      <c r="T105" s="582">
        <v>1</v>
      </c>
      <c r="U105" s="582">
        <v>1</v>
      </c>
      <c r="V105" s="582">
        <v>1</v>
      </c>
      <c r="W105" s="582">
        <v>1</v>
      </c>
      <c r="X105" s="582">
        <v>1</v>
      </c>
      <c r="Y105" s="583"/>
      <c r="Z105" s="583"/>
      <c r="AA105" s="582">
        <v>1</v>
      </c>
      <c r="AB105" s="582">
        <v>1</v>
      </c>
      <c r="AC105" s="582">
        <v>1</v>
      </c>
      <c r="AD105" s="582">
        <v>1</v>
      </c>
      <c r="AE105" s="582">
        <v>1</v>
      </c>
      <c r="AF105" s="583"/>
      <c r="AG105" s="583"/>
      <c r="AH105" s="582">
        <v>1</v>
      </c>
      <c r="AI105" s="582">
        <v>1</v>
      </c>
      <c r="AJ105" s="579">
        <f t="shared" si="12"/>
        <v>22</v>
      </c>
      <c r="AK105" s="580">
        <f t="shared" si="3"/>
        <v>1</v>
      </c>
      <c r="AL105" s="584">
        <v>14000</v>
      </c>
      <c r="AM105" s="765">
        <f t="shared" si="16"/>
        <v>14000</v>
      </c>
      <c r="AN105" s="943"/>
    </row>
    <row r="106" spans="1:40" s="754" customFormat="1" ht="15" customHeight="1">
      <c r="A106" s="755">
        <v>50</v>
      </c>
      <c r="B106" s="762" t="s">
        <v>461</v>
      </c>
      <c r="C106" s="762" t="s">
        <v>462</v>
      </c>
      <c r="D106" s="581">
        <v>1</v>
      </c>
      <c r="E106" s="583"/>
      <c r="F106" s="582">
        <v>1</v>
      </c>
      <c r="G106" s="582">
        <v>1</v>
      </c>
      <c r="H106" s="582">
        <v>1</v>
      </c>
      <c r="I106" s="582">
        <v>1</v>
      </c>
      <c r="J106" s="582">
        <v>1</v>
      </c>
      <c r="K106" s="583"/>
      <c r="L106" s="583"/>
      <c r="M106" s="582">
        <v>1</v>
      </c>
      <c r="N106" s="582">
        <v>1</v>
      </c>
      <c r="O106" s="582">
        <v>1</v>
      </c>
      <c r="P106" s="582">
        <v>1</v>
      </c>
      <c r="Q106" s="582">
        <v>1</v>
      </c>
      <c r="R106" s="583"/>
      <c r="S106" s="583"/>
      <c r="T106" s="582">
        <v>1</v>
      </c>
      <c r="U106" s="582">
        <v>1</v>
      </c>
      <c r="V106" s="582">
        <v>1</v>
      </c>
      <c r="W106" s="582">
        <v>1</v>
      </c>
      <c r="X106" s="582">
        <v>1</v>
      </c>
      <c r="Y106" s="583"/>
      <c r="Z106" s="583"/>
      <c r="AA106" s="582">
        <v>1</v>
      </c>
      <c r="AB106" s="582">
        <v>1</v>
      </c>
      <c r="AC106" s="582">
        <v>1</v>
      </c>
      <c r="AD106" s="582">
        <v>1</v>
      </c>
      <c r="AE106" s="582">
        <v>1</v>
      </c>
      <c r="AF106" s="583"/>
      <c r="AG106" s="583"/>
      <c r="AH106" s="582">
        <v>1</v>
      </c>
      <c r="AI106" s="582">
        <v>1</v>
      </c>
      <c r="AJ106" s="579">
        <f t="shared" si="12"/>
        <v>22</v>
      </c>
      <c r="AK106" s="580">
        <f t="shared" si="3"/>
        <v>1</v>
      </c>
      <c r="AL106" s="584">
        <v>7000</v>
      </c>
      <c r="AM106" s="765">
        <f t="shared" si="16"/>
        <v>7000</v>
      </c>
      <c r="AN106" s="943"/>
    </row>
    <row r="107" spans="1:40" s="754" customFormat="1" ht="15" customHeight="1">
      <c r="A107" s="755" t="s">
        <v>463</v>
      </c>
      <c r="B107" s="762" t="s">
        <v>461</v>
      </c>
      <c r="C107" s="762" t="s">
        <v>464</v>
      </c>
      <c r="D107" s="581"/>
      <c r="E107" s="583"/>
      <c r="F107" s="582"/>
      <c r="G107" s="582"/>
      <c r="H107" s="582"/>
      <c r="I107" s="582"/>
      <c r="J107" s="582"/>
      <c r="K107" s="583"/>
      <c r="L107" s="583"/>
      <c r="M107" s="582"/>
      <c r="N107" s="582"/>
      <c r="O107" s="582"/>
      <c r="P107" s="582"/>
      <c r="Q107" s="582"/>
      <c r="R107" s="583"/>
      <c r="S107" s="583"/>
      <c r="T107" s="582"/>
      <c r="U107" s="582"/>
      <c r="V107" s="582"/>
      <c r="W107" s="582"/>
      <c r="X107" s="582"/>
      <c r="Y107" s="583"/>
      <c r="Z107" s="583"/>
      <c r="AA107" s="582"/>
      <c r="AB107" s="582"/>
      <c r="AC107" s="582"/>
      <c r="AD107" s="582"/>
      <c r="AE107" s="582"/>
      <c r="AF107" s="583"/>
      <c r="AG107" s="583"/>
      <c r="AH107" s="582"/>
      <c r="AI107" s="582"/>
      <c r="AJ107" s="579">
        <f t="shared" si="12"/>
        <v>0</v>
      </c>
      <c r="AK107" s="580">
        <f>+AJ107/AJ$3</f>
        <v>0</v>
      </c>
      <c r="AL107" s="584">
        <v>7000</v>
      </c>
      <c r="AM107" s="765">
        <f>+AL107*AK107</f>
        <v>0</v>
      </c>
      <c r="AN107" s="943"/>
    </row>
    <row r="108" spans="1:40" s="754" customFormat="1" ht="15" customHeight="1">
      <c r="A108" s="755">
        <v>51</v>
      </c>
      <c r="B108" s="762" t="s">
        <v>465</v>
      </c>
      <c r="C108" s="762" t="s">
        <v>466</v>
      </c>
      <c r="D108" s="581">
        <v>1</v>
      </c>
      <c r="E108" s="583"/>
      <c r="F108" s="582"/>
      <c r="G108" s="582"/>
      <c r="H108" s="582"/>
      <c r="I108" s="582"/>
      <c r="J108" s="582"/>
      <c r="K108" s="583"/>
      <c r="L108" s="583"/>
      <c r="M108" s="582"/>
      <c r="N108" s="582"/>
      <c r="O108" s="582"/>
      <c r="P108" s="582"/>
      <c r="Q108" s="582"/>
      <c r="R108" s="583"/>
      <c r="S108" s="583"/>
      <c r="T108" s="582"/>
      <c r="U108" s="582"/>
      <c r="V108" s="582"/>
      <c r="W108" s="582"/>
      <c r="X108" s="582"/>
      <c r="Y108" s="583"/>
      <c r="Z108" s="583"/>
      <c r="AA108" s="582"/>
      <c r="AB108" s="582"/>
      <c r="AC108" s="582"/>
      <c r="AD108" s="582"/>
      <c r="AE108" s="582"/>
      <c r="AF108" s="583"/>
      <c r="AG108" s="583"/>
      <c r="AH108" s="582"/>
      <c r="AI108" s="582"/>
      <c r="AJ108" s="579">
        <f t="shared" si="12"/>
        <v>0</v>
      </c>
      <c r="AK108" s="580">
        <f t="shared" si="3"/>
        <v>0</v>
      </c>
      <c r="AL108" s="584">
        <v>7000</v>
      </c>
      <c r="AM108" s="765">
        <f t="shared" si="16"/>
        <v>0</v>
      </c>
      <c r="AN108" s="943"/>
    </row>
    <row r="109" spans="1:40" s="754" customFormat="1" ht="15" customHeight="1">
      <c r="A109" s="755" t="s">
        <v>467</v>
      </c>
      <c r="B109" s="762" t="s">
        <v>465</v>
      </c>
      <c r="C109" s="762" t="s">
        <v>468</v>
      </c>
      <c r="D109" s="581"/>
      <c r="E109" s="583"/>
      <c r="F109" s="582">
        <v>1</v>
      </c>
      <c r="G109" s="582">
        <v>1</v>
      </c>
      <c r="H109" s="582">
        <v>1</v>
      </c>
      <c r="I109" s="582">
        <v>1</v>
      </c>
      <c r="J109" s="582">
        <v>1</v>
      </c>
      <c r="K109" s="583"/>
      <c r="L109" s="583"/>
      <c r="M109" s="582">
        <v>1</v>
      </c>
      <c r="N109" s="582">
        <v>1</v>
      </c>
      <c r="O109" s="582">
        <v>1</v>
      </c>
      <c r="P109" s="582">
        <v>1</v>
      </c>
      <c r="Q109" s="582">
        <v>1</v>
      </c>
      <c r="R109" s="583"/>
      <c r="S109" s="583"/>
      <c r="T109" s="582">
        <v>1</v>
      </c>
      <c r="U109" s="582">
        <v>1</v>
      </c>
      <c r="V109" s="582">
        <v>1</v>
      </c>
      <c r="W109" s="582">
        <v>1</v>
      </c>
      <c r="X109" s="582">
        <v>1</v>
      </c>
      <c r="Y109" s="583"/>
      <c r="Z109" s="583"/>
      <c r="AA109" s="582">
        <v>1</v>
      </c>
      <c r="AB109" s="582">
        <v>1</v>
      </c>
      <c r="AC109" s="582">
        <v>1</v>
      </c>
      <c r="AD109" s="582">
        <v>1</v>
      </c>
      <c r="AE109" s="582">
        <v>1</v>
      </c>
      <c r="AF109" s="583"/>
      <c r="AG109" s="583"/>
      <c r="AH109" s="582">
        <v>1</v>
      </c>
      <c r="AI109" s="582">
        <v>1</v>
      </c>
      <c r="AJ109" s="579">
        <f t="shared" si="12"/>
        <v>22</v>
      </c>
      <c r="AK109" s="580">
        <f t="shared" si="3"/>
        <v>1</v>
      </c>
      <c r="AL109" s="584">
        <v>7000</v>
      </c>
      <c r="AM109" s="765">
        <f t="shared" si="16"/>
        <v>7000</v>
      </c>
      <c r="AN109" s="943"/>
    </row>
    <row r="110" spans="1:40" s="754" customFormat="1" ht="15" customHeight="1">
      <c r="A110" s="755" t="s">
        <v>469</v>
      </c>
      <c r="B110" s="762" t="s">
        <v>465</v>
      </c>
      <c r="C110" s="762" t="s">
        <v>470</v>
      </c>
      <c r="D110" s="581"/>
      <c r="E110" s="583"/>
      <c r="F110" s="582">
        <v>1</v>
      </c>
      <c r="G110" s="582">
        <v>1</v>
      </c>
      <c r="H110" s="582">
        <v>1</v>
      </c>
      <c r="I110" s="582">
        <v>1</v>
      </c>
      <c r="J110" s="582">
        <v>1</v>
      </c>
      <c r="K110" s="583"/>
      <c r="L110" s="583"/>
      <c r="M110" s="582">
        <v>1</v>
      </c>
      <c r="N110" s="582">
        <v>1</v>
      </c>
      <c r="O110" s="582">
        <v>1</v>
      </c>
      <c r="P110" s="582">
        <v>1</v>
      </c>
      <c r="Q110" s="582">
        <v>1</v>
      </c>
      <c r="R110" s="583"/>
      <c r="S110" s="583"/>
      <c r="T110" s="582">
        <v>1</v>
      </c>
      <c r="U110" s="582">
        <v>1</v>
      </c>
      <c r="V110" s="582">
        <v>1</v>
      </c>
      <c r="W110" s="582">
        <v>1</v>
      </c>
      <c r="X110" s="582">
        <v>1</v>
      </c>
      <c r="Y110" s="583"/>
      <c r="Z110" s="583"/>
      <c r="AA110" s="582">
        <v>1</v>
      </c>
      <c r="AB110" s="582">
        <v>1</v>
      </c>
      <c r="AC110" s="582">
        <v>1</v>
      </c>
      <c r="AD110" s="582">
        <v>1</v>
      </c>
      <c r="AE110" s="582">
        <v>1</v>
      </c>
      <c r="AF110" s="583"/>
      <c r="AG110" s="583"/>
      <c r="AH110" s="582">
        <v>1</v>
      </c>
      <c r="AI110" s="582">
        <v>1</v>
      </c>
      <c r="AJ110" s="579">
        <f t="shared" si="12"/>
        <v>22</v>
      </c>
      <c r="AK110" s="580">
        <f t="shared" si="3"/>
        <v>1</v>
      </c>
      <c r="AL110" s="584">
        <v>7000</v>
      </c>
      <c r="AM110" s="765">
        <f t="shared" si="16"/>
        <v>7000</v>
      </c>
      <c r="AN110" s="943"/>
    </row>
    <row r="111" spans="1:40" s="754" customFormat="1" ht="15" customHeight="1">
      <c r="A111" s="755">
        <v>52</v>
      </c>
      <c r="B111" s="762" t="s">
        <v>471</v>
      </c>
      <c r="C111" s="762" t="s">
        <v>472</v>
      </c>
      <c r="D111" s="581">
        <v>1</v>
      </c>
      <c r="E111" s="583"/>
      <c r="F111" s="582">
        <v>1</v>
      </c>
      <c r="G111" s="582">
        <v>1</v>
      </c>
      <c r="H111" s="582">
        <v>1</v>
      </c>
      <c r="I111" s="582">
        <v>1</v>
      </c>
      <c r="J111" s="582">
        <v>1</v>
      </c>
      <c r="K111" s="583"/>
      <c r="L111" s="583"/>
      <c r="M111" s="582">
        <v>1</v>
      </c>
      <c r="N111" s="582">
        <v>1</v>
      </c>
      <c r="O111" s="582">
        <v>1</v>
      </c>
      <c r="P111" s="582">
        <v>1</v>
      </c>
      <c r="Q111" s="582">
        <v>1</v>
      </c>
      <c r="R111" s="583"/>
      <c r="S111" s="583"/>
      <c r="T111" s="582">
        <v>1</v>
      </c>
      <c r="U111" s="582">
        <v>1</v>
      </c>
      <c r="V111" s="582">
        <v>1</v>
      </c>
      <c r="W111" s="582">
        <v>1</v>
      </c>
      <c r="X111" s="582">
        <v>1</v>
      </c>
      <c r="Y111" s="583"/>
      <c r="Z111" s="583"/>
      <c r="AA111" s="582">
        <v>1</v>
      </c>
      <c r="AB111" s="582">
        <v>1</v>
      </c>
      <c r="AC111" s="582">
        <v>1</v>
      </c>
      <c r="AD111" s="582">
        <v>1</v>
      </c>
      <c r="AE111" s="582">
        <v>1</v>
      </c>
      <c r="AF111" s="583"/>
      <c r="AG111" s="583"/>
      <c r="AH111" s="582">
        <v>1</v>
      </c>
      <c r="AI111" s="582">
        <v>1</v>
      </c>
      <c r="AJ111" s="579">
        <f t="shared" si="12"/>
        <v>22</v>
      </c>
      <c r="AK111" s="580">
        <f t="shared" si="3"/>
        <v>1</v>
      </c>
      <c r="AL111" s="584">
        <v>6500</v>
      </c>
      <c r="AM111" s="765">
        <f t="shared" si="16"/>
        <v>6500</v>
      </c>
      <c r="AN111" s="943"/>
    </row>
    <row r="112" spans="1:40" s="754" customFormat="1" ht="15" customHeight="1">
      <c r="A112" s="755" t="s">
        <v>473</v>
      </c>
      <c r="B112" s="762" t="s">
        <v>471</v>
      </c>
      <c r="C112" s="762" t="s">
        <v>474</v>
      </c>
      <c r="D112" s="581"/>
      <c r="E112" s="583"/>
      <c r="F112" s="582"/>
      <c r="G112" s="582"/>
      <c r="H112" s="582"/>
      <c r="I112" s="582"/>
      <c r="J112" s="582"/>
      <c r="K112" s="583"/>
      <c r="L112" s="583"/>
      <c r="M112" s="582"/>
      <c r="N112" s="582"/>
      <c r="O112" s="582"/>
      <c r="P112" s="582"/>
      <c r="Q112" s="582"/>
      <c r="R112" s="583"/>
      <c r="S112" s="583"/>
      <c r="T112" s="582"/>
      <c r="U112" s="582"/>
      <c r="V112" s="582"/>
      <c r="W112" s="582"/>
      <c r="X112" s="582"/>
      <c r="Y112" s="583"/>
      <c r="Z112" s="583"/>
      <c r="AA112" s="582"/>
      <c r="AB112" s="582"/>
      <c r="AC112" s="582"/>
      <c r="AD112" s="582"/>
      <c r="AE112" s="582"/>
      <c r="AF112" s="583"/>
      <c r="AG112" s="583"/>
      <c r="AH112" s="582"/>
      <c r="AI112" s="582"/>
      <c r="AJ112" s="579">
        <f t="shared" si="12"/>
        <v>0</v>
      </c>
      <c r="AK112" s="580">
        <f t="shared" si="3"/>
        <v>0</v>
      </c>
      <c r="AL112" s="584">
        <v>6500</v>
      </c>
      <c r="AM112" s="765">
        <f t="shared" si="16"/>
        <v>0</v>
      </c>
      <c r="AN112" s="943"/>
    </row>
    <row r="113" spans="1:41" s="754" customFormat="1" ht="15" customHeight="1">
      <c r="A113" s="755"/>
      <c r="B113" s="762"/>
      <c r="C113" s="762"/>
      <c r="D113" s="581"/>
      <c r="E113" s="583"/>
      <c r="F113" s="582"/>
      <c r="G113" s="582"/>
      <c r="H113" s="582"/>
      <c r="I113" s="582"/>
      <c r="J113" s="582"/>
      <c r="K113" s="583"/>
      <c r="L113" s="583"/>
      <c r="M113" s="582"/>
      <c r="N113" s="582"/>
      <c r="O113" s="582"/>
      <c r="P113" s="582"/>
      <c r="Q113" s="582"/>
      <c r="R113" s="583"/>
      <c r="S113" s="583"/>
      <c r="T113" s="582"/>
      <c r="U113" s="582"/>
      <c r="V113" s="582"/>
      <c r="W113" s="582"/>
      <c r="X113" s="582"/>
      <c r="Y113" s="583"/>
      <c r="Z113" s="583"/>
      <c r="AA113" s="582"/>
      <c r="AB113" s="582"/>
      <c r="AC113" s="582"/>
      <c r="AD113" s="582"/>
      <c r="AE113" s="582"/>
      <c r="AF113" s="583"/>
      <c r="AG113" s="583"/>
      <c r="AH113" s="582"/>
      <c r="AI113" s="582"/>
      <c r="AJ113" s="579"/>
      <c r="AK113" s="580"/>
      <c r="AL113" s="578"/>
      <c r="AM113" s="765"/>
      <c r="AN113" s="943"/>
    </row>
    <row r="114" spans="1:41" s="754" customFormat="1" ht="15" customHeight="1">
      <c r="A114" s="755"/>
      <c r="B114" s="756" t="s">
        <v>475</v>
      </c>
      <c r="C114" s="757"/>
      <c r="D114" s="581"/>
      <c r="E114" s="583"/>
      <c r="F114" s="582"/>
      <c r="G114" s="582"/>
      <c r="H114" s="582"/>
      <c r="I114" s="582"/>
      <c r="J114" s="582"/>
      <c r="K114" s="583"/>
      <c r="L114" s="583"/>
      <c r="M114" s="582"/>
      <c r="N114" s="582"/>
      <c r="O114" s="582"/>
      <c r="P114" s="582"/>
      <c r="Q114" s="582"/>
      <c r="R114" s="583"/>
      <c r="S114" s="583"/>
      <c r="T114" s="582"/>
      <c r="U114" s="582"/>
      <c r="V114" s="582"/>
      <c r="W114" s="582"/>
      <c r="X114" s="582"/>
      <c r="Y114" s="583"/>
      <c r="Z114" s="583"/>
      <c r="AA114" s="582"/>
      <c r="AB114" s="582"/>
      <c r="AC114" s="582"/>
      <c r="AD114" s="582"/>
      <c r="AE114" s="582"/>
      <c r="AF114" s="583"/>
      <c r="AG114" s="583"/>
      <c r="AH114" s="582"/>
      <c r="AI114" s="582"/>
      <c r="AJ114" s="579"/>
      <c r="AK114" s="580"/>
      <c r="AL114" s="578"/>
      <c r="AM114" s="765"/>
      <c r="AN114" s="943"/>
    </row>
    <row r="115" spans="1:41" s="754" customFormat="1" ht="15" customHeight="1">
      <c r="A115" s="755">
        <f>A111+1</f>
        <v>53</v>
      </c>
      <c r="B115" s="762" t="s">
        <v>476</v>
      </c>
      <c r="C115" s="762"/>
      <c r="D115" s="581">
        <v>0</v>
      </c>
      <c r="E115" s="583"/>
      <c r="F115" s="582"/>
      <c r="G115" s="582"/>
      <c r="H115" s="582"/>
      <c r="I115" s="582"/>
      <c r="J115" s="582"/>
      <c r="K115" s="583"/>
      <c r="L115" s="583"/>
      <c r="M115" s="582"/>
      <c r="N115" s="582"/>
      <c r="O115" s="582"/>
      <c r="P115" s="582"/>
      <c r="Q115" s="582"/>
      <c r="R115" s="583"/>
      <c r="S115" s="583"/>
      <c r="T115" s="582"/>
      <c r="U115" s="582"/>
      <c r="V115" s="582"/>
      <c r="W115" s="582"/>
      <c r="X115" s="582"/>
      <c r="Y115" s="583"/>
      <c r="Z115" s="583"/>
      <c r="AA115" s="582"/>
      <c r="AB115" s="582"/>
      <c r="AC115" s="582"/>
      <c r="AD115" s="582"/>
      <c r="AE115" s="582"/>
      <c r="AF115" s="583"/>
      <c r="AG115" s="583"/>
      <c r="AH115" s="582"/>
      <c r="AI115" s="582"/>
      <c r="AJ115" s="579">
        <f>SUM(E115:AI115)</f>
        <v>0</v>
      </c>
      <c r="AK115" s="580">
        <f t="shared" si="3"/>
        <v>0</v>
      </c>
      <c r="AL115" s="584">
        <v>8300</v>
      </c>
      <c r="AM115" s="765">
        <f t="shared" ref="AM115" si="17">+AL115*AK115</f>
        <v>0</v>
      </c>
      <c r="AN115" s="943"/>
    </row>
    <row r="116" spans="1:41" s="754" customFormat="1" ht="15" customHeight="1">
      <c r="A116" s="755">
        <f>A115+1</f>
        <v>54</v>
      </c>
      <c r="B116" s="762" t="s">
        <v>477</v>
      </c>
      <c r="C116" s="762" t="s">
        <v>478</v>
      </c>
      <c r="D116" s="581">
        <v>1</v>
      </c>
      <c r="E116" s="583"/>
      <c r="F116" s="582">
        <v>1</v>
      </c>
      <c r="G116" s="582">
        <v>1</v>
      </c>
      <c r="H116" s="582">
        <v>1</v>
      </c>
      <c r="I116" s="582">
        <v>1</v>
      </c>
      <c r="J116" s="582">
        <v>1</v>
      </c>
      <c r="K116" s="583"/>
      <c r="L116" s="583"/>
      <c r="M116" s="582">
        <v>1</v>
      </c>
      <c r="N116" s="582">
        <v>1</v>
      </c>
      <c r="O116" s="582">
        <v>1</v>
      </c>
      <c r="P116" s="582">
        <v>1</v>
      </c>
      <c r="Q116" s="582">
        <v>1</v>
      </c>
      <c r="R116" s="583"/>
      <c r="S116" s="583"/>
      <c r="T116" s="582">
        <v>1</v>
      </c>
      <c r="U116" s="582">
        <v>1</v>
      </c>
      <c r="V116" s="582">
        <v>1</v>
      </c>
      <c r="W116" s="582">
        <v>1</v>
      </c>
      <c r="X116" s="582">
        <v>1</v>
      </c>
      <c r="Y116" s="583"/>
      <c r="Z116" s="583"/>
      <c r="AA116" s="582">
        <v>1</v>
      </c>
      <c r="AB116" s="582">
        <v>1</v>
      </c>
      <c r="AC116" s="582">
        <v>1</v>
      </c>
      <c r="AD116" s="582">
        <v>1</v>
      </c>
      <c r="AE116" s="582">
        <v>1</v>
      </c>
      <c r="AF116" s="583"/>
      <c r="AG116" s="583"/>
      <c r="AH116" s="582">
        <v>1</v>
      </c>
      <c r="AI116" s="582">
        <v>1</v>
      </c>
      <c r="AJ116" s="579">
        <f>SUM(E116:AI116)</f>
        <v>22</v>
      </c>
      <c r="AK116" s="580">
        <f t="shared" si="3"/>
        <v>1</v>
      </c>
      <c r="AL116" s="584">
        <v>7000</v>
      </c>
      <c r="AM116" s="765">
        <f>+AL116*AK116</f>
        <v>7000</v>
      </c>
      <c r="AN116" s="943"/>
    </row>
    <row r="117" spans="1:41" s="754" customFormat="1" ht="15" customHeight="1">
      <c r="A117" s="755">
        <f t="shared" ref="A117:A118" si="18">A116+1</f>
        <v>55</v>
      </c>
      <c r="B117" s="762" t="s">
        <v>479</v>
      </c>
      <c r="C117" s="762"/>
      <c r="D117" s="581">
        <v>1</v>
      </c>
      <c r="E117" s="583"/>
      <c r="F117" s="582"/>
      <c r="G117" s="582"/>
      <c r="H117" s="582"/>
      <c r="I117" s="582"/>
      <c r="J117" s="582"/>
      <c r="K117" s="583"/>
      <c r="L117" s="583"/>
      <c r="M117" s="582"/>
      <c r="N117" s="582"/>
      <c r="O117" s="582"/>
      <c r="P117" s="582"/>
      <c r="Q117" s="582"/>
      <c r="R117" s="583"/>
      <c r="S117" s="583"/>
      <c r="T117" s="582"/>
      <c r="U117" s="582"/>
      <c r="V117" s="582"/>
      <c r="W117" s="582"/>
      <c r="X117" s="582"/>
      <c r="Y117" s="583"/>
      <c r="Z117" s="583"/>
      <c r="AA117" s="582"/>
      <c r="AB117" s="582"/>
      <c r="AC117" s="582"/>
      <c r="AD117" s="582"/>
      <c r="AE117" s="582"/>
      <c r="AF117" s="583"/>
      <c r="AG117" s="583"/>
      <c r="AH117" s="582"/>
      <c r="AI117" s="582"/>
      <c r="AJ117" s="579">
        <f>SUM(E117:AI117)</f>
        <v>0</v>
      </c>
      <c r="AK117" s="580">
        <f t="shared" si="3"/>
        <v>0</v>
      </c>
      <c r="AL117" s="584">
        <v>4300</v>
      </c>
      <c r="AM117" s="765">
        <f>+AL117*AK117</f>
        <v>0</v>
      </c>
      <c r="AN117" s="943"/>
    </row>
    <row r="118" spans="1:41" s="754" customFormat="1" ht="15" customHeight="1">
      <c r="A118" s="755">
        <f t="shared" si="18"/>
        <v>56</v>
      </c>
      <c r="B118" s="762" t="s">
        <v>480</v>
      </c>
      <c r="C118" s="762" t="s">
        <v>481</v>
      </c>
      <c r="D118" s="581">
        <v>1</v>
      </c>
      <c r="E118" s="583"/>
      <c r="F118" s="582">
        <v>1</v>
      </c>
      <c r="G118" s="582">
        <v>1</v>
      </c>
      <c r="H118" s="582">
        <v>1</v>
      </c>
      <c r="I118" s="582">
        <v>1</v>
      </c>
      <c r="J118" s="582">
        <v>1</v>
      </c>
      <c r="K118" s="583"/>
      <c r="L118" s="583"/>
      <c r="M118" s="582">
        <v>1</v>
      </c>
      <c r="N118" s="582">
        <v>1</v>
      </c>
      <c r="O118" s="582">
        <v>1</v>
      </c>
      <c r="P118" s="582">
        <v>1</v>
      </c>
      <c r="Q118" s="582">
        <v>1</v>
      </c>
      <c r="R118" s="583"/>
      <c r="S118" s="583"/>
      <c r="T118" s="582">
        <v>1</v>
      </c>
      <c r="U118" s="582">
        <v>1</v>
      </c>
      <c r="V118" s="582">
        <v>1</v>
      </c>
      <c r="W118" s="582">
        <v>1</v>
      </c>
      <c r="X118" s="582">
        <v>1</v>
      </c>
      <c r="Y118" s="583"/>
      <c r="Z118" s="583"/>
      <c r="AA118" s="582">
        <v>1</v>
      </c>
      <c r="AB118" s="582">
        <v>1</v>
      </c>
      <c r="AC118" s="582">
        <v>1</v>
      </c>
      <c r="AD118" s="582">
        <v>1</v>
      </c>
      <c r="AE118" s="582">
        <v>1</v>
      </c>
      <c r="AF118" s="583"/>
      <c r="AG118" s="583"/>
      <c r="AH118" s="582">
        <v>1</v>
      </c>
      <c r="AI118" s="582">
        <v>1</v>
      </c>
      <c r="AJ118" s="579">
        <f>SUM(E118:AI118)</f>
        <v>22</v>
      </c>
      <c r="AK118" s="580">
        <f>+AJ118/AJ$3</f>
        <v>1</v>
      </c>
      <c r="AL118" s="584">
        <v>4300</v>
      </c>
      <c r="AM118" s="765">
        <f>+AL118*AK118</f>
        <v>4300</v>
      </c>
      <c r="AN118" s="943"/>
      <c r="AO118" s="587"/>
    </row>
    <row r="119" spans="1:41" s="754" customFormat="1" ht="15" customHeight="1">
      <c r="A119" s="766"/>
      <c r="B119" s="767"/>
      <c r="C119" s="767"/>
      <c r="D119" s="588"/>
      <c r="E119" s="590"/>
      <c r="F119" s="589"/>
      <c r="G119" s="589"/>
      <c r="H119" s="589"/>
      <c r="I119" s="589"/>
      <c r="J119" s="589"/>
      <c r="K119" s="590"/>
      <c r="L119" s="590"/>
      <c r="M119" s="589"/>
      <c r="N119" s="589"/>
      <c r="O119" s="589"/>
      <c r="P119" s="589"/>
      <c r="Q119" s="589"/>
      <c r="R119" s="590"/>
      <c r="S119" s="590"/>
      <c r="T119" s="589"/>
      <c r="U119" s="589"/>
      <c r="V119" s="589"/>
      <c r="W119" s="589"/>
      <c r="X119" s="589"/>
      <c r="Y119" s="590"/>
      <c r="Z119" s="590"/>
      <c r="AA119" s="589"/>
      <c r="AB119" s="589"/>
      <c r="AC119" s="589"/>
      <c r="AD119" s="589"/>
      <c r="AE119" s="589"/>
      <c r="AF119" s="590"/>
      <c r="AG119" s="590"/>
      <c r="AH119" s="589"/>
      <c r="AI119" s="589"/>
      <c r="AJ119" s="591"/>
      <c r="AK119" s="592"/>
      <c r="AL119" s="593"/>
      <c r="AM119" s="768"/>
      <c r="AN119" s="943"/>
      <c r="AO119" s="587"/>
    </row>
    <row r="120" spans="1:41" s="775" customFormat="1" ht="20.149999999999999" customHeight="1">
      <c r="A120" s="769"/>
      <c r="B120" s="770" t="s">
        <v>482</v>
      </c>
      <c r="C120" s="771"/>
      <c r="D120" s="769">
        <f>SUM(D8:D119)</f>
        <v>58.000000000000007</v>
      </c>
      <c r="E120" s="771"/>
      <c r="F120" s="771"/>
      <c r="G120" s="771"/>
      <c r="H120" s="771"/>
      <c r="I120" s="771"/>
      <c r="J120" s="771"/>
      <c r="K120" s="771"/>
      <c r="L120" s="771"/>
      <c r="M120" s="771"/>
      <c r="N120" s="771"/>
      <c r="O120" s="771"/>
      <c r="P120" s="771"/>
      <c r="Q120" s="771"/>
      <c r="R120" s="771"/>
      <c r="S120" s="771"/>
      <c r="T120" s="771"/>
      <c r="U120" s="771"/>
      <c r="V120" s="771"/>
      <c r="W120" s="771"/>
      <c r="X120" s="771"/>
      <c r="Y120" s="771"/>
      <c r="Z120" s="771"/>
      <c r="AA120" s="771"/>
      <c r="AB120" s="771"/>
      <c r="AC120" s="771"/>
      <c r="AD120" s="771"/>
      <c r="AE120" s="771"/>
      <c r="AF120" s="771"/>
      <c r="AG120" s="771"/>
      <c r="AH120" s="772"/>
      <c r="AI120" s="772"/>
      <c r="AJ120" s="773"/>
      <c r="AK120" s="773"/>
      <c r="AL120" s="774"/>
      <c r="AM120" s="900">
        <f>SUM(AM9:AM119)</f>
        <v>1372949.5909090908</v>
      </c>
    </row>
    <row r="121" spans="1:41" ht="15" customHeight="1">
      <c r="A121" s="741" t="s">
        <v>117</v>
      </c>
      <c r="AG121" s="1135"/>
      <c r="AH121" s="1135"/>
      <c r="AI121" s="1135"/>
      <c r="AM121" s="573"/>
    </row>
    <row r="122" spans="1:41" s="942" customFormat="1" ht="15" customHeight="1">
      <c r="A122" s="899">
        <v>1</v>
      </c>
      <c r="B122" s="594" t="s">
        <v>483</v>
      </c>
      <c r="C122" s="594"/>
      <c r="D122" s="741"/>
      <c r="E122" s="594"/>
      <c r="F122" s="594"/>
      <c r="G122" s="594"/>
      <c r="H122" s="594"/>
      <c r="I122" s="594"/>
      <c r="J122" s="594"/>
      <c r="K122" s="594"/>
      <c r="L122" s="594"/>
      <c r="M122" s="594"/>
      <c r="N122" s="594"/>
      <c r="O122" s="594"/>
      <c r="P122" s="594"/>
      <c r="Q122" s="594"/>
      <c r="R122" s="594"/>
      <c r="S122" s="594"/>
      <c r="T122" s="594"/>
      <c r="U122" s="594"/>
      <c r="V122" s="594"/>
      <c r="W122" s="594"/>
      <c r="X122" s="594"/>
      <c r="Y122" s="594"/>
      <c r="Z122" s="594"/>
      <c r="AA122" s="594"/>
      <c r="AB122" s="594"/>
      <c r="AC122" s="594"/>
      <c r="AD122" s="594"/>
      <c r="AE122" s="594"/>
      <c r="AF122" s="594"/>
      <c r="AG122" s="594"/>
      <c r="AH122" s="594"/>
      <c r="AI122" s="594"/>
      <c r="AJ122" s="594"/>
      <c r="AK122" s="594"/>
      <c r="AL122" s="573"/>
      <c r="AM122" s="987"/>
      <c r="AO122" s="594"/>
    </row>
    <row r="123" spans="1:41" s="942" customFormat="1" ht="15" customHeight="1">
      <c r="A123" s="899">
        <v>2</v>
      </c>
      <c r="B123" s="594" t="s">
        <v>484</v>
      </c>
      <c r="C123" s="594"/>
      <c r="D123" s="741"/>
      <c r="E123" s="594"/>
      <c r="F123" s="594"/>
      <c r="G123" s="594"/>
      <c r="H123" s="594"/>
      <c r="I123" s="594"/>
      <c r="J123" s="594"/>
      <c r="K123" s="594"/>
      <c r="L123" s="594"/>
      <c r="M123" s="594"/>
      <c r="N123" s="594"/>
      <c r="O123" s="594"/>
      <c r="P123" s="594"/>
      <c r="Q123" s="594"/>
      <c r="R123" s="594"/>
      <c r="S123" s="594"/>
      <c r="T123" s="594"/>
      <c r="U123" s="594"/>
      <c r="V123" s="594"/>
      <c r="W123" s="594"/>
      <c r="X123" s="594"/>
      <c r="Y123" s="594"/>
      <c r="Z123" s="594"/>
      <c r="AA123" s="594"/>
      <c r="AB123" s="594"/>
      <c r="AC123" s="594"/>
      <c r="AD123" s="594"/>
      <c r="AE123" s="594"/>
      <c r="AF123" s="594"/>
      <c r="AG123" s="594"/>
      <c r="AH123" s="594"/>
      <c r="AI123" s="594"/>
      <c r="AJ123" s="594"/>
      <c r="AK123" s="594"/>
      <c r="AL123" s="573"/>
      <c r="AM123" s="594"/>
      <c r="AO123" s="594"/>
    </row>
    <row r="124" spans="1:41" s="942" customFormat="1" ht="15" customHeight="1">
      <c r="A124" s="899">
        <v>3</v>
      </c>
      <c r="B124" s="594" t="s">
        <v>485</v>
      </c>
      <c r="C124" s="594"/>
      <c r="D124" s="741"/>
      <c r="E124" s="594"/>
      <c r="F124" s="594"/>
      <c r="G124" s="594"/>
      <c r="H124" s="594"/>
      <c r="I124" s="594"/>
      <c r="J124" s="594"/>
      <c r="K124" s="594"/>
      <c r="L124" s="594"/>
      <c r="M124" s="594"/>
      <c r="N124" s="594"/>
      <c r="O124" s="594"/>
      <c r="P124" s="594"/>
      <c r="Q124" s="594"/>
      <c r="R124" s="594"/>
      <c r="S124" s="594"/>
      <c r="T124" s="594"/>
      <c r="U124" s="594"/>
      <c r="V124" s="594"/>
      <c r="W124" s="594"/>
      <c r="X124" s="594"/>
      <c r="Y124" s="594"/>
      <c r="Z124" s="594"/>
      <c r="AA124" s="594"/>
      <c r="AB124" s="594"/>
      <c r="AC124" s="594"/>
      <c r="AD124" s="594"/>
      <c r="AE124" s="594"/>
      <c r="AF124" s="594"/>
      <c r="AG124" s="594"/>
      <c r="AH124" s="594"/>
      <c r="AI124" s="594"/>
      <c r="AJ124" s="594"/>
      <c r="AK124" s="594"/>
      <c r="AL124" s="573"/>
      <c r="AM124" s="594"/>
      <c r="AO124" s="594"/>
    </row>
    <row r="125" spans="1:41" s="942" customFormat="1" ht="15" customHeight="1">
      <c r="A125" s="776">
        <v>4</v>
      </c>
      <c r="B125" s="777" t="s">
        <v>486</v>
      </c>
      <c r="C125" s="777"/>
      <c r="D125" s="778"/>
      <c r="E125" s="778"/>
      <c r="F125" s="778"/>
      <c r="G125" s="778"/>
      <c r="H125" s="778"/>
      <c r="I125" s="778"/>
      <c r="J125" s="778"/>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594"/>
      <c r="AI125" s="778"/>
      <c r="AJ125" s="778"/>
      <c r="AK125" s="778"/>
      <c r="AL125" s="778"/>
      <c r="AM125" s="594"/>
      <c r="AO125" s="594"/>
    </row>
    <row r="126" spans="1:41" s="942" customFormat="1" ht="15" customHeight="1">
      <c r="A126" s="899">
        <v>5</v>
      </c>
      <c r="B126" s="594" t="s">
        <v>487</v>
      </c>
      <c r="C126" s="594"/>
      <c r="D126" s="741"/>
      <c r="E126" s="594"/>
      <c r="F126" s="594"/>
      <c r="G126" s="594"/>
      <c r="H126" s="594"/>
      <c r="I126" s="594"/>
      <c r="J126" s="594"/>
      <c r="K126" s="594"/>
      <c r="L126" s="594"/>
      <c r="M126" s="594"/>
      <c r="N126" s="594"/>
      <c r="O126" s="594"/>
      <c r="P126" s="594"/>
      <c r="Q126" s="594"/>
      <c r="R126" s="594"/>
      <c r="S126" s="594"/>
      <c r="T126" s="594"/>
      <c r="U126" s="594"/>
      <c r="V126" s="594"/>
      <c r="W126" s="594"/>
      <c r="X126" s="594"/>
      <c r="Y126" s="594"/>
      <c r="Z126" s="594"/>
      <c r="AA126" s="594"/>
      <c r="AB126" s="594"/>
      <c r="AC126" s="594"/>
      <c r="AD126" s="594"/>
      <c r="AE126" s="594"/>
      <c r="AF126" s="594"/>
      <c r="AG126" s="594"/>
      <c r="AH126" s="594"/>
      <c r="AI126" s="594"/>
      <c r="AJ126" s="594"/>
      <c r="AK126" s="594"/>
      <c r="AL126" s="573"/>
      <c r="AM126" s="594"/>
      <c r="AO126" s="594"/>
    </row>
    <row r="127" spans="1:41" s="942" customFormat="1" ht="15" customHeight="1">
      <c r="A127" s="899">
        <v>6</v>
      </c>
      <c r="B127" s="594" t="s">
        <v>488</v>
      </c>
      <c r="C127" s="594"/>
      <c r="D127" s="741"/>
      <c r="E127" s="594"/>
      <c r="F127" s="594"/>
      <c r="G127" s="594"/>
      <c r="H127" s="594"/>
      <c r="I127" s="594"/>
      <c r="J127" s="594"/>
      <c r="K127" s="594"/>
      <c r="L127" s="594"/>
      <c r="M127" s="594"/>
      <c r="N127" s="594"/>
      <c r="O127" s="594"/>
      <c r="P127" s="594"/>
      <c r="Q127" s="594"/>
      <c r="R127" s="594"/>
      <c r="S127" s="594"/>
      <c r="T127" s="594"/>
      <c r="U127" s="594"/>
      <c r="V127" s="594"/>
      <c r="W127" s="594"/>
      <c r="X127" s="594"/>
      <c r="Y127" s="594"/>
      <c r="Z127" s="594"/>
      <c r="AA127" s="594"/>
      <c r="AB127" s="594"/>
      <c r="AC127" s="594"/>
      <c r="AD127" s="594"/>
      <c r="AE127" s="594"/>
      <c r="AF127" s="594"/>
      <c r="AG127" s="594"/>
      <c r="AH127" s="594"/>
      <c r="AI127" s="594"/>
      <c r="AJ127" s="594"/>
      <c r="AK127" s="594"/>
      <c r="AL127" s="573"/>
      <c r="AM127" s="594"/>
      <c r="AO127" s="594"/>
    </row>
    <row r="128" spans="1:41" s="942" customFormat="1" ht="15" customHeight="1">
      <c r="A128" s="899">
        <v>7</v>
      </c>
      <c r="B128" s="594" t="s">
        <v>489</v>
      </c>
      <c r="C128" s="594"/>
      <c r="D128" s="741"/>
      <c r="E128" s="594"/>
      <c r="F128" s="594"/>
      <c r="G128" s="594"/>
      <c r="H128" s="594"/>
      <c r="I128" s="594"/>
      <c r="J128" s="594"/>
      <c r="K128" s="594"/>
      <c r="L128" s="594"/>
      <c r="M128" s="594"/>
      <c r="N128" s="594"/>
      <c r="O128" s="594"/>
      <c r="P128" s="594"/>
      <c r="Q128" s="594"/>
      <c r="R128" s="594"/>
      <c r="S128" s="594"/>
      <c r="T128" s="594"/>
      <c r="U128" s="594"/>
      <c r="V128" s="594"/>
      <c r="W128" s="594"/>
      <c r="X128" s="594"/>
      <c r="Y128" s="594"/>
      <c r="Z128" s="594"/>
      <c r="AA128" s="594"/>
      <c r="AB128" s="594"/>
      <c r="AC128" s="594"/>
      <c r="AD128" s="594"/>
      <c r="AE128" s="594"/>
      <c r="AF128" s="594"/>
      <c r="AG128" s="594"/>
      <c r="AH128" s="594"/>
      <c r="AI128" s="594"/>
      <c r="AJ128" s="594"/>
      <c r="AK128" s="594"/>
      <c r="AL128" s="573"/>
      <c r="AM128" s="594"/>
      <c r="AO128" s="594"/>
    </row>
    <row r="129" spans="1:41" s="942" customFormat="1" ht="15" customHeight="1">
      <c r="A129" s="899">
        <v>8</v>
      </c>
      <c r="B129" s="594" t="s">
        <v>490</v>
      </c>
      <c r="C129" s="594"/>
      <c r="D129" s="741"/>
      <c r="E129" s="594"/>
      <c r="F129" s="594"/>
      <c r="G129" s="594"/>
      <c r="H129" s="594"/>
      <c r="I129" s="594"/>
      <c r="J129" s="594"/>
      <c r="K129" s="594"/>
      <c r="L129" s="594"/>
      <c r="M129" s="594"/>
      <c r="N129" s="594"/>
      <c r="O129" s="594"/>
      <c r="P129" s="594"/>
      <c r="Q129" s="594"/>
      <c r="R129" s="594"/>
      <c r="S129" s="594"/>
      <c r="T129" s="594"/>
      <c r="U129" s="594"/>
      <c r="V129" s="594"/>
      <c r="W129" s="594"/>
      <c r="X129" s="594"/>
      <c r="Y129" s="594"/>
      <c r="Z129" s="594"/>
      <c r="AA129" s="594"/>
      <c r="AB129" s="594"/>
      <c r="AC129" s="594"/>
      <c r="AD129" s="594"/>
      <c r="AE129" s="594"/>
      <c r="AF129" s="594"/>
      <c r="AG129" s="594"/>
      <c r="AH129" s="594"/>
      <c r="AI129" s="594"/>
      <c r="AJ129" s="594"/>
      <c r="AK129" s="594"/>
      <c r="AL129" s="573"/>
      <c r="AM129" s="594"/>
      <c r="AO129" s="594"/>
    </row>
    <row r="131" spans="1:41">
      <c r="AM131" s="988">
        <v>73514.409090909176</v>
      </c>
    </row>
  </sheetData>
  <mergeCells count="10">
    <mergeCell ref="AK6:AK7"/>
    <mergeCell ref="AL6:AL7"/>
    <mergeCell ref="AM6:AM7"/>
    <mergeCell ref="AG121:AI121"/>
    <mergeCell ref="A6:A7"/>
    <mergeCell ref="B6:B7"/>
    <mergeCell ref="C6:C7"/>
    <mergeCell ref="D6:D7"/>
    <mergeCell ref="E6:AI6"/>
    <mergeCell ref="AJ6:AJ7"/>
  </mergeCells>
  <pageMargins left="0.51181102362204722" right="0.51181102362204722" top="0.55118110236220474" bottom="0.55118110236220474" header="0.31496062992125984" footer="0.31496062992125984"/>
  <pageSetup paperSize="8" scale="67"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topLeftCell="A10" zoomScale="80" zoomScaleNormal="100" zoomScaleSheetLayoutView="80" workbookViewId="0">
      <selection activeCell="K30" sqref="K30"/>
    </sheetView>
  </sheetViews>
  <sheetFormatPr defaultRowHeight="14.5"/>
  <cols>
    <col min="1" max="1" width="1.6328125" customWidth="1"/>
    <col min="2" max="2" width="6.08984375" customWidth="1"/>
    <col min="3" max="3" width="23.6328125" customWidth="1"/>
    <col min="4" max="4" width="11.6328125" customWidth="1"/>
    <col min="5" max="6" width="18.54296875" customWidth="1"/>
    <col min="7" max="9" width="11.36328125" customWidth="1"/>
    <col min="10" max="12" width="17.6328125" style="675" customWidth="1"/>
    <col min="13" max="13" width="12.6328125" customWidth="1"/>
    <col min="14" max="14" width="17" customWidth="1"/>
    <col min="15" max="17" width="13.6328125" customWidth="1"/>
  </cols>
  <sheetData>
    <row r="1" spans="1:16">
      <c r="A1" s="1142"/>
      <c r="B1" s="1142"/>
      <c r="C1" s="608"/>
      <c r="D1" s="608"/>
      <c r="E1" s="608"/>
      <c r="F1" s="608"/>
      <c r="G1" s="608"/>
      <c r="H1" s="608"/>
      <c r="I1" s="608"/>
      <c r="J1" s="609"/>
      <c r="K1" s="609"/>
      <c r="L1" s="609"/>
      <c r="M1" s="608"/>
      <c r="N1" s="608"/>
      <c r="O1" s="610"/>
      <c r="P1" s="608"/>
    </row>
    <row r="2" spans="1:16">
      <c r="A2" s="608"/>
      <c r="B2" s="611" t="s">
        <v>502</v>
      </c>
      <c r="E2" s="867" t="s">
        <v>503</v>
      </c>
      <c r="F2" s="608"/>
      <c r="G2" s="608"/>
      <c r="H2" s="608"/>
      <c r="I2" s="608"/>
      <c r="J2" s="609"/>
      <c r="K2" s="609"/>
      <c r="L2" s="609"/>
      <c r="M2" s="739" t="str">
        <f>+'Annexure 7-Overhead Summary'!E5</f>
        <v>KCE-12</v>
      </c>
      <c r="N2" s="612"/>
      <c r="O2" s="610"/>
      <c r="P2" s="608"/>
    </row>
    <row r="3" spans="1:16">
      <c r="A3" s="608"/>
      <c r="B3" s="611" t="s">
        <v>504</v>
      </c>
      <c r="E3" s="868" t="s">
        <v>505</v>
      </c>
      <c r="F3" s="608"/>
      <c r="G3" s="608"/>
      <c r="H3" s="608"/>
      <c r="I3" s="608"/>
      <c r="J3" s="609"/>
      <c r="K3" s="609"/>
      <c r="L3" s="609"/>
      <c r="M3" s="612"/>
      <c r="N3" s="612"/>
      <c r="O3" s="610"/>
      <c r="P3" s="608"/>
    </row>
    <row r="4" spans="1:16">
      <c r="A4" s="608"/>
      <c r="B4" s="611" t="s">
        <v>506</v>
      </c>
      <c r="E4" s="868" t="s">
        <v>507</v>
      </c>
      <c r="F4" s="608"/>
      <c r="G4" s="608"/>
      <c r="H4" s="608"/>
      <c r="I4" s="608"/>
      <c r="J4" s="609"/>
      <c r="K4" s="609"/>
      <c r="L4" s="609"/>
      <c r="M4" s="608"/>
      <c r="N4" s="608"/>
      <c r="O4" s="610"/>
      <c r="P4" s="608"/>
    </row>
    <row r="5" spans="1:16">
      <c r="A5" s="608"/>
      <c r="B5" s="611" t="s">
        <v>508</v>
      </c>
      <c r="E5" s="869" t="s">
        <v>509</v>
      </c>
      <c r="F5" s="608"/>
      <c r="G5" s="608"/>
      <c r="H5" s="608"/>
      <c r="I5" s="608"/>
      <c r="J5" s="609"/>
      <c r="K5" s="609"/>
      <c r="L5" s="609"/>
      <c r="M5" s="608"/>
      <c r="N5" s="608"/>
      <c r="O5" s="610"/>
      <c r="P5" s="608"/>
    </row>
    <row r="6" spans="1:16">
      <c r="A6" s="608"/>
      <c r="B6" s="611" t="s">
        <v>510</v>
      </c>
      <c r="E6" s="870" t="s">
        <v>511</v>
      </c>
      <c r="F6" s="608"/>
      <c r="G6" s="608"/>
      <c r="H6" s="608"/>
      <c r="I6" s="608"/>
      <c r="J6" s="609"/>
      <c r="K6" s="609"/>
      <c r="L6" s="609"/>
      <c r="M6" s="608"/>
      <c r="N6" s="608"/>
      <c r="O6" s="610"/>
      <c r="P6" s="608"/>
    </row>
    <row r="7" spans="1:16">
      <c r="A7" s="608"/>
      <c r="B7" s="611" t="s">
        <v>512</v>
      </c>
      <c r="E7" s="871">
        <v>44865</v>
      </c>
      <c r="F7" s="608"/>
      <c r="G7" s="608"/>
      <c r="H7" s="608"/>
      <c r="I7" s="608"/>
      <c r="J7" s="609"/>
      <c r="K7" s="609"/>
      <c r="L7" s="609"/>
      <c r="M7" s="608"/>
      <c r="N7" s="608"/>
      <c r="O7" s="610"/>
      <c r="P7" s="608"/>
    </row>
    <row r="8" spans="1:16">
      <c r="A8" s="1142"/>
      <c r="B8" s="1142"/>
      <c r="C8" s="608"/>
      <c r="D8" s="608"/>
      <c r="E8" s="608"/>
      <c r="F8" s="608"/>
      <c r="G8" s="608"/>
      <c r="H8" s="608"/>
      <c r="I8" s="608"/>
      <c r="J8" s="609"/>
      <c r="K8" s="609"/>
      <c r="L8" s="609"/>
      <c r="M8" s="608"/>
      <c r="N8" s="608"/>
      <c r="O8" s="610"/>
      <c r="P8" s="608"/>
    </row>
    <row r="9" spans="1:16">
      <c r="A9" s="608"/>
      <c r="B9" s="1150" t="s">
        <v>513</v>
      </c>
      <c r="C9" s="1145" t="s">
        <v>141</v>
      </c>
      <c r="D9" s="1145" t="s">
        <v>514</v>
      </c>
      <c r="E9" s="1145" t="s">
        <v>515</v>
      </c>
      <c r="F9" s="1145" t="s">
        <v>516</v>
      </c>
      <c r="G9" s="1147" t="s">
        <v>517</v>
      </c>
      <c r="H9" s="1148"/>
      <c r="I9" s="1149"/>
      <c r="J9" s="1147" t="s">
        <v>518</v>
      </c>
      <c r="K9" s="1148"/>
      <c r="L9" s="1149"/>
      <c r="M9" s="1150" t="s">
        <v>494</v>
      </c>
      <c r="N9" s="613"/>
      <c r="O9" s="610"/>
      <c r="P9" s="608"/>
    </row>
    <row r="10" spans="1:16">
      <c r="A10" s="608"/>
      <c r="B10" s="1151"/>
      <c r="C10" s="1146"/>
      <c r="D10" s="1146"/>
      <c r="E10" s="1146"/>
      <c r="F10" s="1146"/>
      <c r="G10" s="614" t="s">
        <v>158</v>
      </c>
      <c r="H10" s="614" t="s">
        <v>165</v>
      </c>
      <c r="I10" s="614" t="s">
        <v>519</v>
      </c>
      <c r="J10" s="615" t="s">
        <v>158</v>
      </c>
      <c r="K10" s="615" t="s">
        <v>165</v>
      </c>
      <c r="L10" s="615" t="s">
        <v>519</v>
      </c>
      <c r="M10" s="1151"/>
      <c r="N10" s="613"/>
      <c r="O10" s="610"/>
      <c r="P10" s="608"/>
    </row>
    <row r="11" spans="1:16">
      <c r="A11" s="616"/>
      <c r="B11" s="617"/>
      <c r="C11" s="618" t="s">
        <v>22</v>
      </c>
      <c r="D11" s="618"/>
      <c r="E11" s="619">
        <f>SUM(E12:E13)</f>
        <v>11059900</v>
      </c>
      <c r="F11" s="619">
        <f>SUM(F12:F13)</f>
        <v>11547237.939999999</v>
      </c>
      <c r="G11" s="617"/>
      <c r="H11" s="617"/>
      <c r="I11" s="617"/>
      <c r="J11" s="620">
        <f>SUM(J12:J13)</f>
        <v>10075616.117161289</v>
      </c>
      <c r="K11" s="620">
        <f t="shared" ref="K11:L11" si="0">SUM(K12:K13)</f>
        <v>1145898.1928387112</v>
      </c>
      <c r="L11" s="620">
        <f t="shared" si="0"/>
        <v>11221514.310000001</v>
      </c>
      <c r="M11" s="621"/>
      <c r="N11" s="622"/>
      <c r="O11" s="623"/>
      <c r="P11" s="616"/>
    </row>
    <row r="12" spans="1:16">
      <c r="A12" s="624"/>
      <c r="B12" s="625" t="s">
        <v>185</v>
      </c>
      <c r="C12" s="626" t="s">
        <v>520</v>
      </c>
      <c r="D12" s="627" t="s">
        <v>521</v>
      </c>
      <c r="E12" s="628">
        <v>10059900</v>
      </c>
      <c r="F12" s="628">
        <v>10059900</v>
      </c>
      <c r="G12" s="629">
        <f>J12/F12</f>
        <v>0.85371407043422787</v>
      </c>
      <c r="H12" s="629">
        <f>K12/F12</f>
        <v>0.10256992741863351</v>
      </c>
      <c r="I12" s="629">
        <f>L12/F12</f>
        <v>0.95628399785286144</v>
      </c>
      <c r="J12" s="630">
        <v>8588278.1771612894</v>
      </c>
      <c r="K12" s="630">
        <f>L12-J12</f>
        <v>1031843.2128387112</v>
      </c>
      <c r="L12" s="630">
        <v>9620121.3900000006</v>
      </c>
      <c r="M12" s="631"/>
      <c r="N12" s="632"/>
      <c r="O12" s="633"/>
      <c r="P12" s="624"/>
    </row>
    <row r="13" spans="1:16">
      <c r="A13" s="624"/>
      <c r="B13" s="625" t="s">
        <v>191</v>
      </c>
      <c r="C13" s="626" t="s">
        <v>522</v>
      </c>
      <c r="D13" s="627" t="s">
        <v>521</v>
      </c>
      <c r="E13" s="628">
        <v>1000000</v>
      </c>
      <c r="F13" s="628">
        <v>1487337.94</v>
      </c>
      <c r="G13" s="629">
        <f>J13/F13</f>
        <v>1</v>
      </c>
      <c r="H13" s="629">
        <f>K13/F13</f>
        <v>7.6683971364302037E-2</v>
      </c>
      <c r="I13" s="629">
        <f>L13/F13</f>
        <v>1.0766839713643019</v>
      </c>
      <c r="J13" s="630">
        <v>1487337.94</v>
      </c>
      <c r="K13" s="630">
        <f>L13-J13</f>
        <v>114054.97999999998</v>
      </c>
      <c r="L13" s="630">
        <v>1601392.92</v>
      </c>
      <c r="M13" s="631"/>
      <c r="N13" s="632"/>
      <c r="O13" s="634"/>
      <c r="P13" s="624"/>
    </row>
    <row r="14" spans="1:16">
      <c r="A14" s="624"/>
      <c r="B14" s="625"/>
      <c r="C14" s="626"/>
      <c r="D14" s="627"/>
      <c r="E14" s="635"/>
      <c r="F14" s="635"/>
      <c r="G14" s="625"/>
      <c r="H14" s="625"/>
      <c r="I14" s="625"/>
      <c r="J14" s="630"/>
      <c r="K14" s="630"/>
      <c r="L14" s="630"/>
      <c r="M14" s="631"/>
      <c r="N14" s="632"/>
      <c r="O14" s="634"/>
      <c r="P14" s="624"/>
    </row>
    <row r="15" spans="1:16">
      <c r="A15" s="616"/>
      <c r="B15" s="636"/>
      <c r="C15" s="637" t="s">
        <v>523</v>
      </c>
      <c r="D15" s="638"/>
      <c r="E15" s="639">
        <f>SUM(E16:E26)</f>
        <v>22000000</v>
      </c>
      <c r="F15" s="639">
        <f>SUM(F16:F26)</f>
        <v>32351673.792920005</v>
      </c>
      <c r="G15" s="636"/>
      <c r="H15" s="636"/>
      <c r="I15" s="636"/>
      <c r="J15" s="640">
        <f>SUM(J16:J25)</f>
        <v>24978840.932702404</v>
      </c>
      <c r="K15" s="640">
        <f t="shared" ref="K15:L15" si="1">SUM(K16:K25)</f>
        <v>3504079.0672976016</v>
      </c>
      <c r="L15" s="640">
        <f t="shared" si="1"/>
        <v>28482920.000000004</v>
      </c>
      <c r="M15" s="641"/>
      <c r="N15" s="642"/>
      <c r="O15" s="623"/>
      <c r="P15" s="616"/>
    </row>
    <row r="16" spans="1:16">
      <c r="A16" s="624"/>
      <c r="B16" s="625" t="s">
        <v>244</v>
      </c>
      <c r="C16" s="626" t="s">
        <v>524</v>
      </c>
      <c r="D16" s="627" t="s">
        <v>521</v>
      </c>
      <c r="E16" s="628">
        <v>9691616.2420799993</v>
      </c>
      <c r="F16" s="628">
        <v>15122050.734999999</v>
      </c>
      <c r="G16" s="629">
        <f>J16/F16</f>
        <v>1</v>
      </c>
      <c r="H16" s="629">
        <f>K16/F16</f>
        <v>0.14490346007954996</v>
      </c>
      <c r="I16" s="629">
        <f>L16/F16</f>
        <v>1.14490346007955</v>
      </c>
      <c r="J16" s="630">
        <v>15122050.734999999</v>
      </c>
      <c r="K16" s="630">
        <f>L16-J16</f>
        <v>2191237.4750000015</v>
      </c>
      <c r="L16" s="630">
        <v>17313288.210000001</v>
      </c>
      <c r="M16" s="631"/>
      <c r="N16" s="632"/>
      <c r="O16" s="634"/>
      <c r="P16" s="624"/>
    </row>
    <row r="17" spans="1:16">
      <c r="A17" s="624"/>
      <c r="B17" s="625" t="s">
        <v>525</v>
      </c>
      <c r="C17" s="626" t="s">
        <v>526</v>
      </c>
      <c r="D17" s="627" t="s">
        <v>521</v>
      </c>
      <c r="E17" s="1152">
        <v>6850000</v>
      </c>
      <c r="F17" s="1152">
        <v>9911100.3700000066</v>
      </c>
      <c r="G17" s="1154">
        <f>(J17+J18)/F17</f>
        <v>0.72238291942552457</v>
      </c>
      <c r="H17" s="1154">
        <f>(K17+K18)/F17</f>
        <v>8.6275737110711681E-2</v>
      </c>
      <c r="I17" s="1154">
        <f>(L17+L18)/F17</f>
        <v>0.80865865653623625</v>
      </c>
      <c r="J17" s="630">
        <v>7131178.450000002</v>
      </c>
      <c r="K17" s="630">
        <f t="shared" ref="K17:K25" si="2">L17-J17</f>
        <v>820154.1399999978</v>
      </c>
      <c r="L17" s="630">
        <v>7951332.5899999999</v>
      </c>
      <c r="M17" s="631"/>
      <c r="N17" s="632"/>
      <c r="O17" s="633"/>
      <c r="P17" s="643"/>
    </row>
    <row r="18" spans="1:16">
      <c r="A18" s="624"/>
      <c r="B18" s="625" t="s">
        <v>527</v>
      </c>
      <c r="C18" s="626" t="s">
        <v>528</v>
      </c>
      <c r="D18" s="627" t="s">
        <v>521</v>
      </c>
      <c r="E18" s="1153"/>
      <c r="F18" s="1153"/>
      <c r="G18" s="1155"/>
      <c r="H18" s="1155"/>
      <c r="I18" s="1155"/>
      <c r="J18" s="630">
        <v>28431.17</v>
      </c>
      <c r="K18" s="630">
        <f t="shared" si="2"/>
        <v>34933.35</v>
      </c>
      <c r="L18" s="630">
        <v>63364.52</v>
      </c>
      <c r="M18" s="631"/>
      <c r="N18" s="632"/>
      <c r="O18" s="634"/>
      <c r="P18" s="624"/>
    </row>
    <row r="19" spans="1:16">
      <c r="A19" s="624"/>
      <c r="B19" s="625" t="s">
        <v>529</v>
      </c>
      <c r="C19" s="626" t="s">
        <v>530</v>
      </c>
      <c r="D19" s="627" t="s">
        <v>521</v>
      </c>
      <c r="E19" s="635"/>
      <c r="F19" s="628">
        <v>892511.93</v>
      </c>
      <c r="G19" s="629">
        <f t="shared" ref="G19:G25" si="3">J19/F19</f>
        <v>0.89606453775917594</v>
      </c>
      <c r="H19" s="629">
        <f t="shared" ref="H19:H25" si="4">K19/F19</f>
        <v>1.7216711041610384E-2</v>
      </c>
      <c r="I19" s="629">
        <f t="shared" ref="I19:I25" si="5">L19/F19</f>
        <v>0.91328124880078632</v>
      </c>
      <c r="J19" s="630">
        <v>799748.29</v>
      </c>
      <c r="K19" s="630">
        <f t="shared" si="2"/>
        <v>15366.119999999995</v>
      </c>
      <c r="L19" s="630">
        <v>815114.41</v>
      </c>
      <c r="M19" s="631"/>
      <c r="N19" s="632"/>
      <c r="O19" s="633"/>
      <c r="P19" s="624"/>
    </row>
    <row r="20" spans="1:16">
      <c r="A20" s="624"/>
      <c r="B20" s="625" t="s">
        <v>531</v>
      </c>
      <c r="C20" s="626" t="s">
        <v>532</v>
      </c>
      <c r="D20" s="627" t="s">
        <v>533</v>
      </c>
      <c r="E20" s="628">
        <v>1848858</v>
      </c>
      <c r="F20" s="628">
        <v>2012658</v>
      </c>
      <c r="G20" s="629">
        <f t="shared" si="3"/>
        <v>0.61366645029787426</v>
      </c>
      <c r="H20" s="629">
        <f t="shared" si="4"/>
        <v>0.12000193747590548</v>
      </c>
      <c r="I20" s="629">
        <f t="shared" si="5"/>
        <v>0.73366838777377974</v>
      </c>
      <c r="J20" s="630">
        <v>1235100.6905236191</v>
      </c>
      <c r="K20" s="630">
        <f t="shared" si="2"/>
        <v>241522.85947638098</v>
      </c>
      <c r="L20" s="630">
        <v>1476623.55</v>
      </c>
      <c r="M20" s="631"/>
      <c r="N20" s="632"/>
      <c r="O20" s="634"/>
      <c r="P20" s="624"/>
    </row>
    <row r="21" spans="1:16">
      <c r="A21" s="624"/>
      <c r="B21" s="625" t="s">
        <v>534</v>
      </c>
      <c r="C21" s="626" t="s">
        <v>535</v>
      </c>
      <c r="D21" s="627" t="s">
        <v>536</v>
      </c>
      <c r="E21" s="628">
        <v>400386</v>
      </c>
      <c r="F21" s="628">
        <v>413786</v>
      </c>
      <c r="G21" s="629">
        <f t="shared" si="3"/>
        <v>0.15941716225295199</v>
      </c>
      <c r="H21" s="629">
        <f t="shared" si="4"/>
        <v>0.31474559337435293</v>
      </c>
      <c r="I21" s="629">
        <f t="shared" si="5"/>
        <v>0.47416275562730492</v>
      </c>
      <c r="J21" s="630">
        <v>65964.589899999992</v>
      </c>
      <c r="K21" s="630">
        <f t="shared" si="2"/>
        <v>130237.32010000001</v>
      </c>
      <c r="L21" s="630">
        <v>196201.91</v>
      </c>
      <c r="M21" s="631"/>
      <c r="N21" s="632"/>
      <c r="O21" s="634"/>
      <c r="P21" s="624"/>
    </row>
    <row r="22" spans="1:16">
      <c r="A22" s="624"/>
      <c r="B22" s="625" t="s">
        <v>537</v>
      </c>
      <c r="C22" s="626" t="s">
        <v>538</v>
      </c>
      <c r="D22" s="627" t="s">
        <v>539</v>
      </c>
      <c r="E22" s="628">
        <v>374640</v>
      </c>
      <c r="F22" s="628">
        <v>374640</v>
      </c>
      <c r="G22" s="629">
        <f t="shared" si="3"/>
        <v>0.50568011958146486</v>
      </c>
      <c r="H22" s="629">
        <f t="shared" si="4"/>
        <v>5.7473841554559042E-2</v>
      </c>
      <c r="I22" s="629">
        <f t="shared" si="5"/>
        <v>0.5631539611360239</v>
      </c>
      <c r="J22" s="630">
        <v>189448</v>
      </c>
      <c r="K22" s="630">
        <f t="shared" si="2"/>
        <v>21532</v>
      </c>
      <c r="L22" s="630">
        <v>210980</v>
      </c>
      <c r="M22" s="631"/>
      <c r="N22" s="632"/>
      <c r="O22" s="634"/>
      <c r="P22" s="624"/>
    </row>
    <row r="23" spans="1:16">
      <c r="A23" s="624"/>
      <c r="B23" s="625" t="s">
        <v>540</v>
      </c>
      <c r="C23" s="626" t="s">
        <v>541</v>
      </c>
      <c r="D23" s="627" t="s">
        <v>542</v>
      </c>
      <c r="E23" s="628">
        <v>359100</v>
      </c>
      <c r="F23" s="628">
        <v>1158100</v>
      </c>
      <c r="G23" s="629">
        <f t="shared" si="3"/>
        <v>0</v>
      </c>
      <c r="H23" s="629">
        <f t="shared" si="4"/>
        <v>0</v>
      </c>
      <c r="I23" s="629">
        <f t="shared" si="5"/>
        <v>0</v>
      </c>
      <c r="J23" s="630">
        <v>0</v>
      </c>
      <c r="K23" s="630">
        <f t="shared" si="2"/>
        <v>0</v>
      </c>
      <c r="L23" s="630">
        <v>0</v>
      </c>
      <c r="M23" s="631"/>
      <c r="N23" s="632"/>
      <c r="O23" s="634"/>
      <c r="P23" s="624"/>
    </row>
    <row r="24" spans="1:16">
      <c r="A24" s="624"/>
      <c r="B24" s="625" t="s">
        <v>543</v>
      </c>
      <c r="C24" s="626" t="s">
        <v>544</v>
      </c>
      <c r="D24" s="627" t="s">
        <v>545</v>
      </c>
      <c r="E24" s="628">
        <v>2266294.7579199998</v>
      </c>
      <c r="F24" s="628">
        <v>2274721.7579199998</v>
      </c>
      <c r="G24" s="629">
        <f t="shared" si="3"/>
        <v>0.10252566885016855</v>
      </c>
      <c r="H24" s="629">
        <f t="shared" si="4"/>
        <v>1.4121324433536113E-10</v>
      </c>
      <c r="I24" s="629">
        <f t="shared" si="5"/>
        <v>0.1025256689913818</v>
      </c>
      <c r="J24" s="630">
        <v>233217.36967877916</v>
      </c>
      <c r="K24" s="630">
        <f t="shared" si="2"/>
        <v>3.2122083939611912E-4</v>
      </c>
      <c r="L24" s="630">
        <v>233217.37</v>
      </c>
      <c r="M24" s="631"/>
      <c r="N24" s="632"/>
      <c r="O24" s="634"/>
      <c r="P24" s="624"/>
    </row>
    <row r="25" spans="1:16">
      <c r="A25" s="624"/>
      <c r="B25" s="625" t="s">
        <v>546</v>
      </c>
      <c r="C25" s="626" t="s">
        <v>547</v>
      </c>
      <c r="D25" s="627" t="s">
        <v>548</v>
      </c>
      <c r="E25" s="628">
        <v>209105</v>
      </c>
      <c r="F25" s="628">
        <v>192105</v>
      </c>
      <c r="G25" s="629">
        <f t="shared" si="3"/>
        <v>0.90420154394732044</v>
      </c>
      <c r="H25" s="629">
        <f t="shared" si="4"/>
        <v>0.25556754066786402</v>
      </c>
      <c r="I25" s="629">
        <f t="shared" si="5"/>
        <v>1.1597690846151845</v>
      </c>
      <c r="J25" s="630">
        <v>173701.63759999999</v>
      </c>
      <c r="K25" s="630">
        <f t="shared" si="2"/>
        <v>49095.802400000015</v>
      </c>
      <c r="L25" s="630">
        <v>222797.44</v>
      </c>
      <c r="M25" s="631"/>
      <c r="N25" s="632"/>
      <c r="O25" s="634"/>
      <c r="P25" s="624"/>
    </row>
    <row r="26" spans="1:16">
      <c r="A26" s="624"/>
      <c r="B26" s="625"/>
      <c r="C26" s="626"/>
      <c r="D26" s="627"/>
      <c r="E26" s="635"/>
      <c r="F26" s="635"/>
      <c r="G26" s="625"/>
      <c r="H26" s="625"/>
      <c r="I26" s="625"/>
      <c r="J26" s="630"/>
      <c r="K26" s="630"/>
      <c r="L26" s="630"/>
      <c r="M26" s="631"/>
      <c r="N26" s="632"/>
      <c r="O26" s="634"/>
      <c r="P26" s="624"/>
    </row>
    <row r="27" spans="1:16">
      <c r="A27" s="624"/>
      <c r="B27" s="644"/>
      <c r="C27" s="645" t="s">
        <v>549</v>
      </c>
      <c r="D27" s="646"/>
      <c r="E27" s="647">
        <f>SUM(E28:E32)</f>
        <v>9400000</v>
      </c>
      <c r="F27" s="647">
        <f>SUM(F28:F32)</f>
        <v>9686412.1577574387</v>
      </c>
      <c r="G27" s="644"/>
      <c r="H27" s="644"/>
      <c r="I27" s="644"/>
      <c r="J27" s="648">
        <f>SUM(J28:J32)</f>
        <v>2343672.011368799</v>
      </c>
      <c r="K27" s="648">
        <f t="shared" ref="K27:L27" si="6">SUM(K28:K32)</f>
        <v>1941261.2886312006</v>
      </c>
      <c r="L27" s="648">
        <f t="shared" si="6"/>
        <v>4284933.3</v>
      </c>
      <c r="M27" s="649"/>
      <c r="N27" s="650"/>
      <c r="O27" s="634"/>
      <c r="P27" s="624"/>
    </row>
    <row r="28" spans="1:16">
      <c r="A28" s="624"/>
      <c r="B28" s="625" t="s">
        <v>550</v>
      </c>
      <c r="C28" s="626" t="s">
        <v>551</v>
      </c>
      <c r="D28" s="627" t="s">
        <v>552</v>
      </c>
      <c r="E28" s="628">
        <v>1800000</v>
      </c>
      <c r="F28" s="628">
        <v>918410.63400000031</v>
      </c>
      <c r="G28" s="629">
        <f>J28/F28</f>
        <v>6.6146882179937805E-2</v>
      </c>
      <c r="H28" s="629">
        <f>K28/F28</f>
        <v>0.62574412656463196</v>
      </c>
      <c r="I28" s="629">
        <f>L28/F28</f>
        <v>0.69189100874456977</v>
      </c>
      <c r="J28" s="630">
        <v>60750</v>
      </c>
      <c r="K28" s="630">
        <f t="shared" ref="K28:K32" si="7">L28-J28</f>
        <v>574690.06000000006</v>
      </c>
      <c r="L28" s="630">
        <v>635440.06000000006</v>
      </c>
      <c r="M28" s="631"/>
      <c r="N28" s="632"/>
      <c r="O28" s="634"/>
      <c r="P28" s="624"/>
    </row>
    <row r="29" spans="1:16" ht="29">
      <c r="A29" s="624"/>
      <c r="B29" s="625" t="s">
        <v>553</v>
      </c>
      <c r="C29" s="626" t="s">
        <v>554</v>
      </c>
      <c r="D29" s="651" t="s">
        <v>555</v>
      </c>
      <c r="E29" s="1143">
        <v>2300000</v>
      </c>
      <c r="F29" s="628">
        <v>730823.99999999953</v>
      </c>
      <c r="G29" s="629">
        <f>J29/F29</f>
        <v>0.14472785089207552</v>
      </c>
      <c r="H29" s="629">
        <f>K29/F29</f>
        <v>3.9324889576217929E-2</v>
      </c>
      <c r="I29" s="629">
        <f>L29/F29</f>
        <v>0.18405274046829345</v>
      </c>
      <c r="J29" s="630">
        <v>105770.58690035013</v>
      </c>
      <c r="K29" s="630">
        <f t="shared" si="7"/>
        <v>28739.573099649875</v>
      </c>
      <c r="L29" s="630">
        <v>134510.16</v>
      </c>
      <c r="M29" s="631"/>
      <c r="N29" s="632"/>
      <c r="O29" s="634"/>
      <c r="P29" s="624"/>
    </row>
    <row r="30" spans="1:16" ht="29">
      <c r="A30" s="624"/>
      <c r="B30" s="625" t="s">
        <v>556</v>
      </c>
      <c r="C30" s="626" t="s">
        <v>557</v>
      </c>
      <c r="D30" s="652"/>
      <c r="E30" s="1144"/>
      <c r="F30" s="628">
        <v>1873397.3837574399</v>
      </c>
      <c r="G30" s="629">
        <f>J30/F30</f>
        <v>0.15347177644274707</v>
      </c>
      <c r="H30" s="629">
        <f>K30/F30</f>
        <v>-2.3852115311575816E-9</v>
      </c>
      <c r="I30" s="629">
        <f>L30/F30</f>
        <v>0.15347177405753554</v>
      </c>
      <c r="J30" s="630">
        <v>287513.62446844904</v>
      </c>
      <c r="K30" s="630">
        <f t="shared" si="7"/>
        <v>-4.4684490421786904E-3</v>
      </c>
      <c r="L30" s="630">
        <v>287513.62</v>
      </c>
      <c r="M30" s="631"/>
      <c r="N30" s="632"/>
      <c r="O30" s="634"/>
      <c r="P30" s="624"/>
    </row>
    <row r="31" spans="1:16">
      <c r="A31" s="624"/>
      <c r="B31" s="625" t="s">
        <v>558</v>
      </c>
      <c r="C31" s="626" t="s">
        <v>559</v>
      </c>
      <c r="D31" s="627" t="s">
        <v>560</v>
      </c>
      <c r="E31" s="628">
        <v>1000000</v>
      </c>
      <c r="F31" s="628">
        <v>1746063.9600000002</v>
      </c>
      <c r="G31" s="629">
        <f>J31/F31</f>
        <v>0.13376535187176072</v>
      </c>
      <c r="H31" s="629">
        <f>K31/F31</f>
        <v>0.11407598722786765</v>
      </c>
      <c r="I31" s="629">
        <f>L31/F31</f>
        <v>0.24784133909962838</v>
      </c>
      <c r="J31" s="630">
        <v>233562.86</v>
      </c>
      <c r="K31" s="630">
        <f t="shared" si="7"/>
        <v>199183.97000000003</v>
      </c>
      <c r="L31" s="630">
        <v>432746.83</v>
      </c>
      <c r="M31" s="631"/>
      <c r="N31" s="632"/>
      <c r="O31" s="634"/>
      <c r="P31" s="624"/>
    </row>
    <row r="32" spans="1:16">
      <c r="A32" s="624"/>
      <c r="B32" s="653" t="s">
        <v>561</v>
      </c>
      <c r="C32" s="654" t="s">
        <v>562</v>
      </c>
      <c r="D32" s="655" t="s">
        <v>563</v>
      </c>
      <c r="E32" s="656">
        <v>4300000</v>
      </c>
      <c r="F32" s="656">
        <v>4417716.18</v>
      </c>
      <c r="G32" s="629">
        <f>J32/F32</f>
        <v>0.37487128473699283</v>
      </c>
      <c r="H32" s="629">
        <f>K32/F32</f>
        <v>0.25774577714044089</v>
      </c>
      <c r="I32" s="629">
        <f>L32/F32</f>
        <v>0.63261706187743372</v>
      </c>
      <c r="J32" s="657">
        <v>1656074.9400000002</v>
      </c>
      <c r="K32" s="630">
        <f t="shared" si="7"/>
        <v>1138647.6899999997</v>
      </c>
      <c r="L32" s="657">
        <v>2794722.63</v>
      </c>
      <c r="M32" s="658"/>
      <c r="N32" s="659"/>
      <c r="O32" s="634"/>
      <c r="P32" s="624"/>
    </row>
    <row r="33" spans="1:16">
      <c r="A33" s="608"/>
      <c r="B33" s="660"/>
      <c r="C33" s="660"/>
      <c r="D33" s="660"/>
      <c r="E33" s="660"/>
      <c r="F33" s="660"/>
      <c r="G33" s="660"/>
      <c r="H33" s="660"/>
      <c r="I33" s="660"/>
      <c r="J33" s="661"/>
      <c r="K33" s="661"/>
      <c r="L33" s="661"/>
      <c r="M33" s="660"/>
      <c r="N33" s="608"/>
      <c r="O33" s="610"/>
      <c r="P33" s="608"/>
    </row>
    <row r="34" spans="1:16">
      <c r="A34" s="616"/>
      <c r="B34" s="662"/>
      <c r="C34" s="662" t="s">
        <v>564</v>
      </c>
      <c r="D34" s="662"/>
      <c r="E34" s="663">
        <f>SUM(E27,E15,E11)</f>
        <v>42459900</v>
      </c>
      <c r="F34" s="663">
        <f>SUM(F27,F15,F11)</f>
        <v>53585323.890677437</v>
      </c>
      <c r="G34" s="662"/>
      <c r="H34" s="662"/>
      <c r="I34" s="662"/>
      <c r="J34" s="664">
        <f>SUM(J11,J15,J27)</f>
        <v>37398129.061232492</v>
      </c>
      <c r="K34" s="664">
        <f t="shared" ref="K34:L34" si="8">SUM(K11,K15,K27)</f>
        <v>6591238.5487675136</v>
      </c>
      <c r="L34" s="664">
        <f t="shared" si="8"/>
        <v>43989367.609999999</v>
      </c>
      <c r="M34" s="662"/>
      <c r="N34" s="665"/>
      <c r="O34" s="623"/>
      <c r="P34" s="616"/>
    </row>
    <row r="35" spans="1:16">
      <c r="A35" s="608"/>
      <c r="B35" s="660"/>
      <c r="C35" s="660"/>
      <c r="D35" s="660"/>
      <c r="E35" s="660"/>
      <c r="F35" s="660"/>
      <c r="G35" s="660"/>
      <c r="H35" s="660"/>
      <c r="I35" s="660"/>
      <c r="J35" s="661"/>
      <c r="K35" s="661"/>
      <c r="L35" s="661"/>
      <c r="M35" s="660"/>
      <c r="N35" s="608"/>
      <c r="O35" s="610"/>
      <c r="P35" s="608"/>
    </row>
    <row r="36" spans="1:16">
      <c r="A36" s="1142"/>
      <c r="B36" s="1142"/>
      <c r="C36" s="608"/>
      <c r="D36" s="608"/>
      <c r="E36" s="608"/>
      <c r="F36" s="608"/>
      <c r="G36" s="608"/>
      <c r="H36" s="608"/>
      <c r="I36" s="608"/>
      <c r="J36" s="609"/>
      <c r="K36" s="609"/>
      <c r="L36" s="609"/>
      <c r="M36" s="608"/>
      <c r="N36" s="608"/>
      <c r="O36" s="610"/>
      <c r="P36" s="608"/>
    </row>
    <row r="37" spans="1:16" hidden="1">
      <c r="A37" s="1142"/>
      <c r="B37" s="1142"/>
      <c r="C37" s="608"/>
      <c r="D37" s="608"/>
      <c r="E37" s="666">
        <v>0.125</v>
      </c>
      <c r="F37" s="666">
        <v>0.125</v>
      </c>
      <c r="G37" s="667"/>
      <c r="H37" s="667"/>
      <c r="I37" s="667"/>
      <c r="J37" s="872">
        <v>0.125</v>
      </c>
      <c r="K37" s="872">
        <v>0.125</v>
      </c>
      <c r="L37" s="872">
        <v>0.125</v>
      </c>
      <c r="M37" s="608"/>
      <c r="N37" s="608"/>
      <c r="O37" s="610"/>
      <c r="P37" s="608"/>
    </row>
    <row r="38" spans="1:16" hidden="1">
      <c r="A38" s="1142"/>
      <c r="B38" s="1142"/>
      <c r="C38" s="608"/>
      <c r="D38" s="608"/>
      <c r="E38" s="667"/>
      <c r="F38" s="667"/>
      <c r="G38" s="667"/>
      <c r="H38" s="667"/>
      <c r="I38" s="667"/>
      <c r="J38" s="668"/>
      <c r="K38" s="668"/>
      <c r="L38" s="668"/>
      <c r="M38" s="608"/>
      <c r="N38" s="608"/>
      <c r="O38" s="610"/>
      <c r="P38" s="608"/>
    </row>
    <row r="39" spans="1:16" hidden="1">
      <c r="A39" s="1142"/>
      <c r="B39" s="1142"/>
      <c r="C39" s="608"/>
      <c r="D39" s="608"/>
      <c r="E39" s="669">
        <v>5307487.5</v>
      </c>
      <c r="F39" s="669">
        <v>5137734.47</v>
      </c>
      <c r="G39" s="667"/>
      <c r="H39" s="667"/>
      <c r="I39" s="667"/>
      <c r="J39" s="668">
        <v>1227949.53</v>
      </c>
      <c r="K39" s="668">
        <v>554747.4</v>
      </c>
      <c r="L39" s="668">
        <v>1782696.93</v>
      </c>
      <c r="M39" s="670"/>
      <c r="N39" s="608"/>
      <c r="O39" s="610"/>
      <c r="P39" s="608"/>
    </row>
    <row r="40" spans="1:16" hidden="1">
      <c r="A40" s="1142"/>
      <c r="B40" s="1142"/>
      <c r="C40" s="608"/>
      <c r="D40" s="608"/>
      <c r="E40" s="667"/>
      <c r="F40" s="667"/>
      <c r="G40" s="667"/>
      <c r="H40" s="667"/>
      <c r="I40" s="667"/>
      <c r="J40" s="668"/>
      <c r="K40" s="668"/>
      <c r="L40" s="668"/>
      <c r="M40" s="670"/>
      <c r="N40" s="608"/>
      <c r="O40" s="610"/>
      <c r="P40" s="608"/>
    </row>
    <row r="41" spans="1:16" hidden="1">
      <c r="A41" s="1142"/>
      <c r="B41" s="1142"/>
      <c r="C41" s="608"/>
      <c r="D41" s="608"/>
      <c r="E41" s="671">
        <v>47767387.5</v>
      </c>
      <c r="F41" s="671">
        <v>46239610.25</v>
      </c>
      <c r="G41" s="667"/>
      <c r="H41" s="667"/>
      <c r="I41" s="667"/>
      <c r="J41" s="672">
        <v>11051545.800000001</v>
      </c>
      <c r="K41" s="672">
        <v>4992726.58</v>
      </c>
      <c r="L41" s="672">
        <v>16044272.380000001</v>
      </c>
      <c r="M41" s="608"/>
      <c r="N41" s="608"/>
      <c r="O41" s="610"/>
      <c r="P41" s="608"/>
    </row>
    <row r="42" spans="1:16" hidden="1">
      <c r="A42" s="1142"/>
      <c r="B42" s="1142"/>
      <c r="C42" s="608"/>
      <c r="D42" s="608"/>
      <c r="E42" s="667"/>
      <c r="F42" s="667"/>
      <c r="G42" s="667"/>
      <c r="H42" s="667"/>
      <c r="I42" s="667"/>
      <c r="J42" s="668"/>
      <c r="K42" s="668"/>
      <c r="L42" s="668"/>
      <c r="M42" s="608"/>
      <c r="N42" s="608"/>
      <c r="O42" s="610"/>
      <c r="P42" s="608"/>
    </row>
    <row r="43" spans="1:16" hidden="1">
      <c r="A43" s="1142"/>
      <c r="B43" s="1142"/>
      <c r="C43" s="608"/>
      <c r="D43" s="608"/>
      <c r="E43" s="608"/>
      <c r="F43" s="608"/>
      <c r="G43" s="608"/>
      <c r="H43" s="608"/>
      <c r="I43" s="673" t="s">
        <v>22</v>
      </c>
      <c r="J43" s="609"/>
      <c r="K43" s="609"/>
      <c r="L43" s="609"/>
      <c r="M43" s="608"/>
      <c r="N43" s="608"/>
      <c r="O43" s="610"/>
      <c r="P43" s="608"/>
    </row>
    <row r="44" spans="1:16" hidden="1">
      <c r="A44" s="1142"/>
      <c r="B44" s="1142"/>
      <c r="C44" s="608"/>
      <c r="D44" s="608"/>
      <c r="E44" s="608"/>
      <c r="F44" s="608"/>
      <c r="G44" s="608"/>
      <c r="H44" s="608"/>
      <c r="I44" s="670" t="s">
        <v>520</v>
      </c>
      <c r="J44" s="674">
        <v>0.314</v>
      </c>
      <c r="K44" s="674">
        <v>0.24199999999999999</v>
      </c>
      <c r="L44" s="674">
        <v>0.29199999999999998</v>
      </c>
      <c r="M44" s="608"/>
      <c r="N44" s="608"/>
      <c r="O44" s="610"/>
      <c r="P44" s="608"/>
    </row>
    <row r="45" spans="1:16" hidden="1">
      <c r="A45" s="1142"/>
      <c r="B45" s="1142"/>
      <c r="C45" s="608"/>
      <c r="D45" s="608"/>
      <c r="E45" s="608"/>
      <c r="F45" s="608"/>
      <c r="G45" s="608"/>
      <c r="H45" s="608"/>
      <c r="I45" s="670" t="s">
        <v>522</v>
      </c>
      <c r="J45" s="674">
        <v>4.5999999999999999E-2</v>
      </c>
      <c r="K45" s="674">
        <v>2.4E-2</v>
      </c>
      <c r="L45" s="674">
        <v>3.9E-2</v>
      </c>
      <c r="M45" s="608"/>
      <c r="N45" s="608"/>
      <c r="O45" s="610"/>
      <c r="P45" s="608"/>
    </row>
    <row r="46" spans="1:16" hidden="1">
      <c r="A46" s="1142"/>
      <c r="B46" s="1142"/>
      <c r="C46" s="608"/>
      <c r="D46" s="608"/>
      <c r="E46" s="608"/>
      <c r="F46" s="608"/>
      <c r="G46" s="608"/>
      <c r="H46" s="608"/>
      <c r="I46" s="670"/>
      <c r="J46" s="674"/>
      <c r="K46" s="674"/>
      <c r="L46" s="674"/>
      <c r="M46" s="608"/>
      <c r="N46" s="608"/>
      <c r="O46" s="610"/>
      <c r="P46" s="608"/>
    </row>
    <row r="47" spans="1:16" hidden="1">
      <c r="A47" s="1142"/>
      <c r="B47" s="1142"/>
      <c r="C47" s="608"/>
      <c r="D47" s="608"/>
      <c r="E47" s="608"/>
      <c r="F47" s="608"/>
      <c r="G47" s="608"/>
      <c r="H47" s="608"/>
      <c r="I47" s="673" t="s">
        <v>523</v>
      </c>
      <c r="J47" s="674"/>
      <c r="K47" s="674"/>
      <c r="L47" s="674"/>
      <c r="M47" s="608"/>
      <c r="N47" s="608"/>
      <c r="O47" s="610"/>
      <c r="P47" s="608"/>
    </row>
    <row r="48" spans="1:16" hidden="1">
      <c r="A48" s="1142"/>
      <c r="B48" s="1142"/>
      <c r="C48" s="608"/>
      <c r="D48" s="608"/>
      <c r="E48" s="608"/>
      <c r="F48" s="608"/>
      <c r="G48" s="608"/>
      <c r="H48" s="608"/>
      <c r="I48" s="670" t="s">
        <v>524</v>
      </c>
      <c r="J48" s="674">
        <v>0.36599999999999999</v>
      </c>
      <c r="K48" s="674">
        <v>0.502</v>
      </c>
      <c r="L48" s="674">
        <v>0.40799999999999997</v>
      </c>
      <c r="M48" s="608"/>
      <c r="N48" s="608"/>
      <c r="O48" s="610"/>
      <c r="P48" s="608"/>
    </row>
    <row r="49" spans="1:16" hidden="1">
      <c r="A49" s="1142"/>
      <c r="B49" s="1142"/>
      <c r="C49" s="608"/>
      <c r="D49" s="608"/>
      <c r="E49" s="608"/>
      <c r="F49" s="608"/>
      <c r="G49" s="608"/>
      <c r="H49" s="608"/>
      <c r="I49" s="670" t="s">
        <v>526</v>
      </c>
      <c r="J49" s="674">
        <v>0.14299999999999999</v>
      </c>
      <c r="K49" s="674">
        <v>0.151</v>
      </c>
      <c r="L49" s="674">
        <v>0.14599999999999999</v>
      </c>
      <c r="M49" s="608"/>
      <c r="N49" s="608"/>
      <c r="O49" s="610"/>
      <c r="P49" s="608"/>
    </row>
    <row r="50" spans="1:16" hidden="1">
      <c r="A50" s="1142"/>
      <c r="B50" s="1142"/>
      <c r="C50" s="608"/>
      <c r="D50" s="608"/>
      <c r="E50" s="608"/>
      <c r="F50" s="608"/>
      <c r="G50" s="608"/>
      <c r="H50" s="608"/>
      <c r="I50" s="670" t="s">
        <v>528</v>
      </c>
      <c r="J50" s="674">
        <v>1.2999999999999999E-2</v>
      </c>
      <c r="K50" s="674">
        <v>0.01</v>
      </c>
      <c r="L50" s="674">
        <v>1.2E-2</v>
      </c>
      <c r="M50" s="608"/>
      <c r="N50" s="608"/>
      <c r="O50" s="610"/>
      <c r="P50" s="608"/>
    </row>
    <row r="51" spans="1:16" hidden="1">
      <c r="A51" s="1142"/>
      <c r="B51" s="1142"/>
      <c r="C51" s="608"/>
      <c r="D51" s="608"/>
      <c r="E51" s="608"/>
      <c r="F51" s="608"/>
      <c r="G51" s="608"/>
      <c r="H51" s="608"/>
      <c r="I51" s="670" t="s">
        <v>530</v>
      </c>
      <c r="J51" s="674">
        <v>7.5999999999999998E-2</v>
      </c>
      <c r="K51" s="674">
        <v>5.0000000000000001E-3</v>
      </c>
      <c r="L51" s="674">
        <v>5.3999999999999999E-2</v>
      </c>
      <c r="M51" s="608"/>
      <c r="N51" s="608"/>
      <c r="O51" s="610"/>
      <c r="P51" s="608"/>
    </row>
    <row r="52" spans="1:16" hidden="1">
      <c r="A52" s="1142"/>
      <c r="B52" s="1142"/>
      <c r="C52" s="608"/>
      <c r="D52" s="608"/>
      <c r="E52" s="608"/>
      <c r="F52" s="608"/>
      <c r="G52" s="608"/>
      <c r="H52" s="608"/>
      <c r="I52" s="670" t="s">
        <v>532</v>
      </c>
      <c r="J52" s="674">
        <v>2.5999999999999999E-2</v>
      </c>
      <c r="K52" s="674">
        <v>5.1999999999999998E-2</v>
      </c>
      <c r="L52" s="674">
        <v>3.4000000000000002E-2</v>
      </c>
      <c r="M52" s="608"/>
      <c r="N52" s="608"/>
      <c r="O52" s="610"/>
      <c r="P52" s="608"/>
    </row>
    <row r="53" spans="1:16" hidden="1">
      <c r="A53" s="1142"/>
      <c r="B53" s="1142"/>
      <c r="C53" s="608"/>
      <c r="D53" s="608"/>
      <c r="E53" s="608"/>
      <c r="F53" s="608"/>
      <c r="G53" s="608"/>
      <c r="H53" s="608"/>
      <c r="I53" s="670" t="s">
        <v>535</v>
      </c>
      <c r="J53" s="674">
        <v>0</v>
      </c>
      <c r="K53" s="674">
        <v>0</v>
      </c>
      <c r="L53" s="674">
        <v>0</v>
      </c>
      <c r="M53" s="608"/>
      <c r="N53" s="608"/>
      <c r="O53" s="610"/>
      <c r="P53" s="608"/>
    </row>
    <row r="54" spans="1:16" hidden="1">
      <c r="A54" s="1142"/>
      <c r="B54" s="1142"/>
      <c r="C54" s="608"/>
      <c r="D54" s="608"/>
      <c r="E54" s="608"/>
      <c r="F54" s="608"/>
      <c r="G54" s="608"/>
      <c r="H54" s="608"/>
      <c r="I54" s="670" t="s">
        <v>538</v>
      </c>
      <c r="J54" s="674">
        <v>0</v>
      </c>
      <c r="K54" s="674">
        <v>0</v>
      </c>
      <c r="L54" s="674">
        <v>0</v>
      </c>
      <c r="M54" s="608"/>
      <c r="N54" s="608"/>
      <c r="O54" s="610"/>
      <c r="P54" s="608"/>
    </row>
    <row r="55" spans="1:16" hidden="1">
      <c r="A55" s="1142"/>
      <c r="B55" s="1142"/>
      <c r="C55" s="608"/>
      <c r="D55" s="608"/>
      <c r="E55" s="608"/>
      <c r="F55" s="608"/>
      <c r="G55" s="608"/>
      <c r="H55" s="608"/>
      <c r="I55" s="670" t="s">
        <v>541</v>
      </c>
      <c r="J55" s="674">
        <v>0</v>
      </c>
      <c r="K55" s="674">
        <v>0</v>
      </c>
      <c r="L55" s="674">
        <v>0</v>
      </c>
      <c r="M55" s="608"/>
      <c r="N55" s="608"/>
      <c r="O55" s="610"/>
      <c r="P55" s="608"/>
    </row>
    <row r="56" spans="1:16" hidden="1">
      <c r="A56" s="1142"/>
      <c r="B56" s="1142"/>
      <c r="C56" s="608"/>
      <c r="D56" s="608"/>
      <c r="E56" s="608"/>
      <c r="F56" s="608"/>
      <c r="G56" s="608"/>
      <c r="H56" s="608"/>
      <c r="I56" s="670" t="s">
        <v>544</v>
      </c>
      <c r="J56" s="674">
        <v>0.01</v>
      </c>
      <c r="K56" s="674">
        <v>7.0000000000000001E-3</v>
      </c>
      <c r="L56" s="674">
        <v>8.9999999999999993E-3</v>
      </c>
      <c r="M56" s="608"/>
      <c r="N56" s="608"/>
      <c r="O56" s="610"/>
      <c r="P56" s="608"/>
    </row>
    <row r="57" spans="1:16" hidden="1">
      <c r="A57" s="1142"/>
      <c r="B57" s="1142"/>
      <c r="C57" s="608"/>
      <c r="D57" s="608"/>
      <c r="E57" s="608"/>
      <c r="F57" s="608"/>
      <c r="G57" s="608"/>
      <c r="H57" s="608"/>
      <c r="I57" s="670" t="s">
        <v>547</v>
      </c>
      <c r="J57" s="674">
        <v>5.0000000000000001E-3</v>
      </c>
      <c r="K57" s="674">
        <v>8.9999999999999993E-3</v>
      </c>
      <c r="L57" s="674">
        <v>6.0000000000000001E-3</v>
      </c>
      <c r="M57" s="608"/>
      <c r="N57" s="608"/>
      <c r="O57" s="610"/>
      <c r="P57" s="608"/>
    </row>
    <row r="58" spans="1:16" hidden="1">
      <c r="A58" s="1142"/>
      <c r="B58" s="1142"/>
      <c r="C58" s="608"/>
      <c r="D58" s="608"/>
      <c r="E58" s="608"/>
      <c r="F58" s="608"/>
      <c r="G58" s="608"/>
      <c r="H58" s="608"/>
      <c r="I58" s="670"/>
      <c r="J58" s="674"/>
      <c r="K58" s="674"/>
      <c r="L58" s="674"/>
      <c r="M58" s="608"/>
      <c r="N58" s="608"/>
      <c r="O58" s="610"/>
      <c r="P58" s="608"/>
    </row>
    <row r="59" spans="1:16" hidden="1">
      <c r="A59" s="1142"/>
      <c r="B59" s="1142"/>
      <c r="C59" s="608"/>
      <c r="D59" s="608"/>
      <c r="E59" s="608"/>
      <c r="F59" s="608"/>
      <c r="G59" s="608"/>
      <c r="H59" s="608"/>
      <c r="I59" s="673" t="s">
        <v>549</v>
      </c>
      <c r="J59" s="674"/>
      <c r="K59" s="674"/>
      <c r="L59" s="674"/>
      <c r="M59" s="608"/>
      <c r="N59" s="608"/>
      <c r="O59" s="610"/>
      <c r="P59" s="608"/>
    </row>
    <row r="60" spans="1:16" hidden="1">
      <c r="A60" s="1142"/>
      <c r="B60" s="1142"/>
      <c r="C60" s="608"/>
      <c r="D60" s="608"/>
      <c r="E60" s="608"/>
      <c r="F60" s="608"/>
      <c r="G60" s="608"/>
      <c r="H60" s="608"/>
      <c r="I60" s="670" t="s">
        <v>551</v>
      </c>
      <c r="J60" s="674">
        <v>0</v>
      </c>
      <c r="K60" s="674">
        <v>0</v>
      </c>
      <c r="L60" s="674">
        <v>0</v>
      </c>
      <c r="M60" s="608"/>
      <c r="N60" s="608"/>
      <c r="O60" s="610"/>
      <c r="P60" s="608"/>
    </row>
    <row r="61" spans="1:16" hidden="1">
      <c r="A61" s="1142"/>
      <c r="B61" s="1142"/>
      <c r="C61" s="608"/>
      <c r="D61" s="608"/>
      <c r="E61" s="608"/>
      <c r="F61" s="608"/>
      <c r="G61" s="608"/>
      <c r="H61" s="608"/>
      <c r="I61" s="670" t="s">
        <v>554</v>
      </c>
      <c r="J61" s="674">
        <v>0</v>
      </c>
      <c r="K61" s="674">
        <v>0</v>
      </c>
      <c r="L61" s="674">
        <v>0</v>
      </c>
      <c r="M61" s="608"/>
      <c r="N61" s="608"/>
      <c r="O61" s="610"/>
      <c r="P61" s="608"/>
    </row>
    <row r="62" spans="1:16" hidden="1">
      <c r="A62" s="1142"/>
      <c r="B62" s="1142"/>
      <c r="C62" s="608"/>
      <c r="D62" s="608"/>
      <c r="E62" s="608"/>
      <c r="F62" s="608"/>
      <c r="G62" s="608"/>
      <c r="H62" s="608"/>
      <c r="I62" s="670" t="s">
        <v>557</v>
      </c>
      <c r="J62" s="674">
        <v>0</v>
      </c>
      <c r="K62" s="674">
        <v>0</v>
      </c>
      <c r="L62" s="674">
        <v>0</v>
      </c>
      <c r="M62" s="608"/>
      <c r="N62" s="608"/>
      <c r="O62" s="610"/>
      <c r="P62" s="608"/>
    </row>
    <row r="63" spans="1:16" hidden="1">
      <c r="A63" s="1142"/>
      <c r="B63" s="1142"/>
      <c r="C63" s="608"/>
      <c r="D63" s="608"/>
      <c r="E63" s="608"/>
      <c r="F63" s="608"/>
      <c r="G63" s="608"/>
      <c r="H63" s="608"/>
      <c r="I63" s="670" t="s">
        <v>559</v>
      </c>
      <c r="J63" s="674">
        <v>0</v>
      </c>
      <c r="K63" s="674">
        <v>0</v>
      </c>
      <c r="L63" s="674">
        <v>0</v>
      </c>
      <c r="M63" s="608"/>
      <c r="N63" s="608"/>
      <c r="O63" s="610"/>
      <c r="P63" s="608"/>
    </row>
    <row r="64" spans="1:16" hidden="1">
      <c r="A64" s="1142"/>
      <c r="B64" s="1142"/>
      <c r="C64" s="608"/>
      <c r="D64" s="608"/>
      <c r="E64" s="608"/>
      <c r="F64" s="608"/>
      <c r="G64" s="608"/>
      <c r="H64" s="608"/>
      <c r="I64" s="670" t="s">
        <v>562</v>
      </c>
      <c r="J64" s="674">
        <v>0</v>
      </c>
      <c r="K64" s="674">
        <v>0</v>
      </c>
      <c r="L64" s="674">
        <v>0</v>
      </c>
      <c r="M64" s="608"/>
      <c r="N64" s="608"/>
      <c r="O64" s="610"/>
      <c r="P64" s="608"/>
    </row>
    <row r="65" spans="1:16" hidden="1">
      <c r="A65" s="1142"/>
      <c r="B65" s="1142"/>
      <c r="C65" s="608"/>
      <c r="D65" s="608"/>
      <c r="E65" s="608"/>
      <c r="F65" s="608"/>
      <c r="G65" s="608"/>
      <c r="H65" s="608"/>
      <c r="I65" s="608"/>
      <c r="J65" s="609"/>
      <c r="K65" s="609"/>
      <c r="L65" s="609"/>
      <c r="M65" s="608"/>
      <c r="N65" s="608"/>
      <c r="O65" s="610"/>
      <c r="P65" s="608"/>
    </row>
    <row r="66" spans="1:16" hidden="1"/>
  </sheetData>
  <mergeCells count="46">
    <mergeCell ref="A1:B1"/>
    <mergeCell ref="A8:B8"/>
    <mergeCell ref="B9:B10"/>
    <mergeCell ref="C9:C10"/>
    <mergeCell ref="D9:D10"/>
    <mergeCell ref="F9:F10"/>
    <mergeCell ref="G9:I9"/>
    <mergeCell ref="J9:L9"/>
    <mergeCell ref="M9:M10"/>
    <mergeCell ref="E17:E18"/>
    <mergeCell ref="F17:F18"/>
    <mergeCell ref="G17:G18"/>
    <mergeCell ref="H17:H18"/>
    <mergeCell ref="I17:I18"/>
    <mergeCell ref="E9:E10"/>
    <mergeCell ref="A46:B46"/>
    <mergeCell ref="E29:E30"/>
    <mergeCell ref="A36:B36"/>
    <mergeCell ref="A37:B37"/>
    <mergeCell ref="A38:B38"/>
    <mergeCell ref="A39:B39"/>
    <mergeCell ref="A40:B40"/>
    <mergeCell ref="A41:B41"/>
    <mergeCell ref="A42:B42"/>
    <mergeCell ref="A43:B43"/>
    <mergeCell ref="A44:B44"/>
    <mergeCell ref="A45:B45"/>
    <mergeCell ref="A58:B58"/>
    <mergeCell ref="A47:B47"/>
    <mergeCell ref="A48:B48"/>
    <mergeCell ref="A49:B49"/>
    <mergeCell ref="A50:B50"/>
    <mergeCell ref="A51:B51"/>
    <mergeCell ref="A52:B52"/>
    <mergeCell ref="A53:B53"/>
    <mergeCell ref="A54:B54"/>
    <mergeCell ref="A55:B55"/>
    <mergeCell ref="A56:B56"/>
    <mergeCell ref="A57:B57"/>
    <mergeCell ref="A65:B65"/>
    <mergeCell ref="A59:B59"/>
    <mergeCell ref="A60:B60"/>
    <mergeCell ref="A61:B61"/>
    <mergeCell ref="A62:B62"/>
    <mergeCell ref="A63:B63"/>
    <mergeCell ref="A64:B64"/>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0"/>
  <sheetViews>
    <sheetView view="pageBreakPreview" zoomScale="90" zoomScaleNormal="100" zoomScaleSheetLayoutView="90" workbookViewId="0">
      <selection activeCell="A20" sqref="A20:XFD20"/>
    </sheetView>
  </sheetViews>
  <sheetFormatPr defaultRowHeight="14.5"/>
  <cols>
    <col min="1" max="1" width="8.90625" customWidth="1"/>
    <col min="2" max="2" width="66.08984375" customWidth="1"/>
    <col min="3" max="3" width="22.08984375" customWidth="1"/>
    <col min="4" max="4" width="14.6328125" customWidth="1"/>
    <col min="5" max="5" width="14.90625" style="2" customWidth="1"/>
    <col min="6" max="6" width="54.08984375" customWidth="1"/>
    <col min="8" max="8" width="14.6328125" customWidth="1"/>
    <col min="9" max="9" width="17.6328125" style="2" customWidth="1"/>
  </cols>
  <sheetData>
    <row r="1" spans="1:9" ht="18">
      <c r="A1" s="1081" t="s">
        <v>0</v>
      </c>
      <c r="B1" s="1081"/>
      <c r="C1" s="1081"/>
      <c r="D1" s="1081"/>
      <c r="E1" s="1081"/>
      <c r="F1" s="1081"/>
    </row>
    <row r="2" spans="1:9" ht="16" thickBot="1">
      <c r="A2" s="1082" t="s">
        <v>824</v>
      </c>
      <c r="B2" s="1082"/>
      <c r="C2" s="1082"/>
      <c r="D2" s="1082"/>
      <c r="E2" s="1082"/>
      <c r="F2" s="1082"/>
    </row>
    <row r="3" spans="1:9">
      <c r="A3" s="285"/>
      <c r="B3" s="309"/>
      <c r="C3" s="309"/>
      <c r="D3" s="286"/>
      <c r="E3" s="286"/>
      <c r="F3" s="874"/>
    </row>
    <row r="4" spans="1:9">
      <c r="A4" s="314" t="s">
        <v>2</v>
      </c>
      <c r="E4" s="315" t="s">
        <v>3</v>
      </c>
      <c r="F4" s="316">
        <f ca="1">+'Annexure-4 Labour Cost Summary'!H4</f>
        <v>44979</v>
      </c>
    </row>
    <row r="5" spans="1:9">
      <c r="A5" s="314" t="s">
        <v>162</v>
      </c>
      <c r="E5" s="315" t="s">
        <v>5</v>
      </c>
      <c r="F5" s="316" t="str">
        <f>+'Annexure-4 Labour Cost Summary'!H5</f>
        <v>KCE-12</v>
      </c>
    </row>
    <row r="6" spans="1:9">
      <c r="A6" s="314" t="s">
        <v>163</v>
      </c>
      <c r="E6" s="315" t="s">
        <v>8</v>
      </c>
      <c r="F6" s="316" t="str">
        <f>+'Annexure-4 Labour Cost Summary'!H6</f>
        <v>AED</v>
      </c>
    </row>
    <row r="7" spans="1:9" ht="15" thickBot="1">
      <c r="A7" s="289"/>
      <c r="B7" s="290"/>
      <c r="C7" s="290"/>
      <c r="D7" s="290"/>
      <c r="E7" s="291"/>
      <c r="F7" s="895"/>
    </row>
    <row r="9" spans="1:9" ht="15" thickBot="1"/>
    <row r="10" spans="1:9" s="787" customFormat="1" ht="31.25" customHeight="1" thickBot="1">
      <c r="A10" s="877" t="s">
        <v>207</v>
      </c>
      <c r="B10" s="878" t="s">
        <v>141</v>
      </c>
      <c r="C10" s="878" t="s">
        <v>818</v>
      </c>
      <c r="D10" s="878" t="s">
        <v>823</v>
      </c>
      <c r="E10" s="878" t="s">
        <v>167</v>
      </c>
      <c r="F10" s="879" t="s">
        <v>494</v>
      </c>
      <c r="G10" s="880"/>
      <c r="H10" s="336"/>
      <c r="I10" s="788"/>
    </row>
    <row r="11" spans="1:9">
      <c r="A11" s="881" t="s">
        <v>145</v>
      </c>
      <c r="B11" s="300" t="s">
        <v>819</v>
      </c>
      <c r="C11" s="300" t="s">
        <v>820</v>
      </c>
      <c r="D11" s="300" t="s">
        <v>821</v>
      </c>
      <c r="E11" s="301">
        <v>2797.41</v>
      </c>
      <c r="F11" s="876" t="s">
        <v>826</v>
      </c>
      <c r="H11" s="779" t="s">
        <v>164</v>
      </c>
      <c r="I11" s="806" t="s">
        <v>256</v>
      </c>
    </row>
    <row r="12" spans="1:9">
      <c r="A12" s="881" t="s">
        <v>147</v>
      </c>
      <c r="B12" s="300" t="s">
        <v>819</v>
      </c>
      <c r="C12" s="300" t="s">
        <v>820</v>
      </c>
      <c r="D12" s="300" t="s">
        <v>817</v>
      </c>
      <c r="E12" s="301">
        <v>1259.8</v>
      </c>
      <c r="F12" s="876" t="s">
        <v>826</v>
      </c>
      <c r="H12" s="922" t="s">
        <v>876</v>
      </c>
      <c r="I12" s="923">
        <f>SUMIF(C$11:C$1001,H12,E$11:E$1001)</f>
        <v>77124.490000000005</v>
      </c>
    </row>
    <row r="13" spans="1:9">
      <c r="A13" s="881" t="s">
        <v>149</v>
      </c>
      <c r="B13" s="300" t="s">
        <v>825</v>
      </c>
      <c r="C13" s="300" t="s">
        <v>816</v>
      </c>
      <c r="D13" s="300" t="s">
        <v>877</v>
      </c>
      <c r="E13" s="301">
        <f>353.589047619048+147.6+20</f>
        <v>521.18904761904798</v>
      </c>
      <c r="F13" s="876" t="s">
        <v>822</v>
      </c>
      <c r="H13" s="300" t="s">
        <v>820</v>
      </c>
      <c r="I13" s="301">
        <f>SUMIF(C$11:C$1001,H13,E$11:E$1001)</f>
        <v>4057.21</v>
      </c>
    </row>
    <row r="14" spans="1:9">
      <c r="A14" s="881" t="s">
        <v>151</v>
      </c>
      <c r="B14" s="300" t="s">
        <v>868</v>
      </c>
      <c r="C14" s="300" t="s">
        <v>876</v>
      </c>
      <c r="D14" s="300" t="s">
        <v>877</v>
      </c>
      <c r="E14" s="301">
        <v>9071.5400000000009</v>
      </c>
      <c r="F14" s="875"/>
      <c r="H14" s="300" t="s">
        <v>878</v>
      </c>
      <c r="I14" s="301">
        <f>SUMIF(C$11:C$1001,H14,E$11:E$1001)</f>
        <v>0</v>
      </c>
    </row>
    <row r="15" spans="1:9">
      <c r="A15" s="881" t="s">
        <v>153</v>
      </c>
      <c r="B15" s="300" t="s">
        <v>869</v>
      </c>
      <c r="C15" s="300" t="s">
        <v>876</v>
      </c>
      <c r="D15" s="300" t="s">
        <v>877</v>
      </c>
      <c r="E15" s="301">
        <v>9384.76</v>
      </c>
      <c r="F15" s="875"/>
      <c r="H15" s="915" t="s">
        <v>816</v>
      </c>
      <c r="I15" s="916">
        <f>SUMIF(C$11:C$1001,H15,E$11:E$1001)</f>
        <v>48681.189047619046</v>
      </c>
    </row>
    <row r="16" spans="1:9">
      <c r="A16" s="881" t="s">
        <v>261</v>
      </c>
      <c r="B16" s="300" t="s">
        <v>870</v>
      </c>
      <c r="C16" s="300" t="s">
        <v>876</v>
      </c>
      <c r="D16" s="300" t="s">
        <v>877</v>
      </c>
      <c r="E16" s="301">
        <v>9051.18</v>
      </c>
      <c r="F16" s="875"/>
      <c r="H16" s="924" t="s">
        <v>879</v>
      </c>
      <c r="I16" s="925">
        <f>SUM(I12:I15)</f>
        <v>129862.88904761906</v>
      </c>
    </row>
    <row r="17" spans="1:6">
      <c r="A17" s="881" t="s">
        <v>263</v>
      </c>
      <c r="B17" s="300" t="s">
        <v>871</v>
      </c>
      <c r="C17" s="300" t="s">
        <v>876</v>
      </c>
      <c r="D17" s="300" t="s">
        <v>877</v>
      </c>
      <c r="E17" s="301">
        <v>9951.73</v>
      </c>
      <c r="F17" s="875"/>
    </row>
    <row r="18" spans="1:6">
      <c r="A18" s="881" t="s">
        <v>264</v>
      </c>
      <c r="B18" s="300" t="s">
        <v>871</v>
      </c>
      <c r="C18" s="300" t="s">
        <v>876</v>
      </c>
      <c r="D18" s="300" t="s">
        <v>877</v>
      </c>
      <c r="E18" s="301">
        <v>1583.52</v>
      </c>
      <c r="F18" s="875"/>
    </row>
    <row r="19" spans="1:6">
      <c r="A19" s="881" t="s">
        <v>266</v>
      </c>
      <c r="B19" s="300" t="s">
        <v>885</v>
      </c>
      <c r="C19" s="300" t="s">
        <v>876</v>
      </c>
      <c r="D19" s="300" t="s">
        <v>886</v>
      </c>
      <c r="E19" s="301">
        <v>19197</v>
      </c>
      <c r="F19" s="875"/>
    </row>
    <row r="20" spans="1:6">
      <c r="A20" s="881" t="s">
        <v>268</v>
      </c>
      <c r="B20" s="300" t="s">
        <v>936</v>
      </c>
      <c r="C20" s="300" t="s">
        <v>876</v>
      </c>
      <c r="D20" s="300" t="s">
        <v>937</v>
      </c>
      <c r="E20" s="301">
        <v>18884.759999999998</v>
      </c>
      <c r="F20" s="875"/>
    </row>
    <row r="21" spans="1:6">
      <c r="A21" s="881" t="s">
        <v>270</v>
      </c>
      <c r="B21" s="300" t="s">
        <v>872</v>
      </c>
      <c r="C21" s="300" t="s">
        <v>816</v>
      </c>
      <c r="D21" s="300" t="s">
        <v>877</v>
      </c>
      <c r="E21" s="301">
        <v>8370.5300000000007</v>
      </c>
      <c r="F21" s="875"/>
    </row>
    <row r="22" spans="1:6">
      <c r="A22" s="881" t="s">
        <v>271</v>
      </c>
      <c r="B22" s="300" t="s">
        <v>873</v>
      </c>
      <c r="C22" s="300" t="s">
        <v>816</v>
      </c>
      <c r="D22" s="300" t="s">
        <v>877</v>
      </c>
      <c r="E22" s="301">
        <v>11789.47</v>
      </c>
      <c r="F22" s="875"/>
    </row>
    <row r="23" spans="1:6">
      <c r="A23" s="881" t="s">
        <v>273</v>
      </c>
      <c r="B23" s="300" t="s">
        <v>874</v>
      </c>
      <c r="C23" s="300" t="s">
        <v>816</v>
      </c>
      <c r="D23" s="300" t="s">
        <v>877</v>
      </c>
      <c r="E23" s="301">
        <v>14000</v>
      </c>
      <c r="F23" s="875"/>
    </row>
    <row r="24" spans="1:6">
      <c r="A24" s="881" t="s">
        <v>275</v>
      </c>
      <c r="B24" s="300" t="s">
        <v>875</v>
      </c>
      <c r="C24" s="300" t="s">
        <v>816</v>
      </c>
      <c r="D24" s="300" t="s">
        <v>877</v>
      </c>
      <c r="E24" s="301">
        <v>14000</v>
      </c>
      <c r="F24" s="875"/>
    </row>
    <row r="25" spans="1:6">
      <c r="A25" s="882"/>
      <c r="B25" s="300"/>
      <c r="C25" s="300"/>
      <c r="D25" s="300"/>
      <c r="E25" s="301"/>
      <c r="F25" s="875"/>
    </row>
    <row r="26" spans="1:6">
      <c r="A26" s="882"/>
      <c r="B26" s="300"/>
      <c r="C26" s="300"/>
      <c r="D26" s="300"/>
      <c r="E26" s="301"/>
      <c r="F26" s="875"/>
    </row>
    <row r="27" spans="1:6">
      <c r="A27" s="882"/>
      <c r="B27" s="300"/>
      <c r="C27" s="300"/>
      <c r="D27" s="300"/>
      <c r="E27" s="301"/>
      <c r="F27" s="875"/>
    </row>
    <row r="28" spans="1:6">
      <c r="A28" s="882"/>
      <c r="B28" s="300"/>
      <c r="C28" s="300"/>
      <c r="D28" s="300"/>
      <c r="E28" s="301"/>
      <c r="F28" s="875"/>
    </row>
    <row r="29" spans="1:6">
      <c r="A29" s="882"/>
      <c r="B29" s="300"/>
      <c r="C29" s="300"/>
      <c r="D29" s="300"/>
      <c r="E29" s="301"/>
      <c r="F29" s="875"/>
    </row>
    <row r="30" spans="1:6">
      <c r="A30" s="882"/>
      <c r="B30" s="300"/>
      <c r="C30" s="300"/>
      <c r="D30" s="300"/>
      <c r="E30" s="301"/>
      <c r="F30" s="875"/>
    </row>
    <row r="31" spans="1:6">
      <c r="A31" s="882"/>
      <c r="B31" s="300"/>
      <c r="C31" s="300"/>
      <c r="D31" s="300"/>
      <c r="E31" s="301"/>
      <c r="F31" s="875"/>
    </row>
    <row r="32" spans="1:6">
      <c r="A32" s="882"/>
      <c r="B32" s="300"/>
      <c r="C32" s="300"/>
      <c r="D32" s="300"/>
      <c r="E32" s="301"/>
      <c r="F32" s="875"/>
    </row>
    <row r="33" spans="1:6">
      <c r="A33" s="882"/>
      <c r="B33" s="300"/>
      <c r="C33" s="300"/>
      <c r="D33" s="300"/>
      <c r="E33" s="301"/>
      <c r="F33" s="875"/>
    </row>
    <row r="34" spans="1:6">
      <c r="A34" s="882"/>
      <c r="B34" s="300"/>
      <c r="C34" s="300"/>
      <c r="D34" s="300"/>
      <c r="E34" s="301"/>
      <c r="F34" s="875"/>
    </row>
    <row r="35" spans="1:6">
      <c r="A35" s="882"/>
      <c r="B35" s="300"/>
      <c r="C35" s="300"/>
      <c r="D35" s="300"/>
      <c r="E35" s="301"/>
      <c r="F35" s="875"/>
    </row>
    <row r="36" spans="1:6">
      <c r="A36" s="882"/>
      <c r="B36" s="300"/>
      <c r="C36" s="300"/>
      <c r="D36" s="300"/>
      <c r="E36" s="301"/>
      <c r="F36" s="875"/>
    </row>
    <row r="37" spans="1:6">
      <c r="A37" s="882"/>
      <c r="B37" s="300"/>
      <c r="C37" s="300"/>
      <c r="D37" s="300"/>
      <c r="E37" s="301"/>
      <c r="F37" s="875"/>
    </row>
    <row r="38" spans="1:6">
      <c r="A38" s="882"/>
      <c r="B38" s="300"/>
      <c r="C38" s="300"/>
      <c r="D38" s="300"/>
      <c r="E38" s="301"/>
      <c r="F38" s="875"/>
    </row>
    <row r="39" spans="1:6">
      <c r="A39" s="882"/>
      <c r="B39" s="300"/>
      <c r="C39" s="300"/>
      <c r="D39" s="300"/>
      <c r="E39" s="301"/>
      <c r="F39" s="875"/>
    </row>
    <row r="40" spans="1:6">
      <c r="A40" s="882"/>
      <c r="B40" s="300"/>
      <c r="C40" s="300"/>
      <c r="D40" s="300"/>
      <c r="E40" s="301"/>
      <c r="F40" s="875"/>
    </row>
    <row r="41" spans="1:6">
      <c r="A41" s="882"/>
      <c r="B41" s="300"/>
      <c r="C41" s="300"/>
      <c r="D41" s="300"/>
      <c r="E41" s="301"/>
      <c r="F41" s="875"/>
    </row>
    <row r="42" spans="1:6">
      <c r="A42" s="882"/>
      <c r="B42" s="300"/>
      <c r="C42" s="300"/>
      <c r="D42" s="300"/>
      <c r="E42" s="301"/>
      <c r="F42" s="875"/>
    </row>
    <row r="43" spans="1:6">
      <c r="A43" s="882"/>
      <c r="B43" s="300"/>
      <c r="C43" s="300"/>
      <c r="D43" s="300"/>
      <c r="E43" s="301"/>
      <c r="F43" s="875"/>
    </row>
    <row r="44" spans="1:6">
      <c r="A44" s="882"/>
      <c r="B44" s="300"/>
      <c r="C44" s="300"/>
      <c r="D44" s="300"/>
      <c r="E44" s="301"/>
      <c r="F44" s="875"/>
    </row>
    <row r="45" spans="1:6">
      <c r="A45" s="882"/>
      <c r="B45" s="300"/>
      <c r="C45" s="300"/>
      <c r="D45" s="300"/>
      <c r="E45" s="301"/>
      <c r="F45" s="875"/>
    </row>
    <row r="46" spans="1:6">
      <c r="A46" s="882"/>
      <c r="B46" s="300"/>
      <c r="C46" s="300"/>
      <c r="D46" s="300"/>
      <c r="E46" s="301"/>
      <c r="F46" s="875"/>
    </row>
    <row r="47" spans="1:6">
      <c r="A47" s="882"/>
      <c r="B47" s="300"/>
      <c r="C47" s="300"/>
      <c r="D47" s="300"/>
      <c r="E47" s="301"/>
      <c r="F47" s="875"/>
    </row>
    <row r="48" spans="1:6">
      <c r="A48" s="882"/>
      <c r="B48" s="300"/>
      <c r="C48" s="300"/>
      <c r="D48" s="300"/>
      <c r="E48" s="301"/>
      <c r="F48" s="875"/>
    </row>
    <row r="49" spans="1:6" ht="15" thickBot="1">
      <c r="A49" s="914"/>
      <c r="B49" s="915"/>
      <c r="C49" s="915"/>
      <c r="D49" s="915"/>
      <c r="E49" s="916"/>
      <c r="F49" s="917"/>
    </row>
    <row r="50" spans="1:6" ht="15" thickBot="1">
      <c r="A50" s="918"/>
      <c r="B50" s="919"/>
      <c r="C50" s="919"/>
      <c r="D50" s="919"/>
      <c r="E50" s="920">
        <f>SUM(E11:E49)</f>
        <v>129862.88904761904</v>
      </c>
      <c r="F50" s="921"/>
    </row>
  </sheetData>
  <mergeCells count="2">
    <mergeCell ref="A1:F1"/>
    <mergeCell ref="A2:F2"/>
  </mergeCells>
  <phoneticPr fontId="90" type="noConversion"/>
  <pageMargins left="0.7" right="0.7" top="0.75" bottom="0.75" header="0.3" footer="0.3"/>
  <pageSetup scale="50"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topLeftCell="A22" zoomScale="60" zoomScaleNormal="70" workbookViewId="0">
      <selection activeCell="D42" sqref="D42"/>
    </sheetView>
  </sheetViews>
  <sheetFormatPr defaultColWidth="9.08984375" defaultRowHeight="13"/>
  <cols>
    <col min="1" max="2" width="1.54296875" style="124" customWidth="1"/>
    <col min="3" max="3" width="32.54296875" style="124" customWidth="1"/>
    <col min="4" max="4" width="31.08984375" style="124" customWidth="1"/>
    <col min="5" max="5" width="33.36328125" style="124" customWidth="1"/>
    <col min="6" max="6" width="33.54296875" style="124" customWidth="1"/>
    <col min="7" max="7" width="33" style="124" customWidth="1"/>
    <col min="8" max="8" width="14.36328125" style="123" bestFit="1" customWidth="1"/>
    <col min="9" max="9" width="19.54296875" style="123" bestFit="1" customWidth="1"/>
    <col min="10" max="10" width="14.36328125" style="123" customWidth="1"/>
    <col min="11" max="11" width="23.90625" style="123" customWidth="1"/>
    <col min="12" max="12" width="29.54296875" style="123" customWidth="1"/>
    <col min="13" max="13" width="20.08984375" style="123" customWidth="1"/>
    <col min="14" max="16384" width="9.08984375" style="124"/>
  </cols>
  <sheetData>
    <row r="1" spans="1:13" ht="35.25" customHeight="1">
      <c r="A1" s="122"/>
      <c r="B1" s="1035" t="s">
        <v>75</v>
      </c>
      <c r="C1" s="1036"/>
      <c r="D1" s="1036"/>
      <c r="E1" s="1036"/>
      <c r="F1" s="1036"/>
      <c r="G1" s="1037"/>
    </row>
    <row r="2" spans="1:13" s="125" customFormat="1" ht="20">
      <c r="B2" s="126" t="s">
        <v>76</v>
      </c>
      <c r="C2" s="127"/>
      <c r="D2" s="127" t="s">
        <v>77</v>
      </c>
      <c r="E2" s="128"/>
      <c r="F2" s="129" t="s">
        <v>78</v>
      </c>
      <c r="G2" s="130" t="str">
        <f>'KCE-PC 12'!G2</f>
        <v>KCE-12</v>
      </c>
      <c r="H2" s="131"/>
      <c r="I2" s="131"/>
      <c r="J2" s="131"/>
      <c r="K2" s="131"/>
      <c r="L2" s="131"/>
      <c r="M2" s="131"/>
    </row>
    <row r="3" spans="1:13" s="125" customFormat="1" ht="18.5" thickBot="1">
      <c r="B3" s="132"/>
      <c r="C3" s="133"/>
      <c r="D3" s="133"/>
      <c r="E3" s="133"/>
      <c r="F3" s="134" t="s">
        <v>79</v>
      </c>
      <c r="G3" s="135">
        <f ca="1">'KCE-PC 12'!G3</f>
        <v>44979</v>
      </c>
      <c r="H3" s="131"/>
      <c r="I3" s="131"/>
      <c r="J3" s="131"/>
      <c r="K3" s="131"/>
      <c r="L3" s="131"/>
      <c r="M3" s="131"/>
    </row>
    <row r="4" spans="1:13" ht="16.5">
      <c r="A4" s="122"/>
      <c r="B4" s="136"/>
      <c r="C4" s="145" t="s">
        <v>80</v>
      </c>
      <c r="D4" s="138" t="s">
        <v>81</v>
      </c>
      <c r="E4" s="139"/>
      <c r="F4" s="139" t="s">
        <v>82</v>
      </c>
      <c r="G4" s="140" t="str">
        <f>'KCE-PC 12'!G4</f>
        <v>Khansaheb IPA -12</v>
      </c>
    </row>
    <row r="5" spans="1:13" ht="16.5">
      <c r="A5" s="122"/>
      <c r="B5" s="141"/>
      <c r="C5" s="142"/>
      <c r="D5" s="138" t="s">
        <v>83</v>
      </c>
      <c r="E5" s="139"/>
      <c r="F5" s="139" t="s">
        <v>84</v>
      </c>
      <c r="G5" s="140" t="str">
        <f>'KCE-PC 12'!G5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12'!G8</f>
        <v>44651</v>
      </c>
      <c r="K8" s="144"/>
      <c r="L8" s="144"/>
    </row>
    <row r="9" spans="1:13" ht="16.5">
      <c r="A9" s="122"/>
      <c r="B9" s="141"/>
      <c r="C9" s="142"/>
      <c r="D9" s="142"/>
      <c r="E9" s="139"/>
      <c r="F9" s="139" t="s">
        <v>88</v>
      </c>
      <c r="G9" s="146">
        <f>'KCE-PC 12'!G9</f>
        <v>44963</v>
      </c>
      <c r="I9" s="144"/>
      <c r="K9" s="144"/>
    </row>
    <row r="10" spans="1:13" ht="16.5">
      <c r="A10" s="122"/>
      <c r="B10" s="141"/>
      <c r="C10" s="145" t="s">
        <v>89</v>
      </c>
      <c r="D10" s="142" t="s">
        <v>0</v>
      </c>
      <c r="E10" s="147"/>
      <c r="F10" s="139" t="s">
        <v>90</v>
      </c>
      <c r="G10" s="143" t="str">
        <f>'KCE-PC 12'!G10</f>
        <v>January 2023</v>
      </c>
    </row>
    <row r="11" spans="1:13" ht="16.5">
      <c r="A11" s="122"/>
      <c r="B11" s="141"/>
      <c r="C11" s="142"/>
      <c r="D11" s="142" t="s">
        <v>91</v>
      </c>
      <c r="E11" s="139"/>
      <c r="F11" s="139" t="s">
        <v>92</v>
      </c>
      <c r="G11" s="146">
        <f>'KCE-PC 12'!G11</f>
        <v>44984</v>
      </c>
    </row>
    <row r="12" spans="1:13" ht="16.5">
      <c r="A12" s="122"/>
      <c r="B12" s="141"/>
      <c r="C12" s="142"/>
      <c r="D12" s="142" t="s">
        <v>86</v>
      </c>
      <c r="E12" s="139"/>
      <c r="F12" s="139" t="s">
        <v>93</v>
      </c>
      <c r="G12" s="140" t="str">
        <f>'KCE-PC 12'!G12</f>
        <v>AED</v>
      </c>
    </row>
    <row r="13" spans="1:13" ht="11"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2" t="s">
        <v>97</v>
      </c>
      <c r="G15" s="149"/>
    </row>
    <row r="16" spans="1:13" ht="18" customHeight="1">
      <c r="A16" s="122"/>
      <c r="B16" s="141"/>
      <c r="C16" s="145"/>
      <c r="D16" s="142" t="s">
        <v>86</v>
      </c>
      <c r="E16" s="147"/>
      <c r="F16" s="262" t="s">
        <v>98</v>
      </c>
      <c r="G16" s="153">
        <f>'KCE-PC 12'!G16</f>
        <v>0.80482365622625429</v>
      </c>
    </row>
    <row r="17" spans="1:13" ht="18" customHeight="1">
      <c r="A17" s="122"/>
      <c r="B17" s="141"/>
      <c r="C17" s="145"/>
      <c r="D17" s="142"/>
      <c r="E17" s="147"/>
      <c r="F17" s="263" t="s">
        <v>99</v>
      </c>
      <c r="G17" s="153">
        <f>'KCE-PC 12'!G17</f>
        <v>0.90807625901670952</v>
      </c>
    </row>
    <row r="18" spans="1:13" ht="18" customHeight="1">
      <c r="A18" s="122"/>
      <c r="B18" s="141"/>
      <c r="C18" s="145"/>
      <c r="D18" s="142"/>
      <c r="E18" s="147"/>
      <c r="F18" s="262" t="s">
        <v>127</v>
      </c>
      <c r="G18" s="153"/>
    </row>
    <row r="19" spans="1:13" ht="4.5" customHeight="1" thickBot="1">
      <c r="A19" s="122"/>
      <c r="B19" s="154"/>
      <c r="C19" s="155"/>
      <c r="D19" s="156"/>
      <c r="E19" s="157"/>
      <c r="F19" s="158"/>
      <c r="G19" s="159"/>
    </row>
    <row r="20" spans="1:13" ht="16.5">
      <c r="A20" s="122"/>
      <c r="B20" s="160"/>
      <c r="C20" s="161"/>
      <c r="D20" s="162"/>
      <c r="E20" s="163"/>
      <c r="F20" s="164" t="s">
        <v>101</v>
      </c>
      <c r="G20" s="165" t="s">
        <v>9</v>
      </c>
    </row>
    <row r="21" spans="1:13" s="166" customFormat="1" ht="16.5">
      <c r="B21" s="167"/>
      <c r="E21" s="168"/>
      <c r="F21" s="169" t="s">
        <v>103</v>
      </c>
      <c r="G21" s="170">
        <f>'KCE-PC 12'!G21</f>
        <v>194951735</v>
      </c>
      <c r="H21" s="171"/>
      <c r="I21" s="123"/>
      <c r="J21" s="123"/>
      <c r="K21" s="123"/>
      <c r="L21" s="123"/>
      <c r="M21" s="171"/>
    </row>
    <row r="22" spans="1:13" s="166" customFormat="1" ht="16.5">
      <c r="B22" s="167"/>
      <c r="E22" s="168"/>
      <c r="F22" s="169" t="s">
        <v>104</v>
      </c>
      <c r="G22" s="170">
        <f>'KCE-PC 12'!G22</f>
        <v>0</v>
      </c>
      <c r="H22" s="171"/>
      <c r="I22" s="123"/>
      <c r="J22" s="123"/>
      <c r="K22" s="123"/>
      <c r="L22" s="123"/>
      <c r="M22" s="171"/>
    </row>
    <row r="23" spans="1:13" s="166" customFormat="1" ht="17" thickBot="1">
      <c r="B23" s="167"/>
      <c r="E23" s="168"/>
      <c r="F23" s="169" t="s">
        <v>105</v>
      </c>
      <c r="G23" s="264">
        <f>SUM(G21:G22)</f>
        <v>194951735</v>
      </c>
      <c r="H23" s="171"/>
      <c r="I23" s="123"/>
      <c r="J23" s="123"/>
      <c r="K23" s="123"/>
      <c r="L23" s="123"/>
      <c r="M23" s="171"/>
    </row>
    <row r="24" spans="1:13" ht="3.75" customHeight="1" thickTop="1" thickBot="1">
      <c r="A24" s="122"/>
      <c r="B24" s="173"/>
      <c r="C24" s="174"/>
      <c r="D24" s="175"/>
      <c r="E24" s="176"/>
      <c r="F24" s="177"/>
      <c r="G24" s="178"/>
    </row>
    <row r="25" spans="1:13" ht="16.5">
      <c r="A25" s="122"/>
      <c r="B25" s="154"/>
      <c r="C25" s="145" t="s">
        <v>106</v>
      </c>
      <c r="D25" s="142"/>
      <c r="E25" s="142"/>
      <c r="F25" s="139"/>
      <c r="G25" s="179">
        <f>E31</f>
        <v>20129274.057265088</v>
      </c>
    </row>
    <row r="26" spans="1:13" ht="16.5">
      <c r="A26" s="122"/>
      <c r="B26" s="154"/>
      <c r="C26" s="180"/>
      <c r="D26" s="142"/>
      <c r="E26" s="181"/>
      <c r="F26" s="139"/>
      <c r="G26" s="182"/>
    </row>
    <row r="27" spans="1:13" ht="24.75" customHeight="1">
      <c r="A27" s="122"/>
      <c r="B27" s="183"/>
      <c r="C27" s="184" t="s">
        <v>107</v>
      </c>
      <c r="D27" s="185"/>
      <c r="E27" s="186">
        <f>'KCE-PC 12'!E27</f>
        <v>23959229.225000001</v>
      </c>
      <c r="F27" s="139"/>
      <c r="G27" s="182"/>
    </row>
    <row r="28" spans="1:13" ht="6" customHeight="1">
      <c r="A28" s="122"/>
      <c r="B28" s="183"/>
      <c r="C28" s="184"/>
      <c r="D28" s="185"/>
      <c r="E28" s="186"/>
      <c r="F28" s="139"/>
      <c r="G28" s="182"/>
    </row>
    <row r="29" spans="1:13" ht="16.5">
      <c r="A29" s="122"/>
      <c r="B29" s="183"/>
      <c r="C29" s="184" t="str">
        <f>+'KCE-PC 12'!C29</f>
        <v>Advance Payment  Recovery - Refer Annexure 11</v>
      </c>
      <c r="D29" s="185"/>
      <c r="E29" s="186">
        <f>'KCE-PC 12'!E29</f>
        <v>3829955.1677349117</v>
      </c>
      <c r="F29" s="139"/>
      <c r="G29" s="182"/>
    </row>
    <row r="30" spans="1:13" s="123" customFormat="1" ht="5.25" customHeight="1">
      <c r="A30" s="122"/>
      <c r="B30" s="183"/>
      <c r="C30" s="184"/>
      <c r="D30" s="185"/>
      <c r="E30" s="188"/>
      <c r="F30" s="139"/>
      <c r="G30" s="182"/>
    </row>
    <row r="31" spans="1:13" s="123" customFormat="1" ht="16.5">
      <c r="A31" s="122"/>
      <c r="B31" s="183"/>
      <c r="C31" s="184" t="s">
        <v>108</v>
      </c>
      <c r="D31" s="185"/>
      <c r="E31" s="186">
        <f>E27-E29</f>
        <v>20129274.057265088</v>
      </c>
      <c r="F31" s="139"/>
      <c r="G31" s="182"/>
    </row>
    <row r="32" spans="1:13" s="123" customFormat="1" ht="9.75" customHeight="1">
      <c r="A32" s="122"/>
      <c r="B32" s="183"/>
      <c r="C32" s="184"/>
      <c r="D32" s="185"/>
      <c r="E32" s="189"/>
      <c r="F32" s="139"/>
      <c r="G32" s="182"/>
    </row>
    <row r="33" spans="1:13" s="123" customFormat="1" ht="16.5">
      <c r="A33" s="122"/>
      <c r="B33" s="190"/>
      <c r="C33" s="191"/>
      <c r="D33" s="192"/>
      <c r="E33" s="193"/>
      <c r="F33" s="194"/>
      <c r="G33" s="195"/>
    </row>
    <row r="34" spans="1:13" s="123" customFormat="1" ht="18">
      <c r="A34" s="125"/>
      <c r="B34" s="196"/>
      <c r="C34" s="145" t="s">
        <v>109</v>
      </c>
      <c r="D34" s="142"/>
      <c r="E34" s="197"/>
      <c r="F34" s="198"/>
      <c r="G34" s="179">
        <f>'KCE-PC 12'!G34</f>
        <v>156901768.15035182</v>
      </c>
    </row>
    <row r="35" spans="1:13" s="123" customFormat="1" ht="3" customHeight="1">
      <c r="A35" s="166"/>
      <c r="B35" s="199"/>
      <c r="C35" s="200"/>
      <c r="D35" s="201"/>
      <c r="E35" s="201"/>
      <c r="F35" s="202"/>
      <c r="G35" s="195"/>
    </row>
    <row r="36" spans="1:13" s="123" customFormat="1" ht="20">
      <c r="A36" s="125"/>
      <c r="B36" s="196"/>
      <c r="C36" s="145" t="s">
        <v>110</v>
      </c>
      <c r="D36" s="142"/>
      <c r="E36" s="142"/>
      <c r="F36" s="198"/>
      <c r="G36" s="179">
        <f>G34+G25</f>
        <v>177031042.20761693</v>
      </c>
      <c r="L36" s="187"/>
    </row>
    <row r="37" spans="1:13" s="123" customFormat="1" ht="9.65" customHeight="1">
      <c r="A37" s="166"/>
      <c r="B37" s="167"/>
      <c r="C37" s="1038"/>
      <c r="D37" s="1038"/>
      <c r="E37" s="142"/>
      <c r="F37" s="198"/>
      <c r="G37" s="203"/>
    </row>
    <row r="38" spans="1:13" s="123" customFormat="1" ht="16.5">
      <c r="A38" s="166"/>
      <c r="B38" s="167"/>
      <c r="C38" s="145" t="str">
        <f>+'KCE-PC 12'!C38</f>
        <v>(D) LESS Retention (10%) - Refer Annexure 10</v>
      </c>
      <c r="D38" s="204"/>
      <c r="E38" s="142"/>
      <c r="F38" s="198"/>
      <c r="G38" s="205">
        <f>'KCE-PC 12'!G38</f>
        <v>-7365784.8009452708</v>
      </c>
    </row>
    <row r="39" spans="1:13" s="123" customFormat="1" ht="9.65" customHeight="1">
      <c r="A39" s="166"/>
      <c r="B39" s="167"/>
      <c r="C39" s="145"/>
      <c r="D39" s="204"/>
      <c r="E39" s="142"/>
      <c r="F39" s="198"/>
      <c r="G39" s="205"/>
    </row>
    <row r="40" spans="1:13" s="123" customFormat="1" ht="20">
      <c r="A40" s="166"/>
      <c r="B40" s="167"/>
      <c r="C40" s="207" t="s">
        <v>111</v>
      </c>
      <c r="D40" s="208"/>
      <c r="E40" s="142"/>
      <c r="F40" s="198"/>
      <c r="G40" s="205">
        <f>'KCE-PC 12'!G40</f>
        <v>0</v>
      </c>
      <c r="L40" s="187"/>
    </row>
    <row r="41" spans="1:13" s="123" customFormat="1" ht="9.65" customHeight="1">
      <c r="A41" s="166"/>
      <c r="B41" s="199"/>
      <c r="C41" s="200"/>
      <c r="D41" s="201"/>
      <c r="E41" s="201"/>
      <c r="F41" s="202"/>
      <c r="G41" s="195"/>
    </row>
    <row r="42" spans="1:13" s="123" customFormat="1" ht="16.5">
      <c r="A42" s="166"/>
      <c r="B42" s="167"/>
      <c r="C42" s="145" t="s">
        <v>112</v>
      </c>
      <c r="D42" s="142"/>
      <c r="E42" s="142"/>
      <c r="F42" s="198"/>
      <c r="G42" s="179">
        <f>'KCE-PC 12'!G42</f>
        <v>169665257.40667164</v>
      </c>
    </row>
    <row r="43" spans="1:13" s="123" customFormat="1" ht="8" customHeight="1">
      <c r="A43" s="166"/>
      <c r="B43" s="167"/>
      <c r="C43" s="142"/>
      <c r="D43" s="142"/>
      <c r="E43" s="142"/>
      <c r="F43" s="198"/>
      <c r="G43" s="182"/>
    </row>
    <row r="44" spans="1:13" s="123" customFormat="1" ht="20">
      <c r="A44" s="166"/>
      <c r="B44" s="167"/>
      <c r="C44" s="145" t="str">
        <f>+'KCE-PC 12'!C44</f>
        <v>(G) LESS Previous Certified Value - Refer Annexure 12</v>
      </c>
      <c r="D44" s="142"/>
      <c r="E44" s="210"/>
      <c r="F44" s="198"/>
      <c r="G44" s="205">
        <f>'KCE-PC 12'!G44</f>
        <v>-145454358.78503764</v>
      </c>
      <c r="L44" s="187"/>
    </row>
    <row r="45" spans="1:13" ht="3.75" customHeight="1" thickBot="1">
      <c r="A45" s="166"/>
      <c r="B45" s="212"/>
      <c r="C45" s="213"/>
      <c r="D45" s="214"/>
      <c r="E45" s="214"/>
      <c r="F45" s="215"/>
      <c r="G45" s="216"/>
    </row>
    <row r="46" spans="1:13" s="166" customFormat="1" ht="25.5" customHeight="1" thickBot="1">
      <c r="B46" s="217"/>
      <c r="C46" s="1056" t="s">
        <v>128</v>
      </c>
      <c r="D46" s="1056"/>
      <c r="E46" s="1056"/>
      <c r="F46" s="265" t="s">
        <v>9</v>
      </c>
      <c r="G46" s="266">
        <f>'KCE-PC 12'!G46</f>
        <v>24210898.621634007</v>
      </c>
      <c r="H46" s="123"/>
      <c r="I46" s="171"/>
      <c r="J46" s="123"/>
      <c r="K46" s="123"/>
      <c r="L46" s="123"/>
      <c r="M46" s="171"/>
    </row>
    <row r="47" spans="1:13" s="166" customFormat="1" ht="26.4" customHeight="1">
      <c r="B47" s="167"/>
      <c r="C47" s="221" t="s">
        <v>129</v>
      </c>
      <c r="D47" s="185"/>
      <c r="E47" s="222"/>
      <c r="F47" s="223"/>
      <c r="G47" s="224">
        <f>'KCE-PC 12'!G47</f>
        <v>1210544.9310817004</v>
      </c>
      <c r="H47" s="123"/>
      <c r="I47" s="123"/>
      <c r="J47" s="123"/>
      <c r="K47" s="123"/>
      <c r="L47" s="123"/>
      <c r="M47" s="171"/>
    </row>
    <row r="48" spans="1:13" s="166" customFormat="1" ht="29.4" customHeight="1" thickBot="1">
      <c r="B48" s="225"/>
      <c r="C48" s="221" t="s">
        <v>115</v>
      </c>
      <c r="D48" s="185"/>
      <c r="E48" s="222"/>
      <c r="F48" s="223"/>
      <c r="G48" s="226">
        <f>'KCE-PC 12'!G48</f>
        <v>0</v>
      </c>
      <c r="H48" s="123"/>
      <c r="I48" s="123"/>
      <c r="J48" s="123"/>
      <c r="K48" s="123"/>
      <c r="L48" s="171"/>
      <c r="M48" s="171"/>
    </row>
    <row r="49" spans="1:13" ht="46.25" customHeight="1" thickBot="1">
      <c r="A49" s="122"/>
      <c r="B49" s="1057" t="s">
        <v>116</v>
      </c>
      <c r="C49" s="1058"/>
      <c r="D49" s="1058"/>
      <c r="E49" s="1058"/>
      <c r="F49" s="265" t="s">
        <v>9</v>
      </c>
      <c r="G49" s="266">
        <f>'KCE-PC 12'!G49</f>
        <v>25421443.552715708</v>
      </c>
      <c r="L49" s="187"/>
    </row>
    <row r="50" spans="1:13" ht="10.25" customHeight="1" thickBot="1">
      <c r="A50" s="122"/>
      <c r="B50" s="173"/>
      <c r="C50" s="174"/>
      <c r="D50" s="174"/>
      <c r="E50" s="176"/>
      <c r="F50" s="176"/>
      <c r="G50" s="227"/>
    </row>
    <row r="51" spans="1:13" ht="30" customHeight="1">
      <c r="A51" s="122"/>
      <c r="B51" s="1042" t="s">
        <v>117</v>
      </c>
      <c r="C51" s="1043"/>
      <c r="D51" s="1059" t="str">
        <f>+'KCE-PC 12'!D51:G51</f>
        <v>This IPC is issued for the KHANSAHAB IPA No.12</v>
      </c>
      <c r="E51" s="1045"/>
      <c r="F51" s="1045"/>
      <c r="G51" s="1046"/>
    </row>
    <row r="52" spans="1:13" ht="19.5" customHeight="1">
      <c r="A52" s="122"/>
      <c r="B52" s="1047" t="s">
        <v>118</v>
      </c>
      <c r="C52" s="1048"/>
      <c r="D52" s="1049" t="str">
        <f>+'KCE-PC 12'!D52:G52</f>
        <v>The Payment shall be released within 30 days of the IPA</v>
      </c>
      <c r="E52" s="1050"/>
      <c r="F52" s="1050"/>
      <c r="G52" s="1051"/>
    </row>
    <row r="53" spans="1:13" ht="10.25" customHeight="1" thickBot="1">
      <c r="A53" s="122"/>
      <c r="B53" s="228"/>
      <c r="C53" s="229"/>
      <c r="D53" s="230"/>
      <c r="E53" s="231"/>
      <c r="F53" s="231"/>
      <c r="G53" s="232"/>
    </row>
    <row r="54" spans="1:13" ht="23.5" thickBot="1">
      <c r="A54" s="122"/>
      <c r="B54" s="233"/>
      <c r="C54" s="1061" t="s">
        <v>130</v>
      </c>
      <c r="D54" s="1061"/>
      <c r="E54" s="1061"/>
      <c r="F54" s="1061"/>
      <c r="G54" s="1062"/>
    </row>
    <row r="55" spans="1:13" ht="21" customHeight="1">
      <c r="A55" s="122"/>
      <c r="B55" s="234"/>
      <c r="C55" s="235" t="s">
        <v>131</v>
      </c>
      <c r="D55" s="236"/>
      <c r="E55" s="237"/>
      <c r="F55" s="237"/>
      <c r="G55" s="238"/>
    </row>
    <row r="56" spans="1:13" ht="21" customHeight="1">
      <c r="A56" s="122"/>
      <c r="B56" s="234"/>
      <c r="C56" s="235"/>
      <c r="D56" s="236"/>
      <c r="E56" s="237"/>
      <c r="F56" s="237"/>
      <c r="G56" s="238"/>
    </row>
    <row r="57" spans="1:13" s="125" customFormat="1" ht="60.75" customHeight="1" thickBot="1">
      <c r="B57" s="239"/>
      <c r="C57" s="267"/>
      <c r="D57" s="268"/>
      <c r="E57" s="246"/>
      <c r="F57" s="267"/>
      <c r="G57" s="269"/>
      <c r="H57" s="123"/>
      <c r="I57" s="123"/>
      <c r="J57" s="123"/>
      <c r="K57" s="123"/>
      <c r="L57" s="123"/>
      <c r="M57" s="131"/>
    </row>
    <row r="58" spans="1:13" s="244" customFormat="1" ht="22.5" customHeight="1">
      <c r="B58" s="245"/>
      <c r="C58" s="246" t="s">
        <v>830</v>
      </c>
      <c r="D58" s="270"/>
      <c r="E58" s="246"/>
      <c r="F58" s="246" t="s">
        <v>132</v>
      </c>
      <c r="G58" s="271"/>
      <c r="H58" s="123"/>
      <c r="I58" s="123"/>
      <c r="J58" s="123"/>
      <c r="K58" s="123"/>
      <c r="L58" s="123"/>
      <c r="M58" s="250"/>
    </row>
    <row r="59" spans="1:13" s="244" customFormat="1" ht="22.5" customHeight="1">
      <c r="B59" s="245"/>
      <c r="C59" s="897" t="s">
        <v>831</v>
      </c>
      <c r="D59" s="897"/>
      <c r="E59" s="272"/>
      <c r="F59" s="1060" t="s">
        <v>133</v>
      </c>
      <c r="G59" s="1060"/>
      <c r="H59" s="123"/>
      <c r="I59" s="123"/>
      <c r="J59" s="123"/>
      <c r="K59" s="123"/>
      <c r="L59" s="123"/>
      <c r="M59" s="250"/>
    </row>
    <row r="60" spans="1:13" customFormat="1" ht="17.399999999999999" customHeight="1" thickBot="1">
      <c r="A60" s="273"/>
      <c r="B60" s="274"/>
      <c r="C60" s="275"/>
      <c r="D60" s="275"/>
      <c r="E60" s="276"/>
      <c r="F60" s="275"/>
      <c r="G60" s="277"/>
      <c r="I60" s="123"/>
    </row>
    <row r="61" spans="1:13" customFormat="1" ht="18">
      <c r="A61" s="273"/>
      <c r="B61" s="278"/>
      <c r="C61" s="279" t="s">
        <v>134</v>
      </c>
      <c r="D61" s="270"/>
      <c r="E61" s="246"/>
      <c r="F61" s="280"/>
      <c r="G61" s="281"/>
      <c r="H61" s="123"/>
      <c r="I61" s="123"/>
    </row>
    <row r="62" spans="1:13" customFormat="1" ht="18">
      <c r="A62" s="273"/>
      <c r="B62" s="282"/>
      <c r="C62" s="279"/>
      <c r="D62" s="270"/>
      <c r="E62" s="246"/>
      <c r="F62" s="280"/>
      <c r="G62" s="256"/>
      <c r="I62" s="123"/>
    </row>
    <row r="63" spans="1:13" s="125" customFormat="1" ht="45.65" customHeight="1" thickBot="1">
      <c r="B63" s="282"/>
      <c r="C63" s="267"/>
      <c r="D63" s="268"/>
      <c r="E63" s="268"/>
      <c r="F63" s="267"/>
      <c r="G63" s="269"/>
      <c r="H63" s="123"/>
      <c r="I63" s="123"/>
      <c r="J63" s="123"/>
      <c r="K63" s="123"/>
      <c r="L63" s="123"/>
      <c r="M63" s="131"/>
    </row>
    <row r="64" spans="1:13" s="125" customFormat="1" ht="21.75" customHeight="1">
      <c r="B64" s="282"/>
      <c r="C64" s="279" t="s">
        <v>135</v>
      </c>
      <c r="D64" s="268"/>
      <c r="E64" s="268"/>
      <c r="F64" s="246" t="s">
        <v>839</v>
      </c>
      <c r="G64" s="271"/>
      <c r="H64" s="123"/>
      <c r="I64" s="123"/>
      <c r="J64" s="123"/>
      <c r="K64" s="123"/>
      <c r="L64" s="123"/>
      <c r="M64" s="131"/>
    </row>
    <row r="65" spans="1:13" s="125" customFormat="1" ht="22.5" customHeight="1">
      <c r="B65" s="282"/>
      <c r="C65" s="283" t="s">
        <v>136</v>
      </c>
      <c r="D65" s="284"/>
      <c r="E65" s="284"/>
      <c r="F65" s="1060" t="s">
        <v>840</v>
      </c>
      <c r="G65" s="1060"/>
      <c r="H65" s="123"/>
      <c r="I65" s="123"/>
      <c r="J65" s="123"/>
      <c r="K65" s="123"/>
      <c r="L65" s="123"/>
      <c r="M65" s="131"/>
    </row>
    <row r="66" spans="1:13" s="125" customFormat="1" ht="22.5" customHeight="1">
      <c r="B66" s="282"/>
      <c r="C66" s="283"/>
      <c r="D66" s="284"/>
      <c r="E66" s="284"/>
      <c r="F66" s="284"/>
      <c r="G66" s="269"/>
      <c r="H66" s="123"/>
      <c r="I66" s="123"/>
      <c r="J66" s="123"/>
      <c r="K66" s="123"/>
      <c r="L66" s="123"/>
      <c r="M66" s="131"/>
    </row>
    <row r="67" spans="1:13" s="125" customFormat="1" ht="12.75" customHeight="1" thickBot="1">
      <c r="B67" s="258"/>
      <c r="C67" s="259"/>
      <c r="D67" s="240"/>
      <c r="E67" s="259"/>
      <c r="F67" s="259"/>
      <c r="G67" s="260"/>
      <c r="H67" s="123"/>
      <c r="I67" s="123"/>
      <c r="J67" s="123"/>
      <c r="K67" s="123"/>
      <c r="L67" s="123"/>
      <c r="M67" s="131"/>
    </row>
    <row r="68" spans="1:13" ht="14">
      <c r="A68" s="122"/>
      <c r="B68" s="122"/>
    </row>
    <row r="69" spans="1:13" ht="14">
      <c r="A69" s="122"/>
      <c r="B69" s="122"/>
    </row>
    <row r="70" spans="1:13" ht="14">
      <c r="A70" s="261"/>
      <c r="B70" s="261"/>
    </row>
    <row r="71" spans="1:13" ht="14">
      <c r="A71" s="122"/>
      <c r="B71" s="122"/>
    </row>
    <row r="72" spans="1:13" ht="14">
      <c r="A72" s="122"/>
      <c r="B72" s="122"/>
    </row>
    <row r="73" spans="1:13" ht="14">
      <c r="A73" s="122"/>
      <c r="B73" s="122"/>
    </row>
    <row r="74" spans="1:13" ht="14">
      <c r="A74" s="122"/>
      <c r="B74" s="122"/>
    </row>
    <row r="75" spans="1:13" ht="14">
      <c r="A75" s="122"/>
      <c r="B75" s="122"/>
    </row>
    <row r="76" spans="1:13" ht="14">
      <c r="A76" s="122"/>
      <c r="B76" s="122"/>
    </row>
    <row r="77" spans="1:13" ht="14">
      <c r="A77" s="122"/>
      <c r="B77" s="122"/>
    </row>
    <row r="78" spans="1:13" ht="14">
      <c r="A78" s="122"/>
      <c r="B78" s="122"/>
    </row>
    <row r="79" spans="1:13" ht="14">
      <c r="A79" s="122"/>
      <c r="B79" s="122"/>
    </row>
    <row r="80" spans="1:13" ht="14">
      <c r="A80" s="122"/>
      <c r="B80" s="122"/>
    </row>
  </sheetData>
  <mergeCells count="11">
    <mergeCell ref="F65:G65"/>
    <mergeCell ref="B52:C52"/>
    <mergeCell ref="D52:G52"/>
    <mergeCell ref="C54:G54"/>
    <mergeCell ref="F59:G59"/>
    <mergeCell ref="B1:G1"/>
    <mergeCell ref="C37:D37"/>
    <mergeCell ref="C46:E46"/>
    <mergeCell ref="B49:E49"/>
    <mergeCell ref="B51:C51"/>
    <mergeCell ref="D51:G51"/>
  </mergeCells>
  <pageMargins left="0.5" right="0.45" top="0.75" bottom="0.4" header="0.3" footer="0.3"/>
  <pageSetup scale="57"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5"/>
  <cols>
    <col min="1" max="1" width="7.6328125" customWidth="1"/>
    <col min="2" max="2" width="30" customWidth="1"/>
    <col min="3" max="5" width="17.54296875" customWidth="1"/>
    <col min="6" max="6" width="26.453125" style="74" customWidth="1"/>
    <col min="7" max="7" width="14.6328125" style="336" customWidth="1"/>
    <col min="8" max="8" width="11.08984375" style="74" customWidth="1"/>
    <col min="9" max="9" width="14.6328125" style="336" customWidth="1"/>
  </cols>
  <sheetData>
    <row r="2" spans="1:9">
      <c r="A2" s="415" t="s">
        <v>2</v>
      </c>
    </row>
    <row r="3" spans="1:9">
      <c r="A3" s="415" t="s">
        <v>4</v>
      </c>
      <c r="F3" s="562"/>
    </row>
    <row r="4" spans="1:9">
      <c r="A4" s="415" t="s">
        <v>184</v>
      </c>
      <c r="F4" s="595"/>
    </row>
    <row r="5" spans="1:9">
      <c r="A5" s="415" t="s">
        <v>491</v>
      </c>
      <c r="F5" s="595"/>
    </row>
    <row r="6" spans="1:9">
      <c r="A6" s="596"/>
      <c r="B6" s="597"/>
      <c r="C6" s="597"/>
      <c r="D6" s="597"/>
      <c r="E6" s="597"/>
      <c r="F6" s="118"/>
    </row>
    <row r="8" spans="1:9" s="601" customFormat="1" ht="29">
      <c r="A8" s="598" t="s">
        <v>492</v>
      </c>
      <c r="B8" s="599" t="s">
        <v>493</v>
      </c>
      <c r="C8" s="600" t="s">
        <v>142</v>
      </c>
      <c r="D8" s="600" t="s">
        <v>165</v>
      </c>
      <c r="E8" s="600" t="s">
        <v>144</v>
      </c>
      <c r="F8" s="599" t="s">
        <v>494</v>
      </c>
      <c r="H8" s="345"/>
      <c r="I8" s="345"/>
    </row>
    <row r="9" spans="1:9" ht="14" customHeight="1">
      <c r="A9" s="602">
        <v>1</v>
      </c>
      <c r="B9" s="603" t="s">
        <v>495</v>
      </c>
      <c r="C9" s="604">
        <v>218423.22</v>
      </c>
      <c r="D9" s="604">
        <f>E9-C9</f>
        <v>0</v>
      </c>
      <c r="E9" s="604">
        <v>218423.22</v>
      </c>
      <c r="F9" s="605"/>
      <c r="G9" s="601"/>
    </row>
    <row r="10" spans="1:9" ht="14" customHeight="1">
      <c r="A10" s="602">
        <v>2</v>
      </c>
      <c r="B10" s="603" t="s">
        <v>496</v>
      </c>
      <c r="C10" s="606">
        <v>162500</v>
      </c>
      <c r="D10" s="604">
        <f t="shared" ref="D10:D15" si="0">E10-C10</f>
        <v>0</v>
      </c>
      <c r="E10" s="604">
        <v>162500</v>
      </c>
      <c r="F10" s="605"/>
      <c r="G10" s="601"/>
    </row>
    <row r="11" spans="1:9" ht="14" customHeight="1">
      <c r="A11" s="602">
        <v>3</v>
      </c>
      <c r="B11" s="603" t="s">
        <v>497</v>
      </c>
      <c r="C11" s="604">
        <v>278110.34999999998</v>
      </c>
      <c r="D11" s="604">
        <f t="shared" si="0"/>
        <v>0</v>
      </c>
      <c r="E11" s="604">
        <v>278110.34999999998</v>
      </c>
      <c r="F11" s="605" t="s">
        <v>498</v>
      </c>
      <c r="G11" s="601"/>
    </row>
    <row r="12" spans="1:9" ht="14" customHeight="1">
      <c r="A12" s="602"/>
      <c r="B12" s="603"/>
      <c r="C12" s="600"/>
      <c r="D12" s="604"/>
      <c r="E12" s="600">
        <f>SUM(E9:E11)</f>
        <v>659033.56999999995</v>
      </c>
      <c r="F12" s="605"/>
      <c r="G12" s="601"/>
    </row>
    <row r="13" spans="1:9" ht="14" customHeight="1">
      <c r="A13" s="602">
        <v>4</v>
      </c>
      <c r="B13" s="603" t="s">
        <v>499</v>
      </c>
      <c r="C13" s="604">
        <v>110160</v>
      </c>
      <c r="D13" s="604">
        <f t="shared" si="0"/>
        <v>0</v>
      </c>
      <c r="E13" s="604">
        <v>110160</v>
      </c>
      <c r="F13" s="605"/>
      <c r="G13" s="601"/>
    </row>
    <row r="14" spans="1:9" ht="14" customHeight="1">
      <c r="A14" s="602">
        <v>5</v>
      </c>
      <c r="B14" s="603" t="s">
        <v>500</v>
      </c>
      <c r="C14" s="604">
        <v>51944.800000000003</v>
      </c>
      <c r="D14" s="604">
        <f t="shared" si="0"/>
        <v>0</v>
      </c>
      <c r="E14" s="604">
        <v>51944.800000000003</v>
      </c>
      <c r="F14" s="605"/>
      <c r="G14" s="601"/>
    </row>
    <row r="15" spans="1:9" s="100" customFormat="1">
      <c r="A15" s="1156" t="s">
        <v>501</v>
      </c>
      <c r="B15" s="1156"/>
      <c r="C15" s="600">
        <f>SUM(C9:C14)</f>
        <v>821138.37</v>
      </c>
      <c r="D15" s="600">
        <f t="shared" si="0"/>
        <v>0</v>
      </c>
      <c r="E15" s="600">
        <f>SUM(E12:E14)</f>
        <v>821138.37</v>
      </c>
      <c r="F15" s="607"/>
      <c r="G15" s="601"/>
      <c r="H15" s="563"/>
      <c r="I15" s="345"/>
    </row>
    <row r="16" spans="1:9">
      <c r="G16" s="601"/>
    </row>
    <row r="17" spans="7:7">
      <c r="G17" s="601"/>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91"/>
  <sheetViews>
    <sheetView view="pageBreakPreview" zoomScale="85" zoomScaleNormal="70" zoomScaleSheetLayoutView="85" workbookViewId="0">
      <selection activeCell="H65" sqref="H65"/>
    </sheetView>
  </sheetViews>
  <sheetFormatPr defaultRowHeight="14.5"/>
  <cols>
    <col min="1" max="1" width="1.453125" customWidth="1"/>
    <col min="2" max="2" width="42.453125" customWidth="1"/>
    <col min="3" max="3" width="16" style="74" customWidth="1"/>
    <col min="4" max="4" width="16" style="74" hidden="1" customWidth="1"/>
    <col min="5" max="5" width="15.7265625" style="74" bestFit="1" customWidth="1"/>
    <col min="6" max="6" width="16" style="74" customWidth="1"/>
    <col min="7" max="7" width="16.36328125" bestFit="1" customWidth="1"/>
    <col min="8" max="8" width="21.08984375" customWidth="1"/>
    <col min="9" max="9" width="15.7265625" bestFit="1" customWidth="1"/>
    <col min="10" max="10" width="7.6328125" customWidth="1"/>
    <col min="11" max="11" width="0.90625" customWidth="1"/>
    <col min="12" max="12" width="16.453125" style="74" customWidth="1"/>
    <col min="13" max="13" width="16" style="74" hidden="1" customWidth="1"/>
    <col min="14" max="14" width="15.7265625" bestFit="1" customWidth="1"/>
    <col min="15" max="15" width="12.90625" bestFit="1" customWidth="1"/>
    <col min="16" max="16" width="15.36328125" style="781" hidden="1" customWidth="1"/>
    <col min="17" max="17" width="16.6328125" style="782" hidden="1" customWidth="1"/>
    <col min="18" max="18" width="13.6328125" style="782" hidden="1" customWidth="1"/>
    <col min="19" max="21" width="18.453125" style="783" hidden="1" customWidth="1"/>
    <col min="22" max="22" width="13.6328125" style="782" hidden="1" customWidth="1"/>
    <col min="23" max="24" width="18.6328125" hidden="1" customWidth="1"/>
    <col min="25" max="25" width="15" hidden="1" customWidth="1"/>
    <col min="26" max="26" width="8.90625" hidden="1" customWidth="1"/>
  </cols>
  <sheetData>
    <row r="1" spans="2:26" ht="23">
      <c r="B1" s="1068" t="s">
        <v>0</v>
      </c>
      <c r="C1" s="1068"/>
      <c r="D1" s="1068"/>
      <c r="E1" s="1068"/>
      <c r="F1" s="1068"/>
      <c r="G1" s="1068"/>
      <c r="H1" s="1068"/>
      <c r="I1" s="1068"/>
      <c r="J1" s="1"/>
      <c r="L1"/>
      <c r="M1"/>
    </row>
    <row r="2" spans="2:26" ht="17.5">
      <c r="B2" s="1069" t="s">
        <v>1</v>
      </c>
      <c r="C2" s="1069"/>
      <c r="D2" s="1069"/>
      <c r="E2" s="1069"/>
      <c r="F2" s="1069"/>
      <c r="G2" s="1069"/>
      <c r="H2" s="1069"/>
      <c r="I2" s="1069"/>
      <c r="J2" s="3"/>
      <c r="L2"/>
      <c r="M2"/>
    </row>
    <row r="3" spans="2:26" ht="16" thickBot="1">
      <c r="B3" s="4"/>
      <c r="C3" s="4"/>
      <c r="D3" s="4"/>
      <c r="E3" s="5"/>
      <c r="F3" s="5"/>
      <c r="G3" s="6"/>
      <c r="H3" s="7"/>
      <c r="I3" s="7"/>
      <c r="J3" s="8"/>
      <c r="L3"/>
      <c r="M3"/>
    </row>
    <row r="4" spans="2:26" ht="8" customHeight="1">
      <c r="B4" s="9"/>
      <c r="C4" s="10"/>
      <c r="D4" s="10"/>
      <c r="E4" s="11"/>
      <c r="F4" s="12"/>
      <c r="G4" s="13"/>
      <c r="H4" s="13"/>
      <c r="I4" s="14"/>
      <c r="J4" s="15"/>
      <c r="L4" s="16"/>
      <c r="M4" s="16"/>
    </row>
    <row r="5" spans="2:26" ht="15.5">
      <c r="B5" s="17" t="s">
        <v>2</v>
      </c>
      <c r="C5" s="18"/>
      <c r="D5" s="18"/>
      <c r="E5" s="18"/>
      <c r="F5" s="19"/>
      <c r="G5" s="1070" t="s">
        <v>3</v>
      </c>
      <c r="H5" s="1070"/>
      <c r="I5" s="20">
        <f ca="1">+'KCE-PC 12 INT'!G3</f>
        <v>44979</v>
      </c>
      <c r="J5" s="21"/>
      <c r="L5" s="22"/>
      <c r="M5" s="22"/>
    </row>
    <row r="6" spans="2:26" ht="8" customHeight="1">
      <c r="B6" s="17"/>
      <c r="C6" s="18"/>
      <c r="D6" s="18"/>
      <c r="E6" s="18"/>
      <c r="F6" s="19"/>
      <c r="G6" s="23"/>
      <c r="I6" s="24"/>
      <c r="J6" s="21"/>
      <c r="L6" s="22"/>
      <c r="M6" s="22"/>
    </row>
    <row r="7" spans="2:26" ht="15.5">
      <c r="B7" s="17" t="s">
        <v>4</v>
      </c>
      <c r="C7" s="18"/>
      <c r="D7" s="18"/>
      <c r="E7" s="18"/>
      <c r="F7" s="19"/>
      <c r="G7" s="1070" t="s">
        <v>5</v>
      </c>
      <c r="H7" s="1070"/>
      <c r="I7" s="25" t="str">
        <f>+'KCE-PC 12 INT'!G2</f>
        <v>KCE-12</v>
      </c>
      <c r="J7" s="21"/>
      <c r="L7" s="26"/>
      <c r="M7" s="26" t="s">
        <v>6</v>
      </c>
    </row>
    <row r="8" spans="2:26" ht="6" customHeight="1">
      <c r="B8" s="17"/>
      <c r="C8" s="18"/>
      <c r="D8" s="18"/>
      <c r="E8" s="18"/>
      <c r="F8" s="19"/>
      <c r="G8" s="23"/>
      <c r="I8" s="24"/>
      <c r="J8" s="21"/>
      <c r="L8" s="22"/>
      <c r="M8" s="22"/>
    </row>
    <row r="9" spans="2:26" ht="15.5">
      <c r="B9" s="17" t="s">
        <v>7</v>
      </c>
      <c r="C9" s="18"/>
      <c r="D9" s="18"/>
      <c r="E9" s="18"/>
      <c r="F9" s="19"/>
      <c r="G9" s="1070" t="s">
        <v>8</v>
      </c>
      <c r="H9" s="1070"/>
      <c r="I9" s="27" t="s">
        <v>9</v>
      </c>
      <c r="J9" s="21"/>
      <c r="L9" s="22"/>
      <c r="M9" s="22"/>
      <c r="P9"/>
      <c r="Q9" s="805" t="s">
        <v>148</v>
      </c>
      <c r="R9" s="779" t="s">
        <v>791</v>
      </c>
      <c r="S9" s="779" t="s">
        <v>150</v>
      </c>
      <c r="T9" s="806" t="s">
        <v>792</v>
      </c>
      <c r="U9" s="806" t="s">
        <v>795</v>
      </c>
      <c r="V9" s="806" t="s">
        <v>798</v>
      </c>
      <c r="W9" s="779" t="s">
        <v>793</v>
      </c>
      <c r="X9" s="779" t="s">
        <v>829</v>
      </c>
    </row>
    <row r="10" spans="2:26" ht="5.4" customHeight="1" thickBot="1">
      <c r="B10" s="28"/>
      <c r="C10" s="29"/>
      <c r="D10" s="29"/>
      <c r="E10" s="30"/>
      <c r="F10" s="31"/>
      <c r="G10" s="7"/>
      <c r="H10" s="7"/>
      <c r="I10" s="32"/>
      <c r="J10" s="21"/>
      <c r="L10" s="33"/>
      <c r="M10" s="33"/>
      <c r="P10"/>
      <c r="Q10" s="794"/>
      <c r="R10" s="795"/>
      <c r="S10" s="795"/>
      <c r="T10" s="796"/>
      <c r="U10" s="796"/>
      <c r="V10" s="796"/>
      <c r="W10" s="795"/>
      <c r="X10" s="795"/>
      <c r="Y10" s="789"/>
      <c r="Z10" s="38"/>
    </row>
    <row r="11" spans="2:26" ht="14.4" customHeight="1">
      <c r="B11" s="1071" t="s">
        <v>10</v>
      </c>
      <c r="C11" s="1073" t="s">
        <v>11</v>
      </c>
      <c r="D11" s="1073" t="s">
        <v>12</v>
      </c>
      <c r="E11" s="1075" t="s">
        <v>13</v>
      </c>
      <c r="F11" s="1077" t="s">
        <v>14</v>
      </c>
      <c r="G11" s="1063" t="s">
        <v>15</v>
      </c>
      <c r="H11" s="1064"/>
      <c r="I11" s="1064"/>
      <c r="J11" s="1065"/>
      <c r="L11" s="1066" t="s">
        <v>16</v>
      </c>
      <c r="M11" s="1066" t="s">
        <v>17</v>
      </c>
      <c r="P11" t="s">
        <v>799</v>
      </c>
      <c r="Q11" s="794"/>
      <c r="R11" s="795"/>
      <c r="S11" s="795"/>
      <c r="T11" s="796"/>
      <c r="U11" s="796"/>
      <c r="V11" s="796">
        <f>+'Staff Cost Summary'!E8</f>
        <v>10921937.212723508</v>
      </c>
      <c r="W11" s="795"/>
      <c r="X11" s="795"/>
      <c r="Y11" s="804">
        <f>SUM(Q11:W11)</f>
        <v>10921937.212723508</v>
      </c>
      <c r="Z11" s="790" t="b">
        <f>Y11=G15</f>
        <v>1</v>
      </c>
    </row>
    <row r="12" spans="2:26" s="38" customFormat="1" ht="29" customHeight="1" thickBot="1">
      <c r="B12" s="1072"/>
      <c r="C12" s="1074"/>
      <c r="D12" s="1074"/>
      <c r="E12" s="1076"/>
      <c r="F12" s="1078"/>
      <c r="G12" s="34" t="s">
        <v>18</v>
      </c>
      <c r="H12" s="35" t="s">
        <v>19</v>
      </c>
      <c r="I12" s="36" t="s">
        <v>20</v>
      </c>
      <c r="J12" s="37" t="s">
        <v>21</v>
      </c>
      <c r="L12" s="1067"/>
      <c r="M12" s="1067"/>
      <c r="P12" s="790" t="s">
        <v>794</v>
      </c>
      <c r="Q12" s="797">
        <f>+'Annexure -3 Material Summary'!E14</f>
        <v>39804.770000000004</v>
      </c>
      <c r="R12" s="797">
        <f>+'Annexure-4 Labour Cost Summary'!H19</f>
        <v>9754896.6999999974</v>
      </c>
      <c r="S12" s="798"/>
      <c r="T12" s="797">
        <f>'Annexure 6-SC Summary '!D93</f>
        <v>972720</v>
      </c>
      <c r="U12" s="797"/>
      <c r="V12" s="797"/>
      <c r="W12" s="798"/>
      <c r="X12" s="798"/>
      <c r="Y12" s="804">
        <f>SUM(Q12:W12)</f>
        <v>10767421.469999997</v>
      </c>
      <c r="Z12" s="790" t="b">
        <f>Y12=G24</f>
        <v>1</v>
      </c>
    </row>
    <row r="13" spans="2:26">
      <c r="B13" s="39"/>
      <c r="C13" s="40"/>
      <c r="D13" s="40"/>
      <c r="E13" s="41"/>
      <c r="F13" s="42"/>
      <c r="G13" s="43"/>
      <c r="H13" s="44"/>
      <c r="I13" s="45"/>
      <c r="J13" s="46"/>
      <c r="L13" s="47"/>
      <c r="M13" s="47"/>
      <c r="P13" t="s">
        <v>796</v>
      </c>
      <c r="Q13" s="797">
        <f>+'Annexure -3 Material Summary'!E11</f>
        <v>5678563.6700000009</v>
      </c>
      <c r="R13" s="795"/>
      <c r="S13" s="799">
        <f>+'Annexure-5 Plant Summary'!F10</f>
        <v>2735271.21</v>
      </c>
      <c r="T13" s="796">
        <f>+'Annexure 6-SC Summary '!D91</f>
        <v>6009104.2275681542</v>
      </c>
      <c r="U13" s="796">
        <f>+'Committed Orders'!H5</f>
        <v>234666.73</v>
      </c>
      <c r="V13" s="796"/>
      <c r="W13" s="799">
        <f>+'Annexure 7-Overhead Summary'!E10</f>
        <v>1286180.2000000002</v>
      </c>
      <c r="X13" s="799">
        <f>+Q16+S16</f>
        <v>659033.56999999995</v>
      </c>
      <c r="Y13" s="804">
        <f>SUM(Q13:X13)</f>
        <v>16602819.607568156</v>
      </c>
      <c r="Z13" s="790" t="b">
        <f>Y13=G17</f>
        <v>0</v>
      </c>
    </row>
    <row r="14" spans="2:26">
      <c r="B14" s="48" t="s">
        <v>22</v>
      </c>
      <c r="C14" s="40"/>
      <c r="D14" s="49"/>
      <c r="E14" s="41"/>
      <c r="F14" s="42"/>
      <c r="G14" s="43"/>
      <c r="H14" s="44"/>
      <c r="I14" s="45"/>
      <c r="J14" s="46"/>
      <c r="L14" s="47"/>
      <c r="M14" s="47"/>
      <c r="P14" t="s">
        <v>797</v>
      </c>
      <c r="Q14" s="797">
        <f>+'Annexure -3 Material Summary'!E12</f>
        <v>3122010.1399999997</v>
      </c>
      <c r="R14" s="795"/>
      <c r="S14" s="795">
        <f>+'Annexure-5 Plant Summary'!F12</f>
        <v>0</v>
      </c>
      <c r="T14" s="796">
        <f>+'Annexure 6-SC Summary '!D92</f>
        <v>7165117.0795864975</v>
      </c>
      <c r="U14" s="796">
        <f>+'Committed Orders'!H6</f>
        <v>706054.27</v>
      </c>
      <c r="V14" s="796"/>
      <c r="W14" s="795"/>
      <c r="X14" s="795"/>
      <c r="Y14" s="804">
        <f>SUM(Q14:W14)</f>
        <v>10993181.489586497</v>
      </c>
      <c r="Z14" s="790" t="b">
        <f>Y14=G23</f>
        <v>1</v>
      </c>
    </row>
    <row r="15" spans="2:26">
      <c r="B15" s="39" t="s">
        <v>23</v>
      </c>
      <c r="C15" s="40">
        <v>9449750</v>
      </c>
      <c r="D15" s="49">
        <v>9449750</v>
      </c>
      <c r="E15" s="41">
        <v>9548987.6218144167</v>
      </c>
      <c r="F15" s="42">
        <f>+I15-E15</f>
        <v>1372949.5909090918</v>
      </c>
      <c r="G15" s="950">
        <f>+'Staff Cost Summary'!E8</f>
        <v>10921937.212723508</v>
      </c>
      <c r="H15" s="52"/>
      <c r="I15" s="50">
        <f>H15+G15</f>
        <v>10921937.212723508</v>
      </c>
      <c r="J15" s="51">
        <f>I15/C15</f>
        <v>1.1557911280958235</v>
      </c>
      <c r="L15" s="47"/>
      <c r="M15" s="47">
        <v>1227292.55</v>
      </c>
      <c r="P15" t="s">
        <v>792</v>
      </c>
      <c r="Q15" s="797"/>
      <c r="R15" s="795"/>
      <c r="S15" s="795"/>
      <c r="T15" s="796">
        <f>SUM('Annexure 6-SC Summary '!D97:D106)</f>
        <v>40889994.709452704</v>
      </c>
      <c r="U15" s="796">
        <f>+'Committed Orders'!H7+'Committed Orders'!H8</f>
        <v>832632.41</v>
      </c>
      <c r="V15" s="796"/>
      <c r="W15" s="795"/>
      <c r="X15" s="795"/>
      <c r="Y15" s="804">
        <f>SUM(Q15:W15)</f>
        <v>41722627.1194527</v>
      </c>
      <c r="Z15" s="790" t="b">
        <f>Y15=G52</f>
        <v>1</v>
      </c>
    </row>
    <row r="16" spans="2:26">
      <c r="B16" s="39" t="s">
        <v>24</v>
      </c>
      <c r="C16" s="40">
        <v>10059900</v>
      </c>
      <c r="D16" s="49">
        <v>10059900</v>
      </c>
      <c r="E16" s="41">
        <v>8588278.1771612894</v>
      </c>
      <c r="F16" s="42">
        <f>+I16-E16</f>
        <v>1031843.2128387112</v>
      </c>
      <c r="G16" s="43"/>
      <c r="H16" s="951">
        <f>'KMEP -IPC'!L12</f>
        <v>9620121.3900000006</v>
      </c>
      <c r="I16" s="50">
        <f>H16+G16</f>
        <v>9620121.3900000006</v>
      </c>
      <c r="J16" s="51">
        <f>I16/C16</f>
        <v>0.95628399785286144</v>
      </c>
      <c r="L16" s="47"/>
      <c r="M16" s="47">
        <v>1138806.26</v>
      </c>
      <c r="P16" t="s">
        <v>829</v>
      </c>
      <c r="Q16" s="800">
        <f>+'Annexure -3 Material Summary'!E13</f>
        <v>218423.22</v>
      </c>
      <c r="R16" s="801"/>
      <c r="S16" s="802">
        <f>+'Annexure-5 Plant Summary'!F11</f>
        <v>440610.35</v>
      </c>
      <c r="T16" s="802"/>
      <c r="U16" s="802"/>
      <c r="V16" s="802"/>
      <c r="W16" s="801"/>
      <c r="X16" s="801"/>
    </row>
    <row r="17" spans="2:24" ht="15" thickBot="1">
      <c r="B17" s="39" t="s">
        <v>25</v>
      </c>
      <c r="C17" s="49">
        <v>4000000</v>
      </c>
      <c r="D17" s="49">
        <v>8707572.4499999993</v>
      </c>
      <c r="E17" s="41">
        <v>14659775.150952384</v>
      </c>
      <c r="F17" s="42">
        <f>+I17-E17</f>
        <v>1817238.777568154</v>
      </c>
      <c r="G17" s="952">
        <f>+'Annexure 6-SC Summary '!D91+'Annexure -3 Material Summary'!E11+'Annexure 8-Committed Orders'!F10+'Annexure -3 Material Summary'!E13+'Annexure -3 Material Summary'!E15+'Annexure 7-Overhead Summary'!E12+'Annexure-5 Plant Summary'!F14</f>
        <v>16477013.928520538</v>
      </c>
      <c r="H17" s="52"/>
      <c r="I17" s="53">
        <f>H17+G17</f>
        <v>16477013.928520538</v>
      </c>
      <c r="J17" s="54">
        <f>I17/C17</f>
        <v>4.1192534821301345</v>
      </c>
      <c r="L17" s="47" t="s">
        <v>835</v>
      </c>
      <c r="M17" s="47">
        <v>1410311.36</v>
      </c>
      <c r="P17" s="55"/>
      <c r="Q17" s="791">
        <f>SUM(Q12:Q16)</f>
        <v>9058801.8000000007</v>
      </c>
      <c r="R17" s="792">
        <f>SUM(R12:R16)</f>
        <v>9754896.6999999974</v>
      </c>
      <c r="S17" s="792">
        <f t="shared" ref="S17:X17" si="0">SUM(S12:S16)</f>
        <v>3175881.56</v>
      </c>
      <c r="T17" s="792">
        <f t="shared" si="0"/>
        <v>55036936.016607359</v>
      </c>
      <c r="U17" s="792">
        <f t="shared" si="0"/>
        <v>1773353.4100000001</v>
      </c>
      <c r="V17" s="792">
        <f>SUM(V11:V16)</f>
        <v>10921937.212723508</v>
      </c>
      <c r="W17" s="792">
        <f t="shared" si="0"/>
        <v>1286180.2000000002</v>
      </c>
      <c r="X17" s="792">
        <f t="shared" si="0"/>
        <v>659033.56999999995</v>
      </c>
    </row>
    <row r="18" spans="2:24" ht="15" thickTop="1">
      <c r="B18" s="56" t="s">
        <v>26</v>
      </c>
      <c r="C18" s="57">
        <v>1000000</v>
      </c>
      <c r="D18" s="58">
        <v>1000000</v>
      </c>
      <c r="E18" s="59">
        <v>1487337.94</v>
      </c>
      <c r="F18" s="60">
        <f>I18-E18</f>
        <v>114054.97999999998</v>
      </c>
      <c r="G18" s="61"/>
      <c r="H18" s="953">
        <f>'KMEP -IPC'!L13</f>
        <v>1601392.92</v>
      </c>
      <c r="I18" s="62">
        <f>H18+G18</f>
        <v>1601392.92</v>
      </c>
      <c r="J18" s="63">
        <f>I18/C18</f>
        <v>1.6013929199999999</v>
      </c>
      <c r="L18" s="64"/>
      <c r="M18" s="64">
        <v>321088.26</v>
      </c>
      <c r="P18"/>
      <c r="Q18" s="784" t="b">
        <f>'Annexure -3 Material Summary'!E16=Q17</f>
        <v>0</v>
      </c>
      <c r="R18" s="782" t="b">
        <f>'Annexure-4 Labour Cost Summary'!H19=R17</f>
        <v>1</v>
      </c>
      <c r="S18" s="782" t="b">
        <f>'Annexure-5 Plant Summary'!F14=S17</f>
        <v>1</v>
      </c>
      <c r="T18" s="783" t="b">
        <f>'Annexure 6-SC Summary '!D107=T17</f>
        <v>1</v>
      </c>
      <c r="U18" s="783" t="b">
        <f>'Committed Orders'!D67=U17</f>
        <v>1</v>
      </c>
      <c r="V18" s="783" t="b">
        <f>'Staff Cost Summary'!E8=V17</f>
        <v>1</v>
      </c>
      <c r="W18" s="782" t="b">
        <f>'Annexure 7-Overhead Summary'!E12=W17</f>
        <v>0</v>
      </c>
      <c r="X18" s="782"/>
    </row>
    <row r="19" spans="2:24">
      <c r="B19" s="65" t="s">
        <v>28</v>
      </c>
      <c r="C19" s="66">
        <f>SUM(C15:C18)</f>
        <v>24509650</v>
      </c>
      <c r="D19" s="67">
        <v>29217222.449999996</v>
      </c>
      <c r="E19" s="68">
        <f>SUM(E15:E18)</f>
        <v>34284378.889928088</v>
      </c>
      <c r="F19" s="69">
        <f>+I19-E19</f>
        <v>4336086.5613159612</v>
      </c>
      <c r="G19" s="70">
        <f>SUM(G15:G18)</f>
        <v>27398951.141244046</v>
      </c>
      <c r="H19" s="71">
        <f>SUM(H15:H18)</f>
        <v>11221514.310000001</v>
      </c>
      <c r="I19" s="72">
        <f>SUM(I15:I18)</f>
        <v>38620465.451244049</v>
      </c>
      <c r="J19" s="73">
        <f>I19/C19</f>
        <v>1.5757248859630411</v>
      </c>
      <c r="L19" s="47"/>
      <c r="M19" s="47">
        <f>SUM(M15:M18)</f>
        <v>4097498.4299999997</v>
      </c>
      <c r="N19" s="74">
        <f>G19+H19</f>
        <v>38620465.451244049</v>
      </c>
      <c r="O19" t="b">
        <f>N19=I19</f>
        <v>1</v>
      </c>
      <c r="Q19" s="781"/>
      <c r="R19" s="785"/>
      <c r="S19" s="782"/>
      <c r="V19" s="783"/>
      <c r="W19" s="782"/>
      <c r="X19" s="782"/>
    </row>
    <row r="20" spans="2:24">
      <c r="B20" s="65"/>
      <c r="C20" s="76"/>
      <c r="D20" s="67"/>
      <c r="E20" s="68"/>
      <c r="F20" s="69"/>
      <c r="G20" s="43"/>
      <c r="H20" s="44"/>
      <c r="I20" s="45"/>
      <c r="J20" s="46"/>
      <c r="L20" s="77"/>
      <c r="M20" s="77"/>
      <c r="N20" s="74"/>
      <c r="P20"/>
      <c r="Q20" s="784"/>
      <c r="S20" s="782" t="s">
        <v>800</v>
      </c>
      <c r="T20" s="783">
        <f>+'Annexure 6-SC Summary '!AB87+G69</f>
        <v>7200260.676265087</v>
      </c>
      <c r="V20" s="783"/>
      <c r="W20" s="782"/>
      <c r="X20" s="782"/>
    </row>
    <row r="21" spans="2:24" ht="15" thickBot="1">
      <c r="B21" s="78" t="s">
        <v>29</v>
      </c>
      <c r="C21" s="79"/>
      <c r="D21" s="80"/>
      <c r="E21" s="81"/>
      <c r="F21" s="82"/>
      <c r="G21" s="83"/>
      <c r="H21" s="84"/>
      <c r="I21" s="85"/>
      <c r="J21" s="86"/>
      <c r="L21" s="87"/>
      <c r="M21" s="47"/>
      <c r="N21" s="74"/>
      <c r="P21"/>
      <c r="Q21" s="784"/>
      <c r="S21" s="782" t="s">
        <v>801</v>
      </c>
      <c r="T21" s="803">
        <f>+T20+T17</f>
        <v>62237196.69287245</v>
      </c>
      <c r="V21" s="783"/>
      <c r="W21" s="782"/>
      <c r="X21" s="782"/>
    </row>
    <row r="22" spans="2:24" ht="15" thickTop="1">
      <c r="B22" s="65" t="s">
        <v>30</v>
      </c>
      <c r="C22" s="88"/>
      <c r="D22" s="49"/>
      <c r="E22" s="41"/>
      <c r="F22" s="42"/>
      <c r="G22" s="43"/>
      <c r="H22" s="44"/>
      <c r="I22" s="45"/>
      <c r="J22" s="46"/>
      <c r="L22" s="47"/>
      <c r="M22" s="47"/>
      <c r="N22" s="74"/>
      <c r="P22"/>
      <c r="Q22" s="784"/>
      <c r="S22" s="782"/>
      <c r="V22" s="783"/>
      <c r="W22" s="782"/>
      <c r="X22" s="782"/>
    </row>
    <row r="23" spans="2:24">
      <c r="B23" s="39" t="s">
        <v>31</v>
      </c>
      <c r="C23" s="88">
        <v>8300000</v>
      </c>
      <c r="D23" s="49">
        <v>15197560.09</v>
      </c>
      <c r="E23" s="41">
        <v>8605250.7323809508</v>
      </c>
      <c r="F23" s="42">
        <f>+I23-E23</f>
        <v>2387930.7572055459</v>
      </c>
      <c r="G23" s="950">
        <f>+'Annexure 6-SC Summary '!D92+'Annexure -3 Material Summary'!E12+'Annexure-5 Plant Summary'!F12+'Annexure 8-Committed Orders'!F11</f>
        <v>10993181.489586497</v>
      </c>
      <c r="H23" s="44"/>
      <c r="I23" s="50">
        <f>H23+G23</f>
        <v>10993181.489586497</v>
      </c>
      <c r="J23" s="51">
        <f>I23/C23</f>
        <v>1.3244796975405417</v>
      </c>
      <c r="L23" s="47" t="s">
        <v>836</v>
      </c>
      <c r="M23" s="47">
        <v>1167096.5</v>
      </c>
      <c r="N23" s="74"/>
      <c r="P23" s="55"/>
      <c r="Q23" s="784"/>
      <c r="S23" s="782" t="s">
        <v>802</v>
      </c>
      <c r="T23" s="793">
        <f>+'Annexure 6-SC Summary '!AD87</f>
        <v>62237196.692872427</v>
      </c>
      <c r="V23" s="783"/>
      <c r="W23" s="782"/>
      <c r="X23" s="782"/>
    </row>
    <row r="24" spans="2:24">
      <c r="B24" s="89" t="s">
        <v>32</v>
      </c>
      <c r="C24" s="90">
        <v>1034790</v>
      </c>
      <c r="D24" s="58">
        <v>1034790</v>
      </c>
      <c r="E24" s="59">
        <v>8990217.9899999984</v>
      </c>
      <c r="F24" s="60">
        <f>+I24-E24</f>
        <v>1777203.4799999986</v>
      </c>
      <c r="G24" s="954">
        <f>'Annexure 6-SC Summary '!D93+'Annexure-4 Labour Cost Summary'!H19+'Annexure -3 Material Summary'!E14</f>
        <v>10767421.469999997</v>
      </c>
      <c r="H24" s="91"/>
      <c r="I24" s="92">
        <f>H24+G24</f>
        <v>10767421.469999997</v>
      </c>
      <c r="J24" s="63">
        <f>I24/C24</f>
        <v>10.405417012147389</v>
      </c>
      <c r="L24" s="64" t="s">
        <v>45</v>
      </c>
      <c r="M24" s="47"/>
      <c r="N24" s="74"/>
      <c r="P24" s="55"/>
      <c r="Q24" s="781"/>
      <c r="S24" s="782"/>
      <c r="V24" s="783"/>
      <c r="W24" s="782"/>
      <c r="X24" s="782"/>
    </row>
    <row r="25" spans="2:24" ht="15" thickBot="1">
      <c r="B25" s="65" t="s">
        <v>33</v>
      </c>
      <c r="C25" s="88"/>
      <c r="D25" s="49"/>
      <c r="E25" s="41"/>
      <c r="F25" s="42"/>
      <c r="G25" s="950"/>
      <c r="H25" s="44"/>
      <c r="I25" s="50"/>
      <c r="J25" s="51"/>
      <c r="L25" s="47"/>
      <c r="M25" s="47"/>
      <c r="N25" s="74"/>
      <c r="P25" s="55"/>
      <c r="Q25" s="781"/>
      <c r="S25" s="782" t="s">
        <v>74</v>
      </c>
      <c r="T25" s="803">
        <f>T23-T21</f>
        <v>0</v>
      </c>
      <c r="V25" s="783"/>
      <c r="W25" s="782"/>
      <c r="X25" s="782"/>
    </row>
    <row r="26" spans="2:24" ht="15" thickTop="1">
      <c r="B26" s="39" t="s">
        <v>34</v>
      </c>
      <c r="C26" s="88">
        <v>22000000</v>
      </c>
      <c r="D26" s="49">
        <v>13860981.780000001</v>
      </c>
      <c r="E26" s="41">
        <v>9856790.1977024041</v>
      </c>
      <c r="F26" s="42">
        <f>I26-E26</f>
        <v>1312841.5922975987</v>
      </c>
      <c r="G26" s="43"/>
      <c r="H26" s="951">
        <f>'KMEP -IPC'!L15-'KMEP -IPC'!L16</f>
        <v>11169631.790000003</v>
      </c>
      <c r="I26" s="53">
        <f>H26+G26</f>
        <v>11169631.790000003</v>
      </c>
      <c r="J26" s="51">
        <f>I26/C26</f>
        <v>0.50771053590909099</v>
      </c>
      <c r="L26" s="47"/>
      <c r="M26" s="47">
        <v>2306983.96</v>
      </c>
      <c r="N26" s="74"/>
    </row>
    <row r="27" spans="2:24">
      <c r="B27" s="89" t="s">
        <v>35</v>
      </c>
      <c r="C27" s="88"/>
      <c r="D27" s="49">
        <v>9001291</v>
      </c>
      <c r="E27" s="59">
        <v>15122050.734999999</v>
      </c>
      <c r="F27" s="60">
        <f>I27-E27</f>
        <v>2191237.4750000015</v>
      </c>
      <c r="G27" s="954"/>
      <c r="H27" s="955">
        <f>'KMEP -IPC'!L16</f>
        <v>17313288.210000001</v>
      </c>
      <c r="I27" s="92">
        <f>H27+G27</f>
        <v>17313288.210000001</v>
      </c>
      <c r="J27" s="63">
        <f>I27/D26</f>
        <v>1.2490665152580556</v>
      </c>
      <c r="L27" s="64"/>
      <c r="M27" s="64">
        <v>448275.51</v>
      </c>
      <c r="N27" s="74"/>
      <c r="P27" s="784"/>
    </row>
    <row r="28" spans="2:24">
      <c r="B28" s="65" t="s">
        <v>36</v>
      </c>
      <c r="C28" s="93">
        <f>SUM(C23:C27)</f>
        <v>31334790</v>
      </c>
      <c r="D28" s="94">
        <v>39094622.870000005</v>
      </c>
      <c r="E28" s="68">
        <f>SUM(E23:E27)</f>
        <v>42574309.655083358</v>
      </c>
      <c r="F28" s="69">
        <f>+I28-E28</f>
        <v>7669213.3045031428</v>
      </c>
      <c r="G28" s="70">
        <f>SUM(G23:G27)</f>
        <v>21760602.959586494</v>
      </c>
      <c r="H28" s="72">
        <f>SUM(H25:H27)</f>
        <v>28482920.000000004</v>
      </c>
      <c r="I28" s="67">
        <f>SUM(I21:I27)</f>
        <v>50243522.959586501</v>
      </c>
      <c r="J28" s="73">
        <f>I28/C28</f>
        <v>1.6034421471976197</v>
      </c>
      <c r="L28" s="47"/>
      <c r="M28" s="47">
        <f>SUM(M23:M27)</f>
        <v>3922355.9699999997</v>
      </c>
      <c r="N28" s="74">
        <f>G28+H28</f>
        <v>50243522.959586501</v>
      </c>
      <c r="O28" t="b">
        <f>N28=I28</f>
        <v>1</v>
      </c>
      <c r="Q28" s="785"/>
    </row>
    <row r="29" spans="2:24">
      <c r="B29" s="39"/>
      <c r="C29" s="40"/>
      <c r="D29" s="40"/>
      <c r="E29" s="41"/>
      <c r="F29" s="42"/>
      <c r="G29" s="95"/>
      <c r="H29" s="49"/>
      <c r="I29" s="49"/>
      <c r="J29" s="46"/>
      <c r="L29" s="47"/>
      <c r="M29" s="47"/>
      <c r="P29" s="784"/>
    </row>
    <row r="30" spans="2:24">
      <c r="B30" s="48" t="s">
        <v>37</v>
      </c>
      <c r="C30" s="40"/>
      <c r="D30" s="40"/>
      <c r="E30" s="41"/>
      <c r="F30" s="42"/>
      <c r="G30" s="95"/>
      <c r="H30" s="49"/>
      <c r="I30" s="49"/>
      <c r="J30" s="46"/>
      <c r="L30" s="47"/>
      <c r="M30" s="47"/>
      <c r="P30" s="784"/>
    </row>
    <row r="31" spans="2:24">
      <c r="B31" s="39" t="s">
        <v>38</v>
      </c>
      <c r="C31" s="40">
        <v>1800000</v>
      </c>
      <c r="D31" s="40">
        <v>811861</v>
      </c>
      <c r="E31" s="41">
        <v>60750</v>
      </c>
      <c r="F31" s="42">
        <f>+I31-E31</f>
        <v>574690.06000000006</v>
      </c>
      <c r="G31" s="956">
        <v>0</v>
      </c>
      <c r="H31" s="49">
        <f>+'KMEP -IPC'!L28</f>
        <v>635440.06000000006</v>
      </c>
      <c r="I31" s="49">
        <f>H31+G31</f>
        <v>635440.06000000006</v>
      </c>
      <c r="J31" s="51">
        <f>I31/C31</f>
        <v>0.35302225555555561</v>
      </c>
      <c r="L31" s="47"/>
      <c r="M31" s="47"/>
    </row>
    <row r="32" spans="2:24">
      <c r="B32" s="39" t="s">
        <v>39</v>
      </c>
      <c r="C32" s="49">
        <v>2300000</v>
      </c>
      <c r="D32" s="96">
        <v>1573369</v>
      </c>
      <c r="E32" s="41">
        <v>287513.62446844904</v>
      </c>
      <c r="F32" s="42">
        <f>+I32-E32</f>
        <v>-4.4684490421786904E-3</v>
      </c>
      <c r="G32" s="956">
        <v>0</v>
      </c>
      <c r="H32" s="49">
        <f>+'KMEP -IPC'!L30</f>
        <v>287513.62</v>
      </c>
      <c r="I32" s="49">
        <f>H32+G32</f>
        <v>287513.62</v>
      </c>
      <c r="J32" s="51">
        <f>I32/C32</f>
        <v>0.12500592173913044</v>
      </c>
      <c r="L32" s="47"/>
      <c r="M32" s="47"/>
    </row>
    <row r="33" spans="2:17">
      <c r="B33" s="39" t="s">
        <v>40</v>
      </c>
      <c r="C33" s="49"/>
      <c r="D33" s="96">
        <v>726631</v>
      </c>
      <c r="E33" s="41">
        <v>105770.58690035013</v>
      </c>
      <c r="F33" s="42"/>
      <c r="G33" s="956"/>
      <c r="H33" s="49">
        <f>+'KMEP -IPC'!L29</f>
        <v>134510.16</v>
      </c>
      <c r="I33" s="49">
        <f>H33+G33</f>
        <v>134510.16</v>
      </c>
      <c r="J33" s="51"/>
      <c r="L33" s="47"/>
      <c r="M33" s="47"/>
    </row>
    <row r="34" spans="2:17">
      <c r="B34" s="39" t="s">
        <v>41</v>
      </c>
      <c r="C34" s="40">
        <v>1000000</v>
      </c>
      <c r="D34" s="49">
        <v>1000000</v>
      </c>
      <c r="E34" s="41">
        <v>233562.86</v>
      </c>
      <c r="F34" s="42">
        <f>+I34-E34</f>
        <v>199183.97000000003</v>
      </c>
      <c r="G34" s="956">
        <v>0</v>
      </c>
      <c r="H34" s="49">
        <f>+'KMEP -IPC'!L31</f>
        <v>432746.83</v>
      </c>
      <c r="I34" s="49">
        <f>H34+G34</f>
        <v>432746.83</v>
      </c>
      <c r="J34" s="51">
        <f>I34/C34</f>
        <v>0.43274683000000003</v>
      </c>
      <c r="L34" s="47"/>
      <c r="M34" s="47"/>
    </row>
    <row r="35" spans="2:17">
      <c r="B35" s="39" t="s">
        <v>42</v>
      </c>
      <c r="C35" s="40">
        <v>4300000</v>
      </c>
      <c r="D35" s="40">
        <v>3067842</v>
      </c>
      <c r="E35" s="41">
        <v>1656074.9400000002</v>
      </c>
      <c r="F35" s="42">
        <f>+I35-E35</f>
        <v>1138647.6899999997</v>
      </c>
      <c r="G35" s="956">
        <v>0</v>
      </c>
      <c r="H35" s="49">
        <f>+'KMEP -IPC'!L32</f>
        <v>2794722.63</v>
      </c>
      <c r="I35" s="49">
        <f>H35+G35</f>
        <v>2794722.63</v>
      </c>
      <c r="J35" s="51">
        <f>I35/C35</f>
        <v>0.64993549534883721</v>
      </c>
      <c r="L35" s="47"/>
      <c r="M35" s="47"/>
    </row>
    <row r="36" spans="2:17">
      <c r="B36" s="39"/>
      <c r="C36" s="40"/>
      <c r="D36" s="40"/>
      <c r="E36" s="41"/>
      <c r="F36" s="42"/>
      <c r="G36" s="956"/>
      <c r="H36" s="49"/>
      <c r="I36" s="49"/>
      <c r="J36" s="51"/>
      <c r="L36" s="47"/>
      <c r="M36" s="47"/>
    </row>
    <row r="37" spans="2:17">
      <c r="B37" s="39" t="s">
        <v>43</v>
      </c>
      <c r="C37" s="40">
        <v>15600000</v>
      </c>
      <c r="D37" s="40">
        <v>10273402</v>
      </c>
      <c r="E37" s="41">
        <v>5043210.60147388</v>
      </c>
      <c r="F37" s="42">
        <f>+I37-E37</f>
        <v>419186.0085261194</v>
      </c>
      <c r="G37" s="956">
        <f>+'Annexure 6-SC Summary '!D101+'Annexure 8-Committed Orders'!F12</f>
        <v>5462396.6099999994</v>
      </c>
      <c r="H37" s="49">
        <v>0</v>
      </c>
      <c r="I37" s="49">
        <f t="shared" ref="I37:I50" si="1">H37+G37</f>
        <v>5462396.6099999994</v>
      </c>
      <c r="J37" s="51">
        <f>I37/C37</f>
        <v>0.35015362884615381</v>
      </c>
      <c r="L37" s="47" t="s">
        <v>837</v>
      </c>
      <c r="M37" s="47"/>
    </row>
    <row r="38" spans="2:17">
      <c r="B38" s="39" t="s">
        <v>44</v>
      </c>
      <c r="C38" s="40">
        <v>4200000</v>
      </c>
      <c r="D38" s="40">
        <v>4155655</v>
      </c>
      <c r="E38" s="41">
        <v>2303922.7976025827</v>
      </c>
      <c r="F38" s="42">
        <f>+I38-E38</f>
        <v>593228.37709391722</v>
      </c>
      <c r="G38" s="957">
        <f>+'Annexure 6-SC Summary '!D100+'Annexure 6-SC Summary '!D99</f>
        <v>2897151.1746964999</v>
      </c>
      <c r="H38" s="49">
        <v>0</v>
      </c>
      <c r="I38" s="50">
        <f t="shared" si="1"/>
        <v>2897151.1746964999</v>
      </c>
      <c r="J38" s="51">
        <f>I38/C38</f>
        <v>0.68979789873726194</v>
      </c>
      <c r="L38" s="47" t="s">
        <v>27</v>
      </c>
      <c r="M38" s="47">
        <v>153815.69</v>
      </c>
      <c r="Q38" s="786">
        <f>H19+H28+H52</f>
        <v>43989367.609999999</v>
      </c>
    </row>
    <row r="39" spans="2:17">
      <c r="B39" s="39" t="s">
        <v>46</v>
      </c>
      <c r="C39" s="40">
        <v>2900000</v>
      </c>
      <c r="D39" s="40">
        <v>1670254</v>
      </c>
      <c r="E39" s="41">
        <v>0</v>
      </c>
      <c r="F39" s="42">
        <f>+I39-E39</f>
        <v>0</v>
      </c>
      <c r="G39" s="956">
        <v>0</v>
      </c>
      <c r="H39" s="49">
        <v>0</v>
      </c>
      <c r="I39" s="50">
        <f t="shared" si="1"/>
        <v>0</v>
      </c>
      <c r="J39" s="51">
        <f>I39/C39</f>
        <v>0</v>
      </c>
      <c r="L39" s="47"/>
      <c r="M39" s="47"/>
    </row>
    <row r="40" spans="2:17">
      <c r="B40" s="39"/>
      <c r="C40" s="40"/>
      <c r="D40" s="40"/>
      <c r="E40" s="41"/>
      <c r="F40" s="42"/>
      <c r="G40" s="956"/>
      <c r="H40" s="49"/>
      <c r="I40" s="50"/>
      <c r="J40" s="51"/>
      <c r="L40" s="47"/>
      <c r="M40" s="47"/>
    </row>
    <row r="41" spans="2:17">
      <c r="B41" s="39" t="s">
        <v>47</v>
      </c>
      <c r="C41" s="40">
        <v>39200000</v>
      </c>
      <c r="D41" s="40">
        <v>17574621</v>
      </c>
      <c r="E41" s="41">
        <v>14898746.531139007</v>
      </c>
      <c r="F41" s="42">
        <f>+I41-E41</f>
        <v>4879611.5398320649</v>
      </c>
      <c r="G41" s="957">
        <f>+'Annexure 6-SC Summary '!D103+'Annexure 8-Committed Orders'!F13</f>
        <v>19778358.070971072</v>
      </c>
      <c r="H41" s="49">
        <v>0</v>
      </c>
      <c r="I41" s="50">
        <f t="shared" si="1"/>
        <v>19778358.070971072</v>
      </c>
      <c r="J41" s="51">
        <f>I41/C41</f>
        <v>0.50454995079007836</v>
      </c>
      <c r="L41" s="47" t="s">
        <v>837</v>
      </c>
      <c r="M41" s="47">
        <v>739977.4</v>
      </c>
    </row>
    <row r="42" spans="2:17">
      <c r="B42" s="39" t="s">
        <v>48</v>
      </c>
      <c r="C42" s="40">
        <v>8500000</v>
      </c>
      <c r="D42" s="40">
        <v>9719682</v>
      </c>
      <c r="E42" s="41">
        <v>0</v>
      </c>
      <c r="F42" s="42">
        <f>+I42-E42</f>
        <v>0</v>
      </c>
      <c r="G42" s="956">
        <v>0</v>
      </c>
      <c r="H42" s="49">
        <v>0</v>
      </c>
      <c r="I42" s="50">
        <f t="shared" si="1"/>
        <v>0</v>
      </c>
      <c r="J42" s="51">
        <f>I42/C42</f>
        <v>0</v>
      </c>
      <c r="L42" s="47"/>
      <c r="M42" s="47">
        <v>0</v>
      </c>
    </row>
    <row r="43" spans="2:17">
      <c r="B43" s="39" t="s">
        <v>49</v>
      </c>
      <c r="C43" s="40">
        <v>2000000</v>
      </c>
      <c r="D43" s="49">
        <v>2000000</v>
      </c>
      <c r="E43" s="41">
        <v>0</v>
      </c>
      <c r="F43" s="42">
        <f>+I43-E43</f>
        <v>0</v>
      </c>
      <c r="G43" s="957">
        <f>+'Annexure 6-SC Summary '!D102</f>
        <v>0</v>
      </c>
      <c r="H43" s="49">
        <v>0</v>
      </c>
      <c r="I43" s="50">
        <f t="shared" si="1"/>
        <v>0</v>
      </c>
      <c r="J43" s="51">
        <f>I43/C43</f>
        <v>0</v>
      </c>
      <c r="L43" s="47"/>
      <c r="M43" s="47">
        <v>199830</v>
      </c>
    </row>
    <row r="44" spans="2:17">
      <c r="B44" s="39"/>
      <c r="C44" s="40"/>
      <c r="D44" s="40"/>
      <c r="E44" s="41"/>
      <c r="F44" s="42"/>
      <c r="G44" s="956"/>
      <c r="H44" s="49"/>
      <c r="I44" s="50"/>
      <c r="J44" s="51"/>
      <c r="L44" s="47"/>
      <c r="M44" s="47"/>
    </row>
    <row r="45" spans="2:17">
      <c r="B45" s="39" t="s">
        <v>50</v>
      </c>
      <c r="C45" s="40">
        <v>3400000</v>
      </c>
      <c r="D45" s="40">
        <v>1391469</v>
      </c>
      <c r="E45" s="41">
        <v>595446.91463000001</v>
      </c>
      <c r="F45" s="42">
        <f t="shared" ref="F45:F50" si="2">+I45-E45</f>
        <v>150290.08536999999</v>
      </c>
      <c r="G45" s="956">
        <f>+'Annexure 6-SC Summary '!D106</f>
        <v>745737</v>
      </c>
      <c r="H45" s="49">
        <v>0</v>
      </c>
      <c r="I45" s="50">
        <f t="shared" si="1"/>
        <v>745737</v>
      </c>
      <c r="J45" s="51">
        <f t="shared" ref="J45:J50" si="3">I45/C45</f>
        <v>0.21933441176470589</v>
      </c>
      <c r="L45" s="47" t="s">
        <v>27</v>
      </c>
      <c r="M45" s="47">
        <v>0</v>
      </c>
    </row>
    <row r="46" spans="2:17">
      <c r="B46" s="39" t="s">
        <v>51</v>
      </c>
      <c r="C46" s="40">
        <v>10300000</v>
      </c>
      <c r="D46" s="40">
        <v>5523719.1200000001</v>
      </c>
      <c r="E46" s="41">
        <v>8106922.3819670808</v>
      </c>
      <c r="F46" s="42">
        <f t="shared" si="2"/>
        <v>983122.89181805961</v>
      </c>
      <c r="G46" s="957">
        <f>+'Annexure 6-SC Summary '!D97</f>
        <v>9090045.2737851404</v>
      </c>
      <c r="H46" s="49">
        <v>0</v>
      </c>
      <c r="I46" s="50">
        <f t="shared" si="1"/>
        <v>9090045.2737851404</v>
      </c>
      <c r="J46" s="51">
        <f t="shared" si="3"/>
        <v>0.88252866735778057</v>
      </c>
      <c r="L46" s="47" t="s">
        <v>27</v>
      </c>
      <c r="M46" s="47">
        <v>2310029.06</v>
      </c>
    </row>
    <row r="47" spans="2:17">
      <c r="B47" s="39" t="s">
        <v>52</v>
      </c>
      <c r="C47" s="40">
        <v>5700000</v>
      </c>
      <c r="D47" s="40">
        <v>3186640.6</v>
      </c>
      <c r="E47" s="41">
        <v>0</v>
      </c>
      <c r="F47" s="42">
        <f t="shared" si="2"/>
        <v>1939753.25</v>
      </c>
      <c r="G47" s="956">
        <f>+'Annexure 6-SC Summary '!D98</f>
        <v>1939753.25</v>
      </c>
      <c r="H47" s="49">
        <v>0</v>
      </c>
      <c r="I47" s="50">
        <f t="shared" si="1"/>
        <v>1939753.25</v>
      </c>
      <c r="J47" s="51">
        <f t="shared" si="3"/>
        <v>0.34030758771929825</v>
      </c>
      <c r="L47" s="47"/>
      <c r="M47" s="47">
        <v>0</v>
      </c>
    </row>
    <row r="48" spans="2:17">
      <c r="B48" s="39" t="s">
        <v>53</v>
      </c>
      <c r="C48" s="40">
        <v>5600000</v>
      </c>
      <c r="D48" s="40">
        <v>3465990.23</v>
      </c>
      <c r="E48" s="41">
        <v>1523358.5042276764</v>
      </c>
      <c r="F48" s="42">
        <f t="shared" si="2"/>
        <v>81221.435772323515</v>
      </c>
      <c r="G48" s="956">
        <f>+'Annexure 6-SC Summary '!D104</f>
        <v>1604579.94</v>
      </c>
      <c r="H48" s="49">
        <v>0</v>
      </c>
      <c r="I48" s="50">
        <f t="shared" si="1"/>
        <v>1604579.94</v>
      </c>
      <c r="J48" s="51">
        <f t="shared" si="3"/>
        <v>0.28653213214285711</v>
      </c>
      <c r="L48" s="47" t="s">
        <v>27</v>
      </c>
      <c r="M48" s="47">
        <v>0</v>
      </c>
    </row>
    <row r="49" spans="2:22">
      <c r="B49" s="39" t="s">
        <v>54</v>
      </c>
      <c r="C49" s="40">
        <v>800000</v>
      </c>
      <c r="D49" s="49">
        <v>800000</v>
      </c>
      <c r="E49" s="41">
        <v>0</v>
      </c>
      <c r="F49" s="42">
        <f t="shared" si="2"/>
        <v>0</v>
      </c>
      <c r="G49" s="956">
        <v>0</v>
      </c>
      <c r="H49" s="49">
        <v>0</v>
      </c>
      <c r="I49" s="50">
        <f t="shared" si="1"/>
        <v>0</v>
      </c>
      <c r="J49" s="51">
        <f t="shared" si="3"/>
        <v>0</v>
      </c>
      <c r="L49" s="47"/>
      <c r="M49" s="47">
        <v>0</v>
      </c>
    </row>
    <row r="50" spans="2:22">
      <c r="B50" s="39" t="s">
        <v>55</v>
      </c>
      <c r="C50" s="40">
        <v>800000</v>
      </c>
      <c r="D50" s="40">
        <v>628861</v>
      </c>
      <c r="E50" s="41">
        <v>0</v>
      </c>
      <c r="F50" s="42">
        <f t="shared" si="2"/>
        <v>204605.8</v>
      </c>
      <c r="G50" s="95">
        <f>+'Annexure 6-SC Summary '!D105</f>
        <v>204605.8</v>
      </c>
      <c r="H50" s="40">
        <v>0</v>
      </c>
      <c r="I50" s="50">
        <f t="shared" si="1"/>
        <v>204605.8</v>
      </c>
      <c r="J50" s="51">
        <f t="shared" si="3"/>
        <v>0.25575724999999999</v>
      </c>
      <c r="L50" s="47"/>
      <c r="M50" s="47"/>
    </row>
    <row r="51" spans="2:22">
      <c r="B51" s="56"/>
      <c r="C51" s="57"/>
      <c r="D51" s="57"/>
      <c r="E51" s="59"/>
      <c r="F51" s="60"/>
      <c r="G51" s="97"/>
      <c r="H51" s="57"/>
      <c r="I51" s="58"/>
      <c r="J51" s="63"/>
      <c r="L51" s="64"/>
      <c r="M51" s="64"/>
    </row>
    <row r="52" spans="2:22" s="100" customFormat="1">
      <c r="B52" s="65" t="s">
        <v>56</v>
      </c>
      <c r="C52" s="66">
        <f>SUM(C31:C51)</f>
        <v>108400000</v>
      </c>
      <c r="D52" s="66">
        <v>69041277.950000003</v>
      </c>
      <c r="E52" s="68">
        <f>SUM(E31:E51)</f>
        <v>34815279.742409021</v>
      </c>
      <c r="F52" s="69">
        <f>+I52-E52</f>
        <v>11192280.677043691</v>
      </c>
      <c r="G52" s="70">
        <f>SUM(G31:G51)</f>
        <v>41722627.1194527</v>
      </c>
      <c r="H52" s="98">
        <f>SUM(H30:H51)</f>
        <v>4284933.3</v>
      </c>
      <c r="I52" s="72">
        <f>SUM(I31:I51)</f>
        <v>46007560.419452712</v>
      </c>
      <c r="J52" s="99">
        <f>I52/C52</f>
        <v>0.42442398910934237</v>
      </c>
      <c r="L52" s="101"/>
      <c r="M52" s="101">
        <f>SUM(M31:M51)</f>
        <v>3403652.1500000004</v>
      </c>
      <c r="N52" s="74">
        <f>G52+H52</f>
        <v>46007560.419452697</v>
      </c>
      <c r="O52" t="b">
        <f>N52=I52</f>
        <v>1</v>
      </c>
      <c r="P52" s="781"/>
      <c r="Q52" s="785"/>
      <c r="R52" s="787"/>
      <c r="S52" s="788"/>
      <c r="T52" s="788"/>
      <c r="U52" s="788"/>
      <c r="V52" s="787"/>
    </row>
    <row r="53" spans="2:22">
      <c r="B53" s="39"/>
      <c r="C53" s="40"/>
      <c r="D53" s="40"/>
      <c r="E53" s="41"/>
      <c r="F53" s="42"/>
      <c r="G53" s="43"/>
      <c r="H53" s="44"/>
      <c r="I53" s="45"/>
      <c r="J53" s="46"/>
      <c r="L53" s="47"/>
      <c r="M53" s="47"/>
    </row>
    <row r="54" spans="2:22">
      <c r="B54" s="48" t="s">
        <v>57</v>
      </c>
      <c r="C54" s="40"/>
      <c r="D54" s="40"/>
      <c r="E54" s="41"/>
      <c r="F54" s="42"/>
      <c r="G54" s="43"/>
      <c r="H54" s="44"/>
      <c r="I54" s="45"/>
      <c r="J54" s="46"/>
      <c r="L54" s="47"/>
      <c r="M54" s="47"/>
    </row>
    <row r="55" spans="2:22">
      <c r="B55" s="39" t="s">
        <v>58</v>
      </c>
      <c r="C55" s="40">
        <v>3600000</v>
      </c>
      <c r="D55" s="40">
        <v>3600000</v>
      </c>
      <c r="E55" s="41"/>
      <c r="F55" s="42">
        <f>+I55-E55</f>
        <v>0</v>
      </c>
      <c r="G55" s="43"/>
      <c r="H55" s="44"/>
      <c r="I55" s="45"/>
      <c r="J55" s="46"/>
      <c r="L55" s="47"/>
      <c r="M55" s="47"/>
      <c r="N55" s="55"/>
    </row>
    <row r="56" spans="2:22">
      <c r="B56" s="56" t="s">
        <v>59</v>
      </c>
      <c r="C56" s="57">
        <v>1200000</v>
      </c>
      <c r="D56" s="57">
        <v>1200000</v>
      </c>
      <c r="E56" s="59"/>
      <c r="F56" s="60">
        <f>+I56-E56</f>
        <v>0</v>
      </c>
      <c r="G56" s="61"/>
      <c r="H56" s="91"/>
      <c r="I56" s="102"/>
      <c r="J56" s="103"/>
      <c r="L56" s="64"/>
      <c r="M56" s="64"/>
    </row>
    <row r="57" spans="2:22">
      <c r="B57" s="65" t="s">
        <v>60</v>
      </c>
      <c r="C57" s="66">
        <f>SUM(C55:C56)</f>
        <v>4800000</v>
      </c>
      <c r="D57" s="66">
        <v>4800000</v>
      </c>
      <c r="E57" s="68"/>
      <c r="F57" s="69"/>
      <c r="G57" s="104"/>
      <c r="H57" s="44"/>
      <c r="I57" s="45"/>
      <c r="J57" s="46"/>
      <c r="L57" s="77"/>
      <c r="M57" s="77"/>
    </row>
    <row r="58" spans="2:22">
      <c r="B58" s="39"/>
      <c r="C58" s="40"/>
      <c r="D58" s="40"/>
      <c r="E58" s="41"/>
      <c r="F58" s="42"/>
      <c r="G58" s="105"/>
      <c r="H58" s="44"/>
      <c r="I58" s="45"/>
      <c r="J58" s="46"/>
      <c r="L58" s="47"/>
      <c r="M58" s="47"/>
    </row>
    <row r="59" spans="2:22">
      <c r="B59" s="48" t="s">
        <v>61</v>
      </c>
      <c r="C59" s="40"/>
      <c r="D59" s="40"/>
      <c r="E59" s="41"/>
      <c r="F59" s="42"/>
      <c r="G59" s="105"/>
      <c r="H59" s="44"/>
      <c r="I59" s="45"/>
      <c r="J59" s="46"/>
      <c r="L59" s="47"/>
      <c r="M59" s="47"/>
    </row>
    <row r="60" spans="2:22">
      <c r="B60" s="39" t="s">
        <v>62</v>
      </c>
      <c r="C60" s="40">
        <v>5307488</v>
      </c>
      <c r="D60" s="40">
        <v>4240271.5975000001</v>
      </c>
      <c r="E60" s="41">
        <v>4850303.2571540615</v>
      </c>
      <c r="F60" s="42">
        <f>+I60-E60</f>
        <v>764494.36672093812</v>
      </c>
      <c r="G60" s="105"/>
      <c r="H60" s="951">
        <f>'Annexure 9-OHP'!G20*12.5%</f>
        <v>5614797.6238749996</v>
      </c>
      <c r="I60" s="53">
        <f>H60+G60</f>
        <v>5614797.6238749996</v>
      </c>
      <c r="J60" s="51">
        <f>I60/C60</f>
        <v>1.057901143417564</v>
      </c>
      <c r="L60" s="47" t="s">
        <v>838</v>
      </c>
      <c r="M60" s="106">
        <f>(M26+M16+M18)*12.5%</f>
        <v>470859.80999999994</v>
      </c>
      <c r="N60" s="2"/>
    </row>
    <row r="61" spans="2:22">
      <c r="B61" s="39" t="s">
        <v>63</v>
      </c>
      <c r="C61" s="40">
        <v>4776739</v>
      </c>
      <c r="D61" s="40">
        <v>3816244.43775</v>
      </c>
      <c r="E61" s="41">
        <v>4207289.5193886561</v>
      </c>
      <c r="F61" s="42">
        <f>+I61-E61</f>
        <v>741514.33673634473</v>
      </c>
      <c r="G61" s="958">
        <f>'Annexure 9-OHP'!G29*10%</f>
        <v>4948803.8561250009</v>
      </c>
      <c r="H61" s="44"/>
      <c r="I61" s="53">
        <f>H61+G61</f>
        <v>4948803.8561250009</v>
      </c>
      <c r="J61" s="51">
        <f>I61/C61</f>
        <v>1.0360214062616779</v>
      </c>
      <c r="L61" s="47" t="s">
        <v>838</v>
      </c>
      <c r="M61" s="47">
        <v>423773.82940909103</v>
      </c>
      <c r="N61" s="55"/>
      <c r="O61" s="55"/>
    </row>
    <row r="62" spans="2:22">
      <c r="B62" s="56" t="s">
        <v>64</v>
      </c>
      <c r="C62" s="57">
        <v>15823068</v>
      </c>
      <c r="D62" s="57">
        <v>13528868.811250001</v>
      </c>
      <c r="E62" s="59">
        <v>9560078.2988578025</v>
      </c>
      <c r="F62" s="60">
        <f>+I62-E62</f>
        <v>1906539.5412107389</v>
      </c>
      <c r="G62" s="959">
        <f>'Annexure 9-OHP'!G41*12.5%</f>
        <v>11466617.840068541</v>
      </c>
      <c r="H62" s="91"/>
      <c r="I62" s="62">
        <f>H62+G62</f>
        <v>11466617.840068541</v>
      </c>
      <c r="J62" s="63">
        <f>I62/C62</f>
        <v>0.72467727750828992</v>
      </c>
      <c r="L62" s="64" t="s">
        <v>838</v>
      </c>
      <c r="M62" s="64">
        <v>957078.5079924243</v>
      </c>
    </row>
    <row r="63" spans="2:22">
      <c r="B63" s="65" t="s">
        <v>65</v>
      </c>
      <c r="C63" s="94">
        <f>SUM(C60:C62)</f>
        <v>25907295</v>
      </c>
      <c r="D63" s="94">
        <v>21585384.846500002</v>
      </c>
      <c r="E63" s="68">
        <f>SUM(E60:E62)</f>
        <v>18617671.07540052</v>
      </c>
      <c r="F63" s="69">
        <f>+I63-E63</f>
        <v>3412548.2446680218</v>
      </c>
      <c r="G63" s="70">
        <f>SUM(G61:G62)</f>
        <v>16415421.696193542</v>
      </c>
      <c r="H63" s="98">
        <f>SUM(H60:H62)</f>
        <v>5614797.6238749996</v>
      </c>
      <c r="I63" s="72">
        <f>SUM(I60:I62)</f>
        <v>22030219.320068542</v>
      </c>
      <c r="J63" s="73">
        <f>I63/C63</f>
        <v>0.85034810929001048</v>
      </c>
      <c r="L63" s="106"/>
      <c r="M63" s="106">
        <f>SUM(M60:M62)</f>
        <v>1851712.1474015154</v>
      </c>
      <c r="N63" s="74">
        <f>G63+H63</f>
        <v>22030219.320068542</v>
      </c>
      <c r="O63" t="b">
        <f>N63=I63</f>
        <v>1</v>
      </c>
      <c r="Q63" s="785"/>
    </row>
    <row r="64" spans="2:22">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130291639.36282098</v>
      </c>
      <c r="F65" s="110">
        <f>+I65-E65</f>
        <v>26610128.787530839</v>
      </c>
      <c r="G65" s="111">
        <f>G63+G28+G19+G52</f>
        <v>107297602.91647679</v>
      </c>
      <c r="H65" s="112">
        <f>H63+H28+H19+H52</f>
        <v>49604165.233875006</v>
      </c>
      <c r="I65" s="112">
        <f>I63+I28+I19+I52</f>
        <v>156901768.15035182</v>
      </c>
      <c r="J65" s="113">
        <f>I65/C65</f>
        <v>0.80482365622625429</v>
      </c>
      <c r="L65" s="114"/>
      <c r="M65" s="114">
        <f>M63+M28+M19+M52</f>
        <v>13275218.697401514</v>
      </c>
      <c r="N65" s="74">
        <f>G65+H65</f>
        <v>156901768.15035179</v>
      </c>
      <c r="O65" t="b">
        <f>N65=I65</f>
        <v>1</v>
      </c>
    </row>
    <row r="66" spans="2:15">
      <c r="B66" s="100"/>
      <c r="C66" s="69"/>
      <c r="D66" s="69" t="s">
        <v>67</v>
      </c>
      <c r="E66" s="69"/>
      <c r="F66" s="74" t="s">
        <v>920</v>
      </c>
      <c r="G66" s="55">
        <f>-G61</f>
        <v>-4948803.8561250009</v>
      </c>
      <c r="H66" s="75"/>
      <c r="I66" s="75"/>
      <c r="J66" s="115"/>
      <c r="L66" s="75"/>
      <c r="M66" s="75"/>
    </row>
    <row r="67" spans="2:15">
      <c r="C67" s="116" t="s">
        <v>68</v>
      </c>
      <c r="D67" s="74" t="s">
        <v>69</v>
      </c>
      <c r="F67" s="74" t="s">
        <v>921</v>
      </c>
      <c r="G67" s="74">
        <f>+'Annexure 6-SC Summary '!AC87</f>
        <v>7874788.0710000005</v>
      </c>
      <c r="H67" s="2"/>
      <c r="I67" s="55"/>
    </row>
    <row r="68" spans="2:15">
      <c r="C68" s="116"/>
      <c r="G68" s="117">
        <f>G67+G65+G66</f>
        <v>110223587.13135178</v>
      </c>
      <c r="H68" s="2"/>
      <c r="I68" s="55"/>
      <c r="J68" s="55"/>
    </row>
    <row r="69" spans="2:15">
      <c r="C69" s="116" t="s">
        <v>70</v>
      </c>
      <c r="D69" s="74" t="s">
        <v>71</v>
      </c>
      <c r="F69" s="74" t="s">
        <v>922</v>
      </c>
      <c r="G69" s="118">
        <f>-SUM('Annexure 6-SC Summary '!AC31:AC37)</f>
        <v>-929013.38099999994</v>
      </c>
      <c r="H69" s="2"/>
      <c r="I69" s="55"/>
    </row>
    <row r="70" spans="2:15">
      <c r="D70" s="74" t="s">
        <v>72</v>
      </c>
      <c r="G70" s="55">
        <f>SUM(G68:G69)</f>
        <v>109294573.75035179</v>
      </c>
      <c r="H70" s="2"/>
      <c r="I70" s="55"/>
    </row>
    <row r="71" spans="2:15">
      <c r="F71" s="74" t="s">
        <v>989</v>
      </c>
      <c r="G71" s="55">
        <f>-'Annexure 9-OHP'!G41*12.5%</f>
        <v>-11466617.840068541</v>
      </c>
      <c r="H71" s="2"/>
      <c r="I71" s="55"/>
    </row>
    <row r="72" spans="2:15">
      <c r="F72" s="74" t="s">
        <v>990</v>
      </c>
      <c r="G72" s="1029">
        <f>'Annexure 9-OHP'!I41*12.5%</f>
        <v>11396662.031285405</v>
      </c>
      <c r="H72" s="2"/>
      <c r="I72" s="55"/>
    </row>
    <row r="73" spans="2:15">
      <c r="G73" s="2">
        <f>SUM(G70:G72)</f>
        <v>109224617.94156864</v>
      </c>
      <c r="H73" s="2"/>
      <c r="I73" s="55"/>
    </row>
    <row r="74" spans="2:15">
      <c r="D74" s="74" t="s">
        <v>73</v>
      </c>
      <c r="G74" s="2">
        <v>114442871.59890471</v>
      </c>
      <c r="H74" s="2"/>
      <c r="I74" s="55"/>
    </row>
    <row r="75" spans="2:15">
      <c r="G75" s="2"/>
      <c r="H75" s="2"/>
      <c r="I75" s="55"/>
    </row>
    <row r="76" spans="2:15" ht="15" thickBot="1">
      <c r="D76" s="74" t="s">
        <v>74</v>
      </c>
      <c r="G76" s="119">
        <f>G73-G74</f>
        <v>-5218253.6573360711</v>
      </c>
      <c r="H76" s="2"/>
      <c r="I76" s="55"/>
    </row>
    <row r="77" spans="2:15" ht="15" thickTop="1">
      <c r="E77" s="2"/>
      <c r="G77" s="2"/>
      <c r="I77" s="55"/>
      <c r="J77" s="120"/>
    </row>
    <row r="78" spans="2:15">
      <c r="G78" s="2"/>
      <c r="I78" s="55"/>
    </row>
    <row r="79" spans="2:15">
      <c r="G79" s="55">
        <f>-'Annexure 6-SC Summary '!AG87</f>
        <v>4382833.3771275477</v>
      </c>
    </row>
    <row r="80" spans="2:15">
      <c r="G80" s="74">
        <f>G79*12.5%</f>
        <v>547854.17214094347</v>
      </c>
      <c r="H80" s="74"/>
      <c r="I80" s="74"/>
      <c r="J80" s="74"/>
      <c r="K80" s="74"/>
    </row>
    <row r="82" spans="7:7" ht="15" thickBot="1">
      <c r="G82" s="896">
        <f>SUM(G79:G81)</f>
        <v>4930687.5492684916</v>
      </c>
    </row>
    <row r="83" spans="7:7" ht="15" thickTop="1"/>
    <row r="85" spans="7:7">
      <c r="G85" s="55"/>
    </row>
    <row r="86" spans="7:7">
      <c r="G86" s="121"/>
    </row>
    <row r="87" spans="7:7">
      <c r="G87" s="55"/>
    </row>
    <row r="88" spans="7:7">
      <c r="G88" s="121"/>
    </row>
    <row r="90" spans="7:7">
      <c r="G90" s="55"/>
    </row>
    <row r="91" spans="7:7">
      <c r="G91" s="121"/>
    </row>
  </sheetData>
  <mergeCells count="13">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D18" sqref="D18"/>
    </sheetView>
  </sheetViews>
  <sheetFormatPr defaultRowHeight="14.5"/>
  <cols>
    <col min="1" max="1" width="11.08984375" customWidth="1"/>
    <col min="2" max="2" width="29.6328125" customWidth="1"/>
    <col min="3" max="3" width="15.36328125" style="2" customWidth="1"/>
    <col min="4" max="4" width="16.54296875" style="2" customWidth="1"/>
    <col min="5" max="5" width="20.6328125" style="2" customWidth="1"/>
    <col min="6" max="7" width="10" customWidth="1"/>
  </cols>
  <sheetData>
    <row r="1" spans="1:11" ht="20">
      <c r="A1" s="1079" t="s">
        <v>0</v>
      </c>
      <c r="B1" s="1079"/>
      <c r="C1" s="1079"/>
      <c r="D1" s="1079"/>
      <c r="E1" s="1079"/>
    </row>
    <row r="2" spans="1:11" ht="16" thickBot="1">
      <c r="A2" s="1080" t="s">
        <v>923</v>
      </c>
      <c r="B2" s="1080"/>
      <c r="C2" s="1080"/>
      <c r="D2" s="1080"/>
      <c r="E2" s="1080"/>
    </row>
    <row r="3" spans="1:11">
      <c r="A3" s="9"/>
      <c r="B3" s="286"/>
      <c r="C3" s="286"/>
      <c r="D3" s="287"/>
      <c r="E3" s="288"/>
    </row>
    <row r="4" spans="1:11">
      <c r="A4" s="314" t="s">
        <v>137</v>
      </c>
      <c r="B4" t="s">
        <v>138</v>
      </c>
      <c r="C4"/>
      <c r="D4" s="315" t="s">
        <v>3</v>
      </c>
      <c r="E4" s="885">
        <f ca="1">'KCE-PC 12 INT'!G3</f>
        <v>44979</v>
      </c>
    </row>
    <row r="5" spans="1:11">
      <c r="A5" s="314" t="s">
        <v>94</v>
      </c>
      <c r="B5" t="s">
        <v>95</v>
      </c>
      <c r="C5"/>
      <c r="D5" s="315" t="s">
        <v>5</v>
      </c>
      <c r="E5" s="886" t="str">
        <f>+'Annexure 9-OHP'!F6</f>
        <v>KCE-12</v>
      </c>
    </row>
    <row r="6" spans="1:11">
      <c r="A6" s="314" t="s">
        <v>139</v>
      </c>
      <c r="B6" t="s">
        <v>140</v>
      </c>
      <c r="C6"/>
      <c r="D6" s="315" t="s">
        <v>8</v>
      </c>
      <c r="E6" s="886" t="s">
        <v>9</v>
      </c>
    </row>
    <row r="7" spans="1:11" ht="15" thickBot="1">
      <c r="A7" s="289"/>
      <c r="B7" s="290"/>
      <c r="C7" s="291"/>
      <c r="D7" s="873"/>
      <c r="E7" s="292"/>
    </row>
    <row r="8" spans="1:11" ht="15" thickBot="1">
      <c r="C8" s="293"/>
      <c r="D8" s="293"/>
      <c r="E8" s="293"/>
      <c r="F8" s="293"/>
      <c r="G8" s="293"/>
      <c r="H8" s="293"/>
      <c r="I8" s="293"/>
      <c r="J8" s="293"/>
      <c r="K8" s="293"/>
    </row>
    <row r="9" spans="1:11" s="100" customFormat="1">
      <c r="A9" s="294"/>
      <c r="B9" s="294" t="s">
        <v>803</v>
      </c>
      <c r="C9" s="295" t="s">
        <v>142</v>
      </c>
      <c r="D9" s="295" t="s">
        <v>143</v>
      </c>
      <c r="E9" s="296" t="s">
        <v>144</v>
      </c>
    </row>
    <row r="10" spans="1:11">
      <c r="A10" s="887">
        <v>1</v>
      </c>
      <c r="B10" s="297" t="s">
        <v>146</v>
      </c>
      <c r="C10" s="298">
        <f>+'Annexure 6-SC Summary '!E91</f>
        <v>5173392.0100000007</v>
      </c>
      <c r="D10" s="936">
        <f>+'Annexure 6-SC Summary '!C91</f>
        <v>835712.21756815352</v>
      </c>
      <c r="E10" s="299">
        <f>+'Annexure 6-SC Summary '!D91</f>
        <v>6009104.2275681542</v>
      </c>
    </row>
    <row r="11" spans="1:11">
      <c r="A11" s="888">
        <v>2</v>
      </c>
      <c r="B11" s="300" t="s">
        <v>148</v>
      </c>
      <c r="C11" s="301">
        <f>+'Annexure -3 Material Summary'!C11+'Annexure -3 Material Summary'!C13</f>
        <v>5344128.79</v>
      </c>
      <c r="D11" s="301">
        <f>+'Annexure -3 Material Summary'!D11</f>
        <v>552858.10000000021</v>
      </c>
      <c r="E11" s="302">
        <f>+'Annexure -3 Material Summary'!E11+'Annexure -3 Material Summary'!E13</f>
        <v>5896986.8900000006</v>
      </c>
    </row>
    <row r="12" spans="1:11">
      <c r="A12" s="888">
        <v>3</v>
      </c>
      <c r="B12" s="300" t="s">
        <v>150</v>
      </c>
      <c r="C12" s="301">
        <f>+'Annexure-5 Plant Summary'!D10+'Annexure-5 Plant Summary'!D11</f>
        <v>2756232.69</v>
      </c>
      <c r="D12" s="301">
        <f>+'Annexure-5 Plant Summary'!E10</f>
        <v>419648.87000000005</v>
      </c>
      <c r="E12" s="302">
        <f>+'Annexure-5 Plant Summary'!F10+'Annexure-5 Plant Summary'!F11</f>
        <v>3175881.56</v>
      </c>
    </row>
    <row r="13" spans="1:11">
      <c r="A13" s="888">
        <v>4</v>
      </c>
      <c r="B13" s="300" t="s">
        <v>152</v>
      </c>
      <c r="C13" s="301">
        <f>+'Annexure 7-Overhead Summary'!C10</f>
        <v>1121275.8500000001</v>
      </c>
      <c r="D13" s="301">
        <f>+'Annexure 7-Overhead Summary'!D10</f>
        <v>164904.35000000006</v>
      </c>
      <c r="E13" s="302">
        <f>+'Annexure 7-Overhead Summary'!E10</f>
        <v>1286180.2000000002</v>
      </c>
    </row>
    <row r="14" spans="1:11">
      <c r="A14" s="889">
        <v>5</v>
      </c>
      <c r="B14" s="303" t="s">
        <v>154</v>
      </c>
      <c r="C14" s="304">
        <f>+'Annexure 8-Committed Orders'!D10</f>
        <v>371666.73000000004</v>
      </c>
      <c r="D14" s="304">
        <f>E14-C14</f>
        <v>-137000.00000000003</v>
      </c>
      <c r="E14" s="305">
        <f>+'Committed Orders'!H5</f>
        <v>234666.73</v>
      </c>
    </row>
    <row r="15" spans="1:11" s="100" customFormat="1" ht="15" thickBot="1">
      <c r="A15" s="306"/>
      <c r="B15" s="306" t="s">
        <v>155</v>
      </c>
      <c r="C15" s="307">
        <f>SUM(C10:C14)</f>
        <v>14766696.07</v>
      </c>
      <c r="D15" s="307">
        <f>SUM(D10:D14)</f>
        <v>1836123.5375681538</v>
      </c>
      <c r="E15" s="308">
        <f>SUM(E10:E14)</f>
        <v>16602819.607568156</v>
      </c>
    </row>
    <row r="16" spans="1:11">
      <c r="A16" s="309"/>
      <c r="B16" s="309"/>
      <c r="C16" s="310"/>
      <c r="D16" s="310"/>
      <c r="E16" s="310"/>
    </row>
    <row r="17" spans="3:5">
      <c r="C17" s="293"/>
      <c r="D17" s="293"/>
      <c r="E17" s="293"/>
    </row>
    <row r="18" spans="3:5">
      <c r="C18" s="293"/>
      <c r="D18" s="293"/>
      <c r="E18" s="293"/>
    </row>
    <row r="19" spans="3:5">
      <c r="C19" s="293"/>
      <c r="D19" s="293"/>
      <c r="E19" s="293"/>
    </row>
  </sheetData>
  <mergeCells count="2">
    <mergeCell ref="A1:E1"/>
    <mergeCell ref="A2:E2"/>
  </mergeCells>
  <pageMargins left="0.7" right="0.7" top="0.75" bottom="0.75" header="0.3" footer="0.3"/>
  <pageSetup scale="96"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4"/>
  <sheetViews>
    <sheetView view="pageBreakPreview" topLeftCell="A7" zoomScale="90" zoomScaleNormal="100" zoomScaleSheetLayoutView="90" workbookViewId="0">
      <selection activeCell="E15" sqref="E15"/>
    </sheetView>
  </sheetViews>
  <sheetFormatPr defaultColWidth="8.90625" defaultRowHeight="14.5"/>
  <cols>
    <col min="1" max="1" width="9.90625" style="311" customWidth="1"/>
    <col min="2" max="2" width="28" style="311" customWidth="1"/>
    <col min="3" max="3" width="16.6328125" style="311" customWidth="1"/>
    <col min="4" max="4" width="16.6328125" style="312" customWidth="1"/>
    <col min="5" max="5" width="21.90625" style="312" customWidth="1"/>
    <col min="6" max="6" width="10.453125" style="312" customWidth="1"/>
    <col min="7" max="7" width="11.6328125" style="312" customWidth="1"/>
    <col min="8" max="8" width="12.453125" style="312" customWidth="1"/>
    <col min="9" max="9" width="12.54296875" style="312" bestFit="1" customWidth="1"/>
    <col min="10" max="10" width="8.90625" style="311"/>
    <col min="11" max="11" width="18.08984375" style="313" customWidth="1"/>
    <col min="12" max="12" width="22.36328125" style="311" customWidth="1"/>
    <col min="13" max="13" width="16.36328125" style="313" customWidth="1"/>
    <col min="14" max="16384" width="8.90625" style="311"/>
  </cols>
  <sheetData>
    <row r="1" spans="1:13">
      <c r="G1" s="311"/>
    </row>
    <row r="2" spans="1:13" ht="18">
      <c r="A2" s="1081" t="s">
        <v>0</v>
      </c>
      <c r="B2" s="1081"/>
      <c r="C2" s="1081"/>
      <c r="D2" s="1081"/>
      <c r="E2" s="1081"/>
      <c r="G2" s="311"/>
    </row>
    <row r="3" spans="1:13" ht="16" thickBot="1">
      <c r="A3" s="1082" t="s">
        <v>924</v>
      </c>
      <c r="B3" s="1082"/>
      <c r="C3" s="1082"/>
      <c r="D3" s="1082"/>
      <c r="E3" s="1082"/>
      <c r="K3" s="311"/>
    </row>
    <row r="4" spans="1:13">
      <c r="A4" s="285"/>
      <c r="B4" s="286"/>
      <c r="C4" s="286"/>
      <c r="D4" s="287"/>
      <c r="E4" s="288"/>
      <c r="K4" s="311"/>
    </row>
    <row r="5" spans="1:13">
      <c r="A5" s="314" t="s">
        <v>137</v>
      </c>
      <c r="B5" t="s">
        <v>138</v>
      </c>
      <c r="D5" s="315" t="s">
        <v>3</v>
      </c>
      <c r="E5" s="316">
        <f ca="1">'KCE-PC 12 INT'!G3</f>
        <v>44979</v>
      </c>
      <c r="K5" s="311"/>
    </row>
    <row r="6" spans="1:13">
      <c r="A6" s="314" t="s">
        <v>156</v>
      </c>
      <c r="B6" t="s">
        <v>95</v>
      </c>
      <c r="D6" s="315" t="s">
        <v>5</v>
      </c>
      <c r="E6" s="317" t="str">
        <f>+'Annexure-2 GENERAL PRELIMS'!E5</f>
        <v>KCE-12</v>
      </c>
      <c r="K6" s="311"/>
    </row>
    <row r="7" spans="1:13">
      <c r="A7" s="314" t="s">
        <v>139</v>
      </c>
      <c r="B7" t="s">
        <v>140</v>
      </c>
      <c r="D7" s="315" t="s">
        <v>8</v>
      </c>
      <c r="E7" s="318" t="s">
        <v>9</v>
      </c>
      <c r="K7" s="311"/>
    </row>
    <row r="8" spans="1:13" ht="15" thickBot="1">
      <c r="A8" s="289"/>
      <c r="B8" s="290"/>
      <c r="C8" s="291"/>
      <c r="D8" s="291"/>
      <c r="E8" s="292"/>
      <c r="K8" s="311"/>
    </row>
    <row r="9" spans="1:13" ht="15" thickBot="1">
      <c r="A9" s="319"/>
      <c r="B9"/>
      <c r="C9" s="293"/>
      <c r="D9" s="311"/>
      <c r="E9" s="320"/>
      <c r="K9" s="311"/>
    </row>
    <row r="10" spans="1:13" s="849" customFormat="1" ht="38.4" customHeight="1">
      <c r="A10" s="845" t="s">
        <v>157</v>
      </c>
      <c r="B10" s="846" t="s">
        <v>803</v>
      </c>
      <c r="C10" s="851" t="s">
        <v>158</v>
      </c>
      <c r="D10" s="852" t="s">
        <v>143</v>
      </c>
      <c r="E10" s="847" t="s">
        <v>144</v>
      </c>
      <c r="F10" s="848"/>
      <c r="G10" s="848"/>
      <c r="H10" s="848"/>
      <c r="I10" s="848"/>
      <c r="M10" s="850"/>
    </row>
    <row r="11" spans="1:13">
      <c r="A11" s="321">
        <v>1</v>
      </c>
      <c r="B11" s="324" t="s">
        <v>809</v>
      </c>
      <c r="C11" s="854">
        <v>5125705.57</v>
      </c>
      <c r="D11" s="974">
        <v>552858.10000000021</v>
      </c>
      <c r="E11" s="855">
        <f>+C11+D11</f>
        <v>5678563.6700000009</v>
      </c>
      <c r="K11" s="311"/>
    </row>
    <row r="12" spans="1:13">
      <c r="A12" s="321">
        <v>2</v>
      </c>
      <c r="B12" s="324" t="s">
        <v>18</v>
      </c>
      <c r="C12" s="854">
        <v>2178657.5099999998</v>
      </c>
      <c r="D12" s="854">
        <v>943352.63000000012</v>
      </c>
      <c r="E12" s="855">
        <f>+C12+D12</f>
        <v>3122010.1399999997</v>
      </c>
      <c r="F12" s="327"/>
      <c r="G12" s="327"/>
      <c r="H12" s="327"/>
      <c r="I12" s="327"/>
      <c r="K12" s="328"/>
      <c r="L12" s="329"/>
      <c r="M12" s="328"/>
    </row>
    <row r="13" spans="1:13">
      <c r="A13" s="321">
        <v>3</v>
      </c>
      <c r="B13" s="324" t="s">
        <v>810</v>
      </c>
      <c r="C13" s="854">
        <v>218423.22</v>
      </c>
      <c r="D13" s="854">
        <v>0</v>
      </c>
      <c r="E13" s="855">
        <f>+C13+D13</f>
        <v>218423.22</v>
      </c>
      <c r="K13" s="311"/>
    </row>
    <row r="14" spans="1:13">
      <c r="A14" s="321">
        <v>4</v>
      </c>
      <c r="B14" s="324" t="s">
        <v>804</v>
      </c>
      <c r="C14" s="854">
        <v>20920.010000000002</v>
      </c>
      <c r="D14" s="854">
        <v>18884.759999999998</v>
      </c>
      <c r="E14" s="855">
        <f>+C14+D14</f>
        <v>39804.770000000004</v>
      </c>
      <c r="K14" s="311"/>
    </row>
    <row r="15" spans="1:13">
      <c r="A15" s="935" t="s">
        <v>880</v>
      </c>
      <c r="B15" s="330" t="s">
        <v>824</v>
      </c>
      <c r="C15" s="856">
        <v>-58239.73</v>
      </c>
      <c r="D15" s="856">
        <f>E15-C15</f>
        <v>-18884.760000000002</v>
      </c>
      <c r="E15" s="857">
        <f>-Adjustments!I12</f>
        <v>-77124.490000000005</v>
      </c>
      <c r="K15" s="311"/>
    </row>
    <row r="16" spans="1:13" ht="15" thickBot="1">
      <c r="A16" s="333"/>
      <c r="B16" s="334" t="s">
        <v>161</v>
      </c>
      <c r="C16" s="858">
        <f>SUM(C11:C15)</f>
        <v>7485466.5799999991</v>
      </c>
      <c r="D16" s="859">
        <f>E16-C16</f>
        <v>1496210.7300000014</v>
      </c>
      <c r="E16" s="860">
        <f>SUM(E11:E15)</f>
        <v>8981677.3100000005</v>
      </c>
      <c r="K16" s="311"/>
    </row>
    <row r="17" spans="3:11">
      <c r="D17" s="311"/>
      <c r="E17" s="311"/>
      <c r="K17" s="311"/>
    </row>
    <row r="18" spans="3:11">
      <c r="D18" s="329"/>
      <c r="E18" s="311"/>
      <c r="K18" s="311"/>
    </row>
    <row r="19" spans="3:11">
      <c r="D19" s="311"/>
      <c r="E19" s="883"/>
      <c r="K19" s="311"/>
    </row>
    <row r="20" spans="3:11">
      <c r="K20" s="311"/>
    </row>
    <row r="21" spans="3:11">
      <c r="K21" s="311"/>
    </row>
    <row r="22" spans="3:11">
      <c r="C22" s="335"/>
      <c r="K22" s="311"/>
    </row>
    <row r="23" spans="3:11">
      <c r="D23" s="312">
        <v>1515105.04</v>
      </c>
      <c r="E23" s="312">
        <v>9058810.5599999987</v>
      </c>
    </row>
    <row r="24" spans="3:11">
      <c r="D24" s="312">
        <f>D16-D23</f>
        <v>-18894.309999998659</v>
      </c>
      <c r="E24" s="312">
        <f>E16-E23</f>
        <v>-77133.249999998137</v>
      </c>
    </row>
  </sheetData>
  <mergeCells count="2">
    <mergeCell ref="A2:E2"/>
    <mergeCell ref="A3:E3"/>
  </mergeCells>
  <pageMargins left="0.7" right="0.7" top="0.75" bottom="0.75" header="0.3" footer="0.3"/>
  <pageSetup scale="97"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1"/>
  <sheetViews>
    <sheetView view="pageBreakPreview" zoomScale="80" zoomScaleNormal="100" zoomScaleSheetLayoutView="80" workbookViewId="0">
      <selection activeCell="H33" sqref="H33"/>
    </sheetView>
  </sheetViews>
  <sheetFormatPr defaultRowHeight="14.5"/>
  <cols>
    <col min="1" max="1" width="5.36328125" customWidth="1"/>
    <col min="2" max="2" width="27.36328125" customWidth="1"/>
    <col min="3" max="3" width="12.36328125" customWidth="1"/>
    <col min="4" max="4" width="16.36328125" customWidth="1"/>
    <col min="5" max="5" width="12.08984375" customWidth="1"/>
    <col min="6" max="6" width="15.6328125" customWidth="1"/>
    <col min="7" max="7" width="16.6328125" style="74" customWidth="1"/>
    <col min="8" max="8" width="17.6328125" style="336" customWidth="1"/>
    <col min="9" max="9" width="12.6328125" style="74" bestFit="1" customWidth="1"/>
    <col min="10" max="10" width="14.6328125" style="336" customWidth="1"/>
  </cols>
  <sheetData>
    <row r="1" spans="1:10" ht="18">
      <c r="A1" s="1081" t="s">
        <v>0</v>
      </c>
      <c r="B1" s="1081"/>
      <c r="C1" s="1081"/>
      <c r="D1" s="1081"/>
      <c r="E1" s="1081"/>
      <c r="F1" s="1081"/>
      <c r="G1" s="1081"/>
      <c r="H1" s="1081"/>
    </row>
    <row r="2" spans="1:10" ht="16" thickBot="1">
      <c r="A2" s="1082" t="s">
        <v>925</v>
      </c>
      <c r="B2" s="1082"/>
      <c r="C2" s="1082"/>
      <c r="D2" s="1082"/>
      <c r="E2" s="1082"/>
      <c r="F2" s="1082"/>
      <c r="G2" s="1082"/>
      <c r="H2" s="1082"/>
    </row>
    <row r="3" spans="1:10">
      <c r="A3" s="285"/>
      <c r="B3" s="309"/>
      <c r="C3" s="309"/>
      <c r="D3" s="309"/>
      <c r="E3" s="286"/>
      <c r="F3" s="286"/>
      <c r="G3" s="287"/>
      <c r="H3" s="288"/>
    </row>
    <row r="4" spans="1:10">
      <c r="A4" s="314" t="s">
        <v>2</v>
      </c>
      <c r="F4" s="311"/>
      <c r="G4" s="315" t="s">
        <v>3</v>
      </c>
      <c r="H4" s="316">
        <f ca="1">'KCE-PC 12 INT'!G3</f>
        <v>44979</v>
      </c>
    </row>
    <row r="5" spans="1:10">
      <c r="A5" s="314" t="s">
        <v>162</v>
      </c>
      <c r="F5" s="311"/>
      <c r="G5" s="315" t="s">
        <v>5</v>
      </c>
      <c r="H5" s="317" t="str">
        <f>+'Annexure -3 Material Summary'!E6</f>
        <v>KCE-12</v>
      </c>
    </row>
    <row r="6" spans="1:10">
      <c r="A6" s="314" t="s">
        <v>163</v>
      </c>
      <c r="F6" s="311"/>
      <c r="G6" s="315" t="s">
        <v>8</v>
      </c>
      <c r="H6" s="318" t="s">
        <v>9</v>
      </c>
    </row>
    <row r="7" spans="1:10" ht="15" thickBot="1">
      <c r="A7" s="289"/>
      <c r="B7" s="290"/>
      <c r="C7" s="290"/>
      <c r="D7" s="290"/>
      <c r="E7" s="290"/>
      <c r="F7" s="291"/>
      <c r="G7" s="291"/>
      <c r="H7" s="292"/>
    </row>
    <row r="8" spans="1:10" ht="15" thickBot="1"/>
    <row r="9" spans="1:10" s="100" customFormat="1">
      <c r="A9" s="1071" t="s">
        <v>157</v>
      </c>
      <c r="B9" s="1083" t="s">
        <v>803</v>
      </c>
      <c r="C9" s="1085" t="s">
        <v>142</v>
      </c>
      <c r="D9" s="1086"/>
      <c r="E9" s="1085" t="s">
        <v>165</v>
      </c>
      <c r="F9" s="1086"/>
      <c r="G9" s="1087" t="s">
        <v>144</v>
      </c>
      <c r="H9" s="1088"/>
      <c r="I9" s="74"/>
      <c r="J9" s="336"/>
    </row>
    <row r="10" spans="1:10" s="100" customFormat="1" ht="15" thickBot="1">
      <c r="A10" s="1072"/>
      <c r="B10" s="1084"/>
      <c r="C10" s="337" t="s">
        <v>166</v>
      </c>
      <c r="D10" s="338" t="s">
        <v>167</v>
      </c>
      <c r="E10" s="337" t="s">
        <v>166</v>
      </c>
      <c r="F10" s="338" t="s">
        <v>167</v>
      </c>
      <c r="G10" s="337" t="s">
        <v>166</v>
      </c>
      <c r="H10" s="339" t="s">
        <v>167</v>
      </c>
      <c r="I10" s="74"/>
      <c r="J10" s="336"/>
    </row>
    <row r="11" spans="1:10">
      <c r="A11" s="892"/>
      <c r="B11" s="340"/>
      <c r="C11" s="341"/>
      <c r="D11" s="341"/>
      <c r="E11" s="341"/>
      <c r="F11" s="341"/>
      <c r="G11" s="342"/>
      <c r="H11" s="890"/>
    </row>
    <row r="12" spans="1:10">
      <c r="A12" s="893">
        <v>1</v>
      </c>
      <c r="B12" s="324" t="s">
        <v>169</v>
      </c>
      <c r="C12" s="853">
        <v>186642</v>
      </c>
      <c r="D12" s="853">
        <v>2085406.8599999999</v>
      </c>
      <c r="E12" s="853">
        <v>41625.5</v>
      </c>
      <c r="F12" s="853">
        <v>391520.22</v>
      </c>
      <c r="G12" s="853">
        <f t="shared" ref="G12:H16" si="0">+C12+E12</f>
        <v>228267.5</v>
      </c>
      <c r="H12" s="891">
        <f t="shared" si="0"/>
        <v>2476927.08</v>
      </c>
    </row>
    <row r="13" spans="1:10">
      <c r="A13" s="893">
        <v>2</v>
      </c>
      <c r="B13" s="324" t="s">
        <v>170</v>
      </c>
      <c r="C13" s="853">
        <v>136293.5</v>
      </c>
      <c r="D13" s="853">
        <v>1721938.7899999996</v>
      </c>
      <c r="E13" s="853">
        <v>35249</v>
      </c>
      <c r="F13" s="853">
        <v>368030.58000000101</v>
      </c>
      <c r="G13" s="853">
        <f t="shared" si="0"/>
        <v>171542.5</v>
      </c>
      <c r="H13" s="891">
        <f t="shared" si="0"/>
        <v>2089969.3700000006</v>
      </c>
    </row>
    <row r="14" spans="1:10">
      <c r="A14" s="893">
        <v>3</v>
      </c>
      <c r="B14" s="324" t="s">
        <v>171</v>
      </c>
      <c r="C14" s="853">
        <v>36151</v>
      </c>
      <c r="D14" s="853">
        <v>540172.60000000009</v>
      </c>
      <c r="E14" s="853">
        <v>8137</v>
      </c>
      <c r="F14" s="853">
        <v>103445.37</v>
      </c>
      <c r="G14" s="853">
        <f t="shared" si="0"/>
        <v>44288</v>
      </c>
      <c r="H14" s="891">
        <f t="shared" si="0"/>
        <v>643617.97000000009</v>
      </c>
    </row>
    <row r="15" spans="1:10">
      <c r="A15" s="893">
        <v>4</v>
      </c>
      <c r="B15" s="324" t="s">
        <v>172</v>
      </c>
      <c r="C15" s="853">
        <v>861078.05999999878</v>
      </c>
      <c r="D15" s="853">
        <v>3603328.4699999988</v>
      </c>
      <c r="E15" s="853">
        <v>69920.5</v>
      </c>
      <c r="F15" s="853">
        <v>718785.40999999898</v>
      </c>
      <c r="G15" s="853">
        <f t="shared" si="0"/>
        <v>930998.55999999878</v>
      </c>
      <c r="H15" s="891">
        <f t="shared" si="0"/>
        <v>4322113.879999998</v>
      </c>
    </row>
    <row r="16" spans="1:10">
      <c r="A16" s="893">
        <v>5</v>
      </c>
      <c r="B16" s="324" t="s">
        <v>173</v>
      </c>
      <c r="C16" s="853">
        <v>44856.06</v>
      </c>
      <c r="D16" s="853">
        <v>190798.47</v>
      </c>
      <c r="E16" s="853">
        <v>3063.5</v>
      </c>
      <c r="F16" s="853">
        <v>34102.14</v>
      </c>
      <c r="G16" s="853">
        <f t="shared" si="0"/>
        <v>47919.56</v>
      </c>
      <c r="H16" s="891">
        <f t="shared" si="0"/>
        <v>224900.61</v>
      </c>
    </row>
    <row r="17" spans="1:10">
      <c r="A17" s="893">
        <v>6</v>
      </c>
      <c r="B17" s="324" t="s">
        <v>174</v>
      </c>
      <c r="C17" s="853">
        <v>1</v>
      </c>
      <c r="D17" s="853">
        <v>1425</v>
      </c>
      <c r="E17" s="853"/>
      <c r="F17" s="853">
        <v>0</v>
      </c>
      <c r="G17" s="853">
        <v>1</v>
      </c>
      <c r="H17" s="891">
        <v>1425</v>
      </c>
    </row>
    <row r="18" spans="1:10" ht="15" thickBot="1">
      <c r="A18" s="929">
        <v>7</v>
      </c>
      <c r="B18" s="930" t="s">
        <v>824</v>
      </c>
      <c r="C18" s="931"/>
      <c r="D18" s="932">
        <v>-4057.21</v>
      </c>
      <c r="E18" s="931"/>
      <c r="F18" s="932"/>
      <c r="G18" s="931"/>
      <c r="H18" s="933">
        <f>-Adjustments!I13</f>
        <v>-4057.21</v>
      </c>
    </row>
    <row r="19" spans="1:10" s="100" customFormat="1" ht="15" thickBot="1">
      <c r="A19" s="894"/>
      <c r="B19" s="343" t="s">
        <v>161</v>
      </c>
      <c r="C19" s="344"/>
      <c r="D19" s="861">
        <f>SUM(D12:D18)</f>
        <v>8139012.9799999986</v>
      </c>
      <c r="E19" s="861"/>
      <c r="F19" s="861">
        <f>SUM(F12:F17)</f>
        <v>1615883.72</v>
      </c>
      <c r="G19" s="861"/>
      <c r="H19" s="862">
        <f>SUM(H12:H18)</f>
        <v>9754896.6999999974</v>
      </c>
      <c r="I19" s="74">
        <v>9757528.8800000008</v>
      </c>
      <c r="J19" s="345">
        <f>I19-H19</f>
        <v>2632.1800000034273</v>
      </c>
    </row>
    <row r="20" spans="1:10" s="100" customFormat="1">
      <c r="C20" s="75"/>
      <c r="D20" s="75"/>
      <c r="E20" s="75"/>
      <c r="F20" s="75"/>
      <c r="G20" s="75"/>
      <c r="H20" s="75"/>
      <c r="I20" s="74"/>
      <c r="J20" s="345"/>
    </row>
    <row r="30" spans="1:10">
      <c r="F30">
        <v>1615883.72</v>
      </c>
      <c r="H30" s="336">
        <v>9757528.8800000008</v>
      </c>
    </row>
    <row r="31" spans="1:10">
      <c r="F31" s="55">
        <f>SUM(F12:F17)-F30</f>
        <v>0</v>
      </c>
      <c r="H31" s="55">
        <f>SUM(H12:H17)-H30</f>
        <v>1425.0299999974668</v>
      </c>
    </row>
  </sheetData>
  <mergeCells count="7">
    <mergeCell ref="A1:H1"/>
    <mergeCell ref="A2:H2"/>
    <mergeCell ref="A9:A10"/>
    <mergeCell ref="B9:B10"/>
    <mergeCell ref="C9:D9"/>
    <mergeCell ref="E9:F9"/>
    <mergeCell ref="G9:H9"/>
  </mergeCells>
  <pageMargins left="0.7" right="0.7" top="0.75" bottom="0.75" header="0.3" footer="0.3"/>
  <pageSetup scale="73"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view="pageBreakPreview" zoomScale="85" zoomScaleNormal="100" zoomScaleSheetLayoutView="85" workbookViewId="0">
      <selection activeCell="F27" sqref="F27"/>
    </sheetView>
  </sheetViews>
  <sheetFormatPr defaultColWidth="8.90625" defaultRowHeight="14.5"/>
  <cols>
    <col min="1" max="1" width="9.6328125" style="311" customWidth="1"/>
    <col min="2" max="2" width="22.453125" style="311" customWidth="1"/>
    <col min="3" max="3" width="14.90625" style="311" customWidth="1"/>
    <col min="4" max="4" width="15.54296875" style="311" customWidth="1"/>
    <col min="5" max="5" width="15.54296875" style="312" customWidth="1"/>
    <col min="6" max="6" width="19.453125" style="312" customWidth="1"/>
    <col min="7" max="7" width="13.6328125" style="311" customWidth="1"/>
    <col min="8" max="8" width="8.90625" style="311"/>
    <col min="9" max="9" width="20.36328125" style="313" customWidth="1"/>
    <col min="10" max="10" width="19.36328125" style="311" customWidth="1"/>
    <col min="11" max="11" width="12.54296875" style="311" bestFit="1" customWidth="1"/>
    <col min="12" max="16384" width="8.90625" style="311"/>
  </cols>
  <sheetData>
    <row r="1" spans="1:9" ht="18">
      <c r="A1" s="1081" t="s">
        <v>0</v>
      </c>
      <c r="B1" s="1081"/>
      <c r="C1" s="1081"/>
      <c r="D1" s="1081"/>
      <c r="E1" s="1081"/>
      <c r="F1" s="1081"/>
    </row>
    <row r="2" spans="1:9" ht="16" thickBot="1">
      <c r="A2" s="1080" t="s">
        <v>926</v>
      </c>
      <c r="B2" s="1080"/>
      <c r="C2" s="1080"/>
      <c r="D2" s="1080"/>
      <c r="E2" s="1080"/>
      <c r="F2" s="1080"/>
    </row>
    <row r="3" spans="1:9">
      <c r="A3" s="285"/>
      <c r="B3" s="286"/>
      <c r="C3" s="286"/>
      <c r="D3" s="287"/>
      <c r="E3" s="346"/>
      <c r="F3" s="288"/>
    </row>
    <row r="4" spans="1:9">
      <c r="A4" s="314" t="s">
        <v>137</v>
      </c>
      <c r="B4" t="s">
        <v>138</v>
      </c>
      <c r="E4" s="315" t="s">
        <v>3</v>
      </c>
      <c r="F4" s="316">
        <f ca="1">'KCE-PC 12 INT'!G3</f>
        <v>44979</v>
      </c>
    </row>
    <row r="5" spans="1:9">
      <c r="A5" s="314" t="s">
        <v>156</v>
      </c>
      <c r="B5" t="s">
        <v>95</v>
      </c>
      <c r="E5" s="315" t="s">
        <v>5</v>
      </c>
      <c r="F5" s="317" t="str">
        <f>+'Annexure-4 Labour Cost Summary'!H5</f>
        <v>KCE-12</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20" customHeight="1">
      <c r="A9" s="351" t="s">
        <v>157</v>
      </c>
      <c r="B9" s="1085" t="s">
        <v>803</v>
      </c>
      <c r="C9" s="1086"/>
      <c r="D9" s="864" t="s">
        <v>158</v>
      </c>
      <c r="E9" s="865" t="s">
        <v>143</v>
      </c>
      <c r="F9" s="352" t="s">
        <v>144</v>
      </c>
      <c r="I9" s="354"/>
    </row>
    <row r="10" spans="1:9">
      <c r="A10" s="355" t="s">
        <v>805</v>
      </c>
      <c r="B10" s="1093" t="s">
        <v>841</v>
      </c>
      <c r="C10" s="1094"/>
      <c r="D10" s="356">
        <v>2315622.34</v>
      </c>
      <c r="E10" s="863">
        <v>419648.87000000005</v>
      </c>
      <c r="F10" s="357">
        <f>+D10+E10</f>
        <v>2735271.21</v>
      </c>
    </row>
    <row r="11" spans="1:9">
      <c r="A11" s="355" t="s">
        <v>806</v>
      </c>
      <c r="B11" s="1095" t="s">
        <v>810</v>
      </c>
      <c r="C11" s="1096"/>
      <c r="D11" s="356">
        <v>440610.35</v>
      </c>
      <c r="E11" s="323">
        <v>0</v>
      </c>
      <c r="F11" s="866">
        <f>+D11+E11</f>
        <v>440610.35</v>
      </c>
    </row>
    <row r="12" spans="1:9">
      <c r="A12" s="355" t="s">
        <v>807</v>
      </c>
      <c r="B12" s="1095" t="s">
        <v>175</v>
      </c>
      <c r="C12" s="1096"/>
      <c r="D12" s="358">
        <v>0</v>
      </c>
      <c r="E12" s="325">
        <f>F12-D12</f>
        <v>0</v>
      </c>
      <c r="F12" s="326">
        <v>0</v>
      </c>
    </row>
    <row r="13" spans="1:9">
      <c r="A13" s="359" t="s">
        <v>808</v>
      </c>
      <c r="B13" s="1089" t="s">
        <v>824</v>
      </c>
      <c r="C13" s="1090"/>
      <c r="D13" s="360">
        <v>0</v>
      </c>
      <c r="E13" s="331">
        <f>F13-D13</f>
        <v>0</v>
      </c>
      <c r="F13" s="332">
        <f>-Adjustments!I14</f>
        <v>0</v>
      </c>
    </row>
    <row r="14" spans="1:9" ht="15" thickBot="1">
      <c r="A14" s="361"/>
      <c r="B14" s="1091" t="s">
        <v>155</v>
      </c>
      <c r="C14" s="1092"/>
      <c r="D14" s="859">
        <f>SUM(D10:D13)</f>
        <v>2756232.69</v>
      </c>
      <c r="E14" s="859">
        <f>SUM(E10:E13)</f>
        <v>419648.87000000005</v>
      </c>
      <c r="F14" s="860">
        <f>SUM(F10:F13)</f>
        <v>3175881.56</v>
      </c>
      <c r="H14" s="329"/>
    </row>
    <row r="26" spans="5:6">
      <c r="E26" s="312">
        <v>419648.87</v>
      </c>
      <c r="F26" s="312">
        <v>3175881.56</v>
      </c>
    </row>
    <row r="27" spans="5:6">
      <c r="E27" s="312">
        <f>E14-E26</f>
        <v>0</v>
      </c>
      <c r="F27" s="312">
        <f>F14-F26</f>
        <v>0</v>
      </c>
    </row>
  </sheetData>
  <mergeCells count="8">
    <mergeCell ref="A1:F1"/>
    <mergeCell ref="A2:F2"/>
    <mergeCell ref="B13:C13"/>
    <mergeCell ref="B14:C14"/>
    <mergeCell ref="B9:C9"/>
    <mergeCell ref="B10:C10"/>
    <mergeCell ref="B11:C11"/>
    <mergeCell ref="B12:C12"/>
  </mergeCells>
  <pageMargins left="0.7" right="0.7" top="0.75" bottom="0.75" header="0.3" footer="0.3"/>
  <pageSetup scale="92"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Z142"/>
  <sheetViews>
    <sheetView view="pageBreakPreview" topLeftCell="A34" zoomScale="70" zoomScaleNormal="55" zoomScaleSheetLayoutView="70" workbookViewId="0">
      <pane xSplit="2" topLeftCell="V1" activePane="topRight" state="frozenSplit"/>
      <selection pane="topRight" activeCell="Z40" sqref="Z40"/>
    </sheetView>
  </sheetViews>
  <sheetFormatPr defaultColWidth="9" defaultRowHeight="14.5" outlineLevelCol="1"/>
  <cols>
    <col min="1" max="1" width="8.1796875" style="676" customWidth="1"/>
    <col min="2" max="2" width="45.36328125" style="676" customWidth="1"/>
    <col min="3" max="3" width="37.6328125" style="676" customWidth="1"/>
    <col min="4" max="4" width="28.453125" style="677" customWidth="1"/>
    <col min="5" max="5" width="27.453125" style="677" customWidth="1"/>
    <col min="6" max="6" width="20.7265625" style="676" customWidth="1"/>
    <col min="7" max="7" width="19.6328125" style="676" customWidth="1"/>
    <col min="8" max="8" width="19.6328125" style="676" hidden="1" customWidth="1" outlineLevel="1"/>
    <col min="9" max="9" width="21.6328125" style="676" customWidth="1" collapsed="1"/>
    <col min="10" max="10" width="24.36328125" style="676" hidden="1" customWidth="1" outlineLevel="1"/>
    <col min="11" max="11" width="30.36328125" style="676" customWidth="1" collapsed="1"/>
    <col min="12" max="12" width="19.08984375" style="676" customWidth="1"/>
    <col min="13" max="13" width="20.26953125" style="676" hidden="1" customWidth="1" outlineLevel="1"/>
    <col min="14" max="14" width="20.6328125" style="676" customWidth="1" collapsed="1"/>
    <col min="15" max="15" width="22" style="676" hidden="1" customWidth="1" outlineLevel="1"/>
    <col min="16" max="16" width="15.54296875" style="676" customWidth="1" collapsed="1"/>
    <col min="17" max="17" width="20.453125" style="676" hidden="1" customWidth="1" outlineLevel="1"/>
    <col min="18" max="18" width="15.54296875" style="676" customWidth="1" collapsed="1"/>
    <col min="19" max="19" width="15.54296875" style="676" hidden="1" customWidth="1" outlineLevel="1"/>
    <col min="20" max="20" width="23.08984375" style="676" customWidth="1" collapsed="1"/>
    <col min="21" max="21" width="23.08984375" style="676" hidden="1" customWidth="1" outlineLevel="1"/>
    <col min="22" max="22" width="18.36328125" style="676" customWidth="1" collapsed="1"/>
    <col min="23" max="23" width="18.36328125" style="676" hidden="1" customWidth="1" outlineLevel="1"/>
    <col min="24" max="24" width="13.6328125" style="678" customWidth="1" collapsed="1"/>
    <col min="25" max="25" width="13.7265625" style="926" customWidth="1"/>
    <col min="26" max="26" width="20.36328125" style="676" customWidth="1"/>
    <col min="27" max="27" width="17.26953125" style="676" hidden="1" customWidth="1" outlineLevel="1"/>
    <col min="28" max="28" width="18" style="676" customWidth="1" collapsed="1"/>
    <col min="29" max="29" width="18" style="676" hidden="1" customWidth="1" outlineLevel="1"/>
    <col min="30" max="30" width="21.90625" style="676" customWidth="1" collapsed="1"/>
    <col min="31" max="31" width="24.453125" style="676" hidden="1" customWidth="1" outlineLevel="1"/>
    <col min="32" max="32" width="6.6328125" style="676" customWidth="1" collapsed="1"/>
    <col min="33" max="33" width="16.54296875" style="676" bestFit="1" customWidth="1"/>
    <col min="34" max="34" width="23.6328125" style="676" customWidth="1"/>
    <col min="35" max="38" width="9" style="676"/>
    <col min="39" max="39" width="15.08984375" style="680" bestFit="1" customWidth="1"/>
    <col min="40" max="40" width="9" style="676"/>
    <col min="41" max="47" width="0" style="676" hidden="1" customWidth="1"/>
    <col min="48" max="48" width="25.7265625" style="676" hidden="1" customWidth="1"/>
    <col min="49" max="49" width="9" style="676" hidden="1" customWidth="1"/>
    <col min="50" max="260" width="9" style="676"/>
    <col min="261" max="261" width="43" style="676" customWidth="1"/>
    <col min="262" max="262" width="15.6328125" style="676" customWidth="1"/>
    <col min="263" max="263" width="14.6328125" style="676" customWidth="1"/>
    <col min="264" max="265" width="13.36328125" style="676" customWidth="1"/>
    <col min="266" max="268" width="16.6328125" style="676" customWidth="1"/>
    <col min="269" max="269" width="9" style="676"/>
    <col min="270" max="270" width="8.90625" style="676" customWidth="1"/>
    <col min="271" max="516" width="9" style="676"/>
    <col min="517" max="517" width="43" style="676" customWidth="1"/>
    <col min="518" max="518" width="15.6328125" style="676" customWidth="1"/>
    <col min="519" max="519" width="14.6328125" style="676" customWidth="1"/>
    <col min="520" max="521" width="13.36328125" style="676" customWidth="1"/>
    <col min="522" max="524" width="16.6328125" style="676" customWidth="1"/>
    <col min="525" max="525" width="9" style="676"/>
    <col min="526" max="526" width="8.90625" style="676" customWidth="1"/>
    <col min="527" max="772" width="9" style="676"/>
    <col min="773" max="773" width="43" style="676" customWidth="1"/>
    <col min="774" max="774" width="15.6328125" style="676" customWidth="1"/>
    <col min="775" max="775" width="14.6328125" style="676" customWidth="1"/>
    <col min="776" max="777" width="13.36328125" style="676" customWidth="1"/>
    <col min="778" max="780" width="16.6328125" style="676" customWidth="1"/>
    <col min="781" max="781" width="9" style="676"/>
    <col min="782" max="782" width="8.90625" style="676" customWidth="1"/>
    <col min="783" max="1028" width="9" style="676"/>
    <col min="1029" max="1029" width="43" style="676" customWidth="1"/>
    <col min="1030" max="1030" width="15.6328125" style="676" customWidth="1"/>
    <col min="1031" max="1031" width="14.6328125" style="676" customWidth="1"/>
    <col min="1032" max="1033" width="13.36328125" style="676" customWidth="1"/>
    <col min="1034" max="1036" width="16.6328125" style="676" customWidth="1"/>
    <col min="1037" max="1037" width="9" style="676"/>
    <col min="1038" max="1038" width="8.90625" style="676" customWidth="1"/>
    <col min="1039" max="1284" width="9" style="676"/>
    <col min="1285" max="1285" width="43" style="676" customWidth="1"/>
    <col min="1286" max="1286" width="15.6328125" style="676" customWidth="1"/>
    <col min="1287" max="1287" width="14.6328125" style="676" customWidth="1"/>
    <col min="1288" max="1289" width="13.36328125" style="676" customWidth="1"/>
    <col min="1290" max="1292" width="16.6328125" style="676" customWidth="1"/>
    <col min="1293" max="1293" width="9" style="676"/>
    <col min="1294" max="1294" width="8.90625" style="676" customWidth="1"/>
    <col min="1295" max="1540" width="9" style="676"/>
    <col min="1541" max="1541" width="43" style="676" customWidth="1"/>
    <col min="1542" max="1542" width="15.6328125" style="676" customWidth="1"/>
    <col min="1543" max="1543" width="14.6328125" style="676" customWidth="1"/>
    <col min="1544" max="1545" width="13.36328125" style="676" customWidth="1"/>
    <col min="1546" max="1548" width="16.6328125" style="676" customWidth="1"/>
    <col min="1549" max="1549" width="9" style="676"/>
    <col min="1550" max="1550" width="8.90625" style="676" customWidth="1"/>
    <col min="1551" max="1796" width="9" style="676"/>
    <col min="1797" max="1797" width="43" style="676" customWidth="1"/>
    <col min="1798" max="1798" width="15.6328125" style="676" customWidth="1"/>
    <col min="1799" max="1799" width="14.6328125" style="676" customWidth="1"/>
    <col min="1800" max="1801" width="13.36328125" style="676" customWidth="1"/>
    <col min="1802" max="1804" width="16.6328125" style="676" customWidth="1"/>
    <col min="1805" max="1805" width="9" style="676"/>
    <col min="1806" max="1806" width="8.90625" style="676" customWidth="1"/>
    <col min="1807" max="2052" width="9" style="676"/>
    <col min="2053" max="2053" width="43" style="676" customWidth="1"/>
    <col min="2054" max="2054" width="15.6328125" style="676" customWidth="1"/>
    <col min="2055" max="2055" width="14.6328125" style="676" customWidth="1"/>
    <col min="2056" max="2057" width="13.36328125" style="676" customWidth="1"/>
    <col min="2058" max="2060" width="16.6328125" style="676" customWidth="1"/>
    <col min="2061" max="2061" width="9" style="676"/>
    <col min="2062" max="2062" width="8.90625" style="676" customWidth="1"/>
    <col min="2063" max="2308" width="9" style="676"/>
    <col min="2309" max="2309" width="43" style="676" customWidth="1"/>
    <col min="2310" max="2310" width="15.6328125" style="676" customWidth="1"/>
    <col min="2311" max="2311" width="14.6328125" style="676" customWidth="1"/>
    <col min="2312" max="2313" width="13.36328125" style="676" customWidth="1"/>
    <col min="2314" max="2316" width="16.6328125" style="676" customWidth="1"/>
    <col min="2317" max="2317" width="9" style="676"/>
    <col min="2318" max="2318" width="8.90625" style="676" customWidth="1"/>
    <col min="2319" max="2564" width="9" style="676"/>
    <col min="2565" max="2565" width="43" style="676" customWidth="1"/>
    <col min="2566" max="2566" width="15.6328125" style="676" customWidth="1"/>
    <col min="2567" max="2567" width="14.6328125" style="676" customWidth="1"/>
    <col min="2568" max="2569" width="13.36328125" style="676" customWidth="1"/>
    <col min="2570" max="2572" width="16.6328125" style="676" customWidth="1"/>
    <col min="2573" max="2573" width="9" style="676"/>
    <col min="2574" max="2574" width="8.90625" style="676" customWidth="1"/>
    <col min="2575" max="2820" width="9" style="676"/>
    <col min="2821" max="2821" width="43" style="676" customWidth="1"/>
    <col min="2822" max="2822" width="15.6328125" style="676" customWidth="1"/>
    <col min="2823" max="2823" width="14.6328125" style="676" customWidth="1"/>
    <col min="2824" max="2825" width="13.36328125" style="676" customWidth="1"/>
    <col min="2826" max="2828" width="16.6328125" style="676" customWidth="1"/>
    <col min="2829" max="2829" width="9" style="676"/>
    <col min="2830" max="2830" width="8.90625" style="676" customWidth="1"/>
    <col min="2831" max="3076" width="9" style="676"/>
    <col min="3077" max="3077" width="43" style="676" customWidth="1"/>
    <col min="3078" max="3078" width="15.6328125" style="676" customWidth="1"/>
    <col min="3079" max="3079" width="14.6328125" style="676" customWidth="1"/>
    <col min="3080" max="3081" width="13.36328125" style="676" customWidth="1"/>
    <col min="3082" max="3084" width="16.6328125" style="676" customWidth="1"/>
    <col min="3085" max="3085" width="9" style="676"/>
    <col min="3086" max="3086" width="8.90625" style="676" customWidth="1"/>
    <col min="3087" max="3332" width="9" style="676"/>
    <col min="3333" max="3333" width="43" style="676" customWidth="1"/>
    <col min="3334" max="3334" width="15.6328125" style="676" customWidth="1"/>
    <col min="3335" max="3335" width="14.6328125" style="676" customWidth="1"/>
    <col min="3336" max="3337" width="13.36328125" style="676" customWidth="1"/>
    <col min="3338" max="3340" width="16.6328125" style="676" customWidth="1"/>
    <col min="3341" max="3341" width="9" style="676"/>
    <col min="3342" max="3342" width="8.90625" style="676" customWidth="1"/>
    <col min="3343" max="3588" width="9" style="676"/>
    <col min="3589" max="3589" width="43" style="676" customWidth="1"/>
    <col min="3590" max="3590" width="15.6328125" style="676" customWidth="1"/>
    <col min="3591" max="3591" width="14.6328125" style="676" customWidth="1"/>
    <col min="3592" max="3593" width="13.36328125" style="676" customWidth="1"/>
    <col min="3594" max="3596" width="16.6328125" style="676" customWidth="1"/>
    <col min="3597" max="3597" width="9" style="676"/>
    <col min="3598" max="3598" width="8.90625" style="676" customWidth="1"/>
    <col min="3599" max="3844" width="9" style="676"/>
    <col min="3845" max="3845" width="43" style="676" customWidth="1"/>
    <col min="3846" max="3846" width="15.6328125" style="676" customWidth="1"/>
    <col min="3847" max="3847" width="14.6328125" style="676" customWidth="1"/>
    <col min="3848" max="3849" width="13.36328125" style="676" customWidth="1"/>
    <col min="3850" max="3852" width="16.6328125" style="676" customWidth="1"/>
    <col min="3853" max="3853" width="9" style="676"/>
    <col min="3854" max="3854" width="8.90625" style="676" customWidth="1"/>
    <col min="3855" max="4100" width="9" style="676"/>
    <col min="4101" max="4101" width="43" style="676" customWidth="1"/>
    <col min="4102" max="4102" width="15.6328125" style="676" customWidth="1"/>
    <col min="4103" max="4103" width="14.6328125" style="676" customWidth="1"/>
    <col min="4104" max="4105" width="13.36328125" style="676" customWidth="1"/>
    <col min="4106" max="4108" width="16.6328125" style="676" customWidth="1"/>
    <col min="4109" max="4109" width="9" style="676"/>
    <col min="4110" max="4110" width="8.90625" style="676" customWidth="1"/>
    <col min="4111" max="4356" width="9" style="676"/>
    <col min="4357" max="4357" width="43" style="676" customWidth="1"/>
    <col min="4358" max="4358" width="15.6328125" style="676" customWidth="1"/>
    <col min="4359" max="4359" width="14.6328125" style="676" customWidth="1"/>
    <col min="4360" max="4361" width="13.36328125" style="676" customWidth="1"/>
    <col min="4362" max="4364" width="16.6328125" style="676" customWidth="1"/>
    <col min="4365" max="4365" width="9" style="676"/>
    <col min="4366" max="4366" width="8.90625" style="676" customWidth="1"/>
    <col min="4367" max="4612" width="9" style="676"/>
    <col min="4613" max="4613" width="43" style="676" customWidth="1"/>
    <col min="4614" max="4614" width="15.6328125" style="676" customWidth="1"/>
    <col min="4615" max="4615" width="14.6328125" style="676" customWidth="1"/>
    <col min="4616" max="4617" width="13.36328125" style="676" customWidth="1"/>
    <col min="4618" max="4620" width="16.6328125" style="676" customWidth="1"/>
    <col min="4621" max="4621" width="9" style="676"/>
    <col min="4622" max="4622" width="8.90625" style="676" customWidth="1"/>
    <col min="4623" max="4868" width="9" style="676"/>
    <col min="4869" max="4869" width="43" style="676" customWidth="1"/>
    <col min="4870" max="4870" width="15.6328125" style="676" customWidth="1"/>
    <col min="4871" max="4871" width="14.6328125" style="676" customWidth="1"/>
    <col min="4872" max="4873" width="13.36328125" style="676" customWidth="1"/>
    <col min="4874" max="4876" width="16.6328125" style="676" customWidth="1"/>
    <col min="4877" max="4877" width="9" style="676"/>
    <col min="4878" max="4878" width="8.90625" style="676" customWidth="1"/>
    <col min="4879" max="5124" width="9" style="676"/>
    <col min="5125" max="5125" width="43" style="676" customWidth="1"/>
    <col min="5126" max="5126" width="15.6328125" style="676" customWidth="1"/>
    <col min="5127" max="5127" width="14.6328125" style="676" customWidth="1"/>
    <col min="5128" max="5129" width="13.36328125" style="676" customWidth="1"/>
    <col min="5130" max="5132" width="16.6328125" style="676" customWidth="1"/>
    <col min="5133" max="5133" width="9" style="676"/>
    <col min="5134" max="5134" width="8.90625" style="676" customWidth="1"/>
    <col min="5135" max="5380" width="9" style="676"/>
    <col min="5381" max="5381" width="43" style="676" customWidth="1"/>
    <col min="5382" max="5382" width="15.6328125" style="676" customWidth="1"/>
    <col min="5383" max="5383" width="14.6328125" style="676" customWidth="1"/>
    <col min="5384" max="5385" width="13.36328125" style="676" customWidth="1"/>
    <col min="5386" max="5388" width="16.6328125" style="676" customWidth="1"/>
    <col min="5389" max="5389" width="9" style="676"/>
    <col min="5390" max="5390" width="8.90625" style="676" customWidth="1"/>
    <col min="5391" max="5636" width="9" style="676"/>
    <col min="5637" max="5637" width="43" style="676" customWidth="1"/>
    <col min="5638" max="5638" width="15.6328125" style="676" customWidth="1"/>
    <col min="5639" max="5639" width="14.6328125" style="676" customWidth="1"/>
    <col min="5640" max="5641" width="13.36328125" style="676" customWidth="1"/>
    <col min="5642" max="5644" width="16.6328125" style="676" customWidth="1"/>
    <col min="5645" max="5645" width="9" style="676"/>
    <col min="5646" max="5646" width="8.90625" style="676" customWidth="1"/>
    <col min="5647" max="5892" width="9" style="676"/>
    <col min="5893" max="5893" width="43" style="676" customWidth="1"/>
    <col min="5894" max="5894" width="15.6328125" style="676" customWidth="1"/>
    <col min="5895" max="5895" width="14.6328125" style="676" customWidth="1"/>
    <col min="5896" max="5897" width="13.36328125" style="676" customWidth="1"/>
    <col min="5898" max="5900" width="16.6328125" style="676" customWidth="1"/>
    <col min="5901" max="5901" width="9" style="676"/>
    <col min="5902" max="5902" width="8.90625" style="676" customWidth="1"/>
    <col min="5903" max="6148" width="9" style="676"/>
    <col min="6149" max="6149" width="43" style="676" customWidth="1"/>
    <col min="6150" max="6150" width="15.6328125" style="676" customWidth="1"/>
    <col min="6151" max="6151" width="14.6328125" style="676" customWidth="1"/>
    <col min="6152" max="6153" width="13.36328125" style="676" customWidth="1"/>
    <col min="6154" max="6156" width="16.6328125" style="676" customWidth="1"/>
    <col min="6157" max="6157" width="9" style="676"/>
    <col min="6158" max="6158" width="8.90625" style="676" customWidth="1"/>
    <col min="6159" max="6404" width="9" style="676"/>
    <col min="6405" max="6405" width="43" style="676" customWidth="1"/>
    <col min="6406" max="6406" width="15.6328125" style="676" customWidth="1"/>
    <col min="6407" max="6407" width="14.6328125" style="676" customWidth="1"/>
    <col min="6408" max="6409" width="13.36328125" style="676" customWidth="1"/>
    <col min="6410" max="6412" width="16.6328125" style="676" customWidth="1"/>
    <col min="6413" max="6413" width="9" style="676"/>
    <col min="6414" max="6414" width="8.90625" style="676" customWidth="1"/>
    <col min="6415" max="6660" width="9" style="676"/>
    <col min="6661" max="6661" width="43" style="676" customWidth="1"/>
    <col min="6662" max="6662" width="15.6328125" style="676" customWidth="1"/>
    <col min="6663" max="6663" width="14.6328125" style="676" customWidth="1"/>
    <col min="6664" max="6665" width="13.36328125" style="676" customWidth="1"/>
    <col min="6666" max="6668" width="16.6328125" style="676" customWidth="1"/>
    <col min="6669" max="6669" width="9" style="676"/>
    <col min="6670" max="6670" width="8.90625" style="676" customWidth="1"/>
    <col min="6671" max="6916" width="9" style="676"/>
    <col min="6917" max="6917" width="43" style="676" customWidth="1"/>
    <col min="6918" max="6918" width="15.6328125" style="676" customWidth="1"/>
    <col min="6919" max="6919" width="14.6328125" style="676" customWidth="1"/>
    <col min="6920" max="6921" width="13.36328125" style="676" customWidth="1"/>
    <col min="6922" max="6924" width="16.6328125" style="676" customWidth="1"/>
    <col min="6925" max="6925" width="9" style="676"/>
    <col min="6926" max="6926" width="8.90625" style="676" customWidth="1"/>
    <col min="6927" max="7172" width="9" style="676"/>
    <col min="7173" max="7173" width="43" style="676" customWidth="1"/>
    <col min="7174" max="7174" width="15.6328125" style="676" customWidth="1"/>
    <col min="7175" max="7175" width="14.6328125" style="676" customWidth="1"/>
    <col min="7176" max="7177" width="13.36328125" style="676" customWidth="1"/>
    <col min="7178" max="7180" width="16.6328125" style="676" customWidth="1"/>
    <col min="7181" max="7181" width="9" style="676"/>
    <col min="7182" max="7182" width="8.90625" style="676" customWidth="1"/>
    <col min="7183" max="7428" width="9" style="676"/>
    <col min="7429" max="7429" width="43" style="676" customWidth="1"/>
    <col min="7430" max="7430" width="15.6328125" style="676" customWidth="1"/>
    <col min="7431" max="7431" width="14.6328125" style="676" customWidth="1"/>
    <col min="7432" max="7433" width="13.36328125" style="676" customWidth="1"/>
    <col min="7434" max="7436" width="16.6328125" style="676" customWidth="1"/>
    <col min="7437" max="7437" width="9" style="676"/>
    <col min="7438" max="7438" width="8.90625" style="676" customWidth="1"/>
    <col min="7439" max="7684" width="9" style="676"/>
    <col min="7685" max="7685" width="43" style="676" customWidth="1"/>
    <col min="7686" max="7686" width="15.6328125" style="676" customWidth="1"/>
    <col min="7687" max="7687" width="14.6328125" style="676" customWidth="1"/>
    <col min="7688" max="7689" width="13.36328125" style="676" customWidth="1"/>
    <col min="7690" max="7692" width="16.6328125" style="676" customWidth="1"/>
    <col min="7693" max="7693" width="9" style="676"/>
    <col min="7694" max="7694" width="8.90625" style="676" customWidth="1"/>
    <col min="7695" max="7940" width="9" style="676"/>
    <col min="7941" max="7941" width="43" style="676" customWidth="1"/>
    <col min="7942" max="7942" width="15.6328125" style="676" customWidth="1"/>
    <col min="7943" max="7943" width="14.6328125" style="676" customWidth="1"/>
    <col min="7944" max="7945" width="13.36328125" style="676" customWidth="1"/>
    <col min="7946" max="7948" width="16.6328125" style="676" customWidth="1"/>
    <col min="7949" max="7949" width="9" style="676"/>
    <col min="7950" max="7950" width="8.90625" style="676" customWidth="1"/>
    <col min="7951" max="8196" width="9" style="676"/>
    <col min="8197" max="8197" width="43" style="676" customWidth="1"/>
    <col min="8198" max="8198" width="15.6328125" style="676" customWidth="1"/>
    <col min="8199" max="8199" width="14.6328125" style="676" customWidth="1"/>
    <col min="8200" max="8201" width="13.36328125" style="676" customWidth="1"/>
    <col min="8202" max="8204" width="16.6328125" style="676" customWidth="1"/>
    <col min="8205" max="8205" width="9" style="676"/>
    <col min="8206" max="8206" width="8.90625" style="676" customWidth="1"/>
    <col min="8207" max="8452" width="9" style="676"/>
    <col min="8453" max="8453" width="43" style="676" customWidth="1"/>
    <col min="8454" max="8454" width="15.6328125" style="676" customWidth="1"/>
    <col min="8455" max="8455" width="14.6328125" style="676" customWidth="1"/>
    <col min="8456" max="8457" width="13.36328125" style="676" customWidth="1"/>
    <col min="8458" max="8460" width="16.6328125" style="676" customWidth="1"/>
    <col min="8461" max="8461" width="9" style="676"/>
    <col min="8462" max="8462" width="8.90625" style="676" customWidth="1"/>
    <col min="8463" max="8708" width="9" style="676"/>
    <col min="8709" max="8709" width="43" style="676" customWidth="1"/>
    <col min="8710" max="8710" width="15.6328125" style="676" customWidth="1"/>
    <col min="8711" max="8711" width="14.6328125" style="676" customWidth="1"/>
    <col min="8712" max="8713" width="13.36328125" style="676" customWidth="1"/>
    <col min="8714" max="8716" width="16.6328125" style="676" customWidth="1"/>
    <col min="8717" max="8717" width="9" style="676"/>
    <col min="8718" max="8718" width="8.90625" style="676" customWidth="1"/>
    <col min="8719" max="8964" width="9" style="676"/>
    <col min="8965" max="8965" width="43" style="676" customWidth="1"/>
    <col min="8966" max="8966" width="15.6328125" style="676" customWidth="1"/>
    <col min="8967" max="8967" width="14.6328125" style="676" customWidth="1"/>
    <col min="8968" max="8969" width="13.36328125" style="676" customWidth="1"/>
    <col min="8970" max="8972" width="16.6328125" style="676" customWidth="1"/>
    <col min="8973" max="8973" width="9" style="676"/>
    <col min="8974" max="8974" width="8.90625" style="676" customWidth="1"/>
    <col min="8975" max="9220" width="9" style="676"/>
    <col min="9221" max="9221" width="43" style="676" customWidth="1"/>
    <col min="9222" max="9222" width="15.6328125" style="676" customWidth="1"/>
    <col min="9223" max="9223" width="14.6328125" style="676" customWidth="1"/>
    <col min="9224" max="9225" width="13.36328125" style="676" customWidth="1"/>
    <col min="9226" max="9228" width="16.6328125" style="676" customWidth="1"/>
    <col min="9229" max="9229" width="9" style="676"/>
    <col min="9230" max="9230" width="8.90625" style="676" customWidth="1"/>
    <col min="9231" max="9476" width="9" style="676"/>
    <col min="9477" max="9477" width="43" style="676" customWidth="1"/>
    <col min="9478" max="9478" width="15.6328125" style="676" customWidth="1"/>
    <col min="9479" max="9479" width="14.6328125" style="676" customWidth="1"/>
    <col min="9480" max="9481" width="13.36328125" style="676" customWidth="1"/>
    <col min="9482" max="9484" width="16.6328125" style="676" customWidth="1"/>
    <col min="9485" max="9485" width="9" style="676"/>
    <col min="9486" max="9486" width="8.90625" style="676" customWidth="1"/>
    <col min="9487" max="9732" width="9" style="676"/>
    <col min="9733" max="9733" width="43" style="676" customWidth="1"/>
    <col min="9734" max="9734" width="15.6328125" style="676" customWidth="1"/>
    <col min="9735" max="9735" width="14.6328125" style="676" customWidth="1"/>
    <col min="9736" max="9737" width="13.36328125" style="676" customWidth="1"/>
    <col min="9738" max="9740" width="16.6328125" style="676" customWidth="1"/>
    <col min="9741" max="9741" width="9" style="676"/>
    <col min="9742" max="9742" width="8.90625" style="676" customWidth="1"/>
    <col min="9743" max="9988" width="9" style="676"/>
    <col min="9989" max="9989" width="43" style="676" customWidth="1"/>
    <col min="9990" max="9990" width="15.6328125" style="676" customWidth="1"/>
    <col min="9991" max="9991" width="14.6328125" style="676" customWidth="1"/>
    <col min="9992" max="9993" width="13.36328125" style="676" customWidth="1"/>
    <col min="9994" max="9996" width="16.6328125" style="676" customWidth="1"/>
    <col min="9997" max="9997" width="9" style="676"/>
    <col min="9998" max="9998" width="8.90625" style="676" customWidth="1"/>
    <col min="9999" max="10244" width="9" style="676"/>
    <col min="10245" max="10245" width="43" style="676" customWidth="1"/>
    <col min="10246" max="10246" width="15.6328125" style="676" customWidth="1"/>
    <col min="10247" max="10247" width="14.6328125" style="676" customWidth="1"/>
    <col min="10248" max="10249" width="13.36328125" style="676" customWidth="1"/>
    <col min="10250" max="10252" width="16.6328125" style="676" customWidth="1"/>
    <col min="10253" max="10253" width="9" style="676"/>
    <col min="10254" max="10254" width="8.90625" style="676" customWidth="1"/>
    <col min="10255" max="10500" width="9" style="676"/>
    <col min="10501" max="10501" width="43" style="676" customWidth="1"/>
    <col min="10502" max="10502" width="15.6328125" style="676" customWidth="1"/>
    <col min="10503" max="10503" width="14.6328125" style="676" customWidth="1"/>
    <col min="10504" max="10505" width="13.36328125" style="676" customWidth="1"/>
    <col min="10506" max="10508" width="16.6328125" style="676" customWidth="1"/>
    <col min="10509" max="10509" width="9" style="676"/>
    <col min="10510" max="10510" width="8.90625" style="676" customWidth="1"/>
    <col min="10511" max="10756" width="9" style="676"/>
    <col min="10757" max="10757" width="43" style="676" customWidth="1"/>
    <col min="10758" max="10758" width="15.6328125" style="676" customWidth="1"/>
    <col min="10759" max="10759" width="14.6328125" style="676" customWidth="1"/>
    <col min="10760" max="10761" width="13.36328125" style="676" customWidth="1"/>
    <col min="10762" max="10764" width="16.6328125" style="676" customWidth="1"/>
    <col min="10765" max="10765" width="9" style="676"/>
    <col min="10766" max="10766" width="8.90625" style="676" customWidth="1"/>
    <col min="10767" max="11012" width="9" style="676"/>
    <col min="11013" max="11013" width="43" style="676" customWidth="1"/>
    <col min="11014" max="11014" width="15.6328125" style="676" customWidth="1"/>
    <col min="11015" max="11015" width="14.6328125" style="676" customWidth="1"/>
    <col min="11016" max="11017" width="13.36328125" style="676" customWidth="1"/>
    <col min="11018" max="11020" width="16.6328125" style="676" customWidth="1"/>
    <col min="11021" max="11021" width="9" style="676"/>
    <col min="11022" max="11022" width="8.90625" style="676" customWidth="1"/>
    <col min="11023" max="11268" width="9" style="676"/>
    <col min="11269" max="11269" width="43" style="676" customWidth="1"/>
    <col min="11270" max="11270" width="15.6328125" style="676" customWidth="1"/>
    <col min="11271" max="11271" width="14.6328125" style="676" customWidth="1"/>
    <col min="11272" max="11273" width="13.36328125" style="676" customWidth="1"/>
    <col min="11274" max="11276" width="16.6328125" style="676" customWidth="1"/>
    <col min="11277" max="11277" width="9" style="676"/>
    <col min="11278" max="11278" width="8.90625" style="676" customWidth="1"/>
    <col min="11279" max="11524" width="9" style="676"/>
    <col min="11525" max="11525" width="43" style="676" customWidth="1"/>
    <col min="11526" max="11526" width="15.6328125" style="676" customWidth="1"/>
    <col min="11527" max="11527" width="14.6328125" style="676" customWidth="1"/>
    <col min="11528" max="11529" width="13.36328125" style="676" customWidth="1"/>
    <col min="11530" max="11532" width="16.6328125" style="676" customWidth="1"/>
    <col min="11533" max="11533" width="9" style="676"/>
    <col min="11534" max="11534" width="8.90625" style="676" customWidth="1"/>
    <col min="11535" max="11780" width="9" style="676"/>
    <col min="11781" max="11781" width="43" style="676" customWidth="1"/>
    <col min="11782" max="11782" width="15.6328125" style="676" customWidth="1"/>
    <col min="11783" max="11783" width="14.6328125" style="676" customWidth="1"/>
    <col min="11784" max="11785" width="13.36328125" style="676" customWidth="1"/>
    <col min="11786" max="11788" width="16.6328125" style="676" customWidth="1"/>
    <col min="11789" max="11789" width="9" style="676"/>
    <col min="11790" max="11790" width="8.90625" style="676" customWidth="1"/>
    <col min="11791" max="12036" width="9" style="676"/>
    <col min="12037" max="12037" width="43" style="676" customWidth="1"/>
    <col min="12038" max="12038" width="15.6328125" style="676" customWidth="1"/>
    <col min="12039" max="12039" width="14.6328125" style="676" customWidth="1"/>
    <col min="12040" max="12041" width="13.36328125" style="676" customWidth="1"/>
    <col min="12042" max="12044" width="16.6328125" style="676" customWidth="1"/>
    <col min="12045" max="12045" width="9" style="676"/>
    <col min="12046" max="12046" width="8.90625" style="676" customWidth="1"/>
    <col min="12047" max="12292" width="9" style="676"/>
    <col min="12293" max="12293" width="43" style="676" customWidth="1"/>
    <col min="12294" max="12294" width="15.6328125" style="676" customWidth="1"/>
    <col min="12295" max="12295" width="14.6328125" style="676" customWidth="1"/>
    <col min="12296" max="12297" width="13.36328125" style="676" customWidth="1"/>
    <col min="12298" max="12300" width="16.6328125" style="676" customWidth="1"/>
    <col min="12301" max="12301" width="9" style="676"/>
    <col min="12302" max="12302" width="8.90625" style="676" customWidth="1"/>
    <col min="12303" max="12548" width="9" style="676"/>
    <col min="12549" max="12549" width="43" style="676" customWidth="1"/>
    <col min="12550" max="12550" width="15.6328125" style="676" customWidth="1"/>
    <col min="12551" max="12551" width="14.6328125" style="676" customWidth="1"/>
    <col min="12552" max="12553" width="13.36328125" style="676" customWidth="1"/>
    <col min="12554" max="12556" width="16.6328125" style="676" customWidth="1"/>
    <col min="12557" max="12557" width="9" style="676"/>
    <col min="12558" max="12558" width="8.90625" style="676" customWidth="1"/>
    <col min="12559" max="12804" width="9" style="676"/>
    <col min="12805" max="12805" width="43" style="676" customWidth="1"/>
    <col min="12806" max="12806" width="15.6328125" style="676" customWidth="1"/>
    <col min="12807" max="12807" width="14.6328125" style="676" customWidth="1"/>
    <col min="12808" max="12809" width="13.36328125" style="676" customWidth="1"/>
    <col min="12810" max="12812" width="16.6328125" style="676" customWidth="1"/>
    <col min="12813" max="12813" width="9" style="676"/>
    <col min="12814" max="12814" width="8.90625" style="676" customWidth="1"/>
    <col min="12815" max="13060" width="9" style="676"/>
    <col min="13061" max="13061" width="43" style="676" customWidth="1"/>
    <col min="13062" max="13062" width="15.6328125" style="676" customWidth="1"/>
    <col min="13063" max="13063" width="14.6328125" style="676" customWidth="1"/>
    <col min="13064" max="13065" width="13.36328125" style="676" customWidth="1"/>
    <col min="13066" max="13068" width="16.6328125" style="676" customWidth="1"/>
    <col min="13069" max="13069" width="9" style="676"/>
    <col min="13070" max="13070" width="8.90625" style="676" customWidth="1"/>
    <col min="13071" max="13316" width="9" style="676"/>
    <col min="13317" max="13317" width="43" style="676" customWidth="1"/>
    <col min="13318" max="13318" width="15.6328125" style="676" customWidth="1"/>
    <col min="13319" max="13319" width="14.6328125" style="676" customWidth="1"/>
    <col min="13320" max="13321" width="13.36328125" style="676" customWidth="1"/>
    <col min="13322" max="13324" width="16.6328125" style="676" customWidth="1"/>
    <col min="13325" max="13325" width="9" style="676"/>
    <col min="13326" max="13326" width="8.90625" style="676" customWidth="1"/>
    <col min="13327" max="13572" width="9" style="676"/>
    <col min="13573" max="13573" width="43" style="676" customWidth="1"/>
    <col min="13574" max="13574" width="15.6328125" style="676" customWidth="1"/>
    <col min="13575" max="13575" width="14.6328125" style="676" customWidth="1"/>
    <col min="13576" max="13577" width="13.36328125" style="676" customWidth="1"/>
    <col min="13578" max="13580" width="16.6328125" style="676" customWidth="1"/>
    <col min="13581" max="13581" width="9" style="676"/>
    <col min="13582" max="13582" width="8.90625" style="676" customWidth="1"/>
    <col min="13583" max="13828" width="9" style="676"/>
    <col min="13829" max="13829" width="43" style="676" customWidth="1"/>
    <col min="13830" max="13830" width="15.6328125" style="676" customWidth="1"/>
    <col min="13831" max="13831" width="14.6328125" style="676" customWidth="1"/>
    <col min="13832" max="13833" width="13.36328125" style="676" customWidth="1"/>
    <col min="13834" max="13836" width="16.6328125" style="676" customWidth="1"/>
    <col min="13837" max="13837" width="9" style="676"/>
    <col min="13838" max="13838" width="8.90625" style="676" customWidth="1"/>
    <col min="13839" max="14084" width="9" style="676"/>
    <col min="14085" max="14085" width="43" style="676" customWidth="1"/>
    <col min="14086" max="14086" width="15.6328125" style="676" customWidth="1"/>
    <col min="14087" max="14087" width="14.6328125" style="676" customWidth="1"/>
    <col min="14088" max="14089" width="13.36328125" style="676" customWidth="1"/>
    <col min="14090" max="14092" width="16.6328125" style="676" customWidth="1"/>
    <col min="14093" max="14093" width="9" style="676"/>
    <col min="14094" max="14094" width="8.90625" style="676" customWidth="1"/>
    <col min="14095" max="14340" width="9" style="676"/>
    <col min="14341" max="14341" width="43" style="676" customWidth="1"/>
    <col min="14342" max="14342" width="15.6328125" style="676" customWidth="1"/>
    <col min="14343" max="14343" width="14.6328125" style="676" customWidth="1"/>
    <col min="14344" max="14345" width="13.36328125" style="676" customWidth="1"/>
    <col min="14346" max="14348" width="16.6328125" style="676" customWidth="1"/>
    <col min="14349" max="14349" width="9" style="676"/>
    <col min="14350" max="14350" width="8.90625" style="676" customWidth="1"/>
    <col min="14351" max="14596" width="9" style="676"/>
    <col min="14597" max="14597" width="43" style="676" customWidth="1"/>
    <col min="14598" max="14598" width="15.6328125" style="676" customWidth="1"/>
    <col min="14599" max="14599" width="14.6328125" style="676" customWidth="1"/>
    <col min="14600" max="14601" width="13.36328125" style="676" customWidth="1"/>
    <col min="14602" max="14604" width="16.6328125" style="676" customWidth="1"/>
    <col min="14605" max="14605" width="9" style="676"/>
    <col min="14606" max="14606" width="8.90625" style="676" customWidth="1"/>
    <col min="14607" max="14852" width="9" style="676"/>
    <col min="14853" max="14853" width="43" style="676" customWidth="1"/>
    <col min="14854" max="14854" width="15.6328125" style="676" customWidth="1"/>
    <col min="14855" max="14855" width="14.6328125" style="676" customWidth="1"/>
    <col min="14856" max="14857" width="13.36328125" style="676" customWidth="1"/>
    <col min="14858" max="14860" width="16.6328125" style="676" customWidth="1"/>
    <col min="14861" max="14861" width="9" style="676"/>
    <col min="14862" max="14862" width="8.90625" style="676" customWidth="1"/>
    <col min="14863" max="15108" width="9" style="676"/>
    <col min="15109" max="15109" width="43" style="676" customWidth="1"/>
    <col min="15110" max="15110" width="15.6328125" style="676" customWidth="1"/>
    <col min="15111" max="15111" width="14.6328125" style="676" customWidth="1"/>
    <col min="15112" max="15113" width="13.36328125" style="676" customWidth="1"/>
    <col min="15114" max="15116" width="16.6328125" style="676" customWidth="1"/>
    <col min="15117" max="15117" width="9" style="676"/>
    <col min="15118" max="15118" width="8.90625" style="676" customWidth="1"/>
    <col min="15119" max="15364" width="9" style="676"/>
    <col min="15365" max="15365" width="43" style="676" customWidth="1"/>
    <col min="15366" max="15366" width="15.6328125" style="676" customWidth="1"/>
    <col min="15367" max="15367" width="14.6328125" style="676" customWidth="1"/>
    <col min="15368" max="15369" width="13.36328125" style="676" customWidth="1"/>
    <col min="15370" max="15372" width="16.6328125" style="676" customWidth="1"/>
    <col min="15373" max="15373" width="9" style="676"/>
    <col min="15374" max="15374" width="8.90625" style="676" customWidth="1"/>
    <col min="15375" max="15620" width="9" style="676"/>
    <col min="15621" max="15621" width="43" style="676" customWidth="1"/>
    <col min="15622" max="15622" width="15.6328125" style="676" customWidth="1"/>
    <col min="15623" max="15623" width="14.6328125" style="676" customWidth="1"/>
    <col min="15624" max="15625" width="13.36328125" style="676" customWidth="1"/>
    <col min="15626" max="15628" width="16.6328125" style="676" customWidth="1"/>
    <col min="15629" max="15629" width="9" style="676"/>
    <col min="15630" max="15630" width="8.90625" style="676" customWidth="1"/>
    <col min="15631" max="15876" width="9" style="676"/>
    <col min="15877" max="15877" width="43" style="676" customWidth="1"/>
    <col min="15878" max="15878" width="15.6328125" style="676" customWidth="1"/>
    <col min="15879" max="15879" width="14.6328125" style="676" customWidth="1"/>
    <col min="15880" max="15881" width="13.36328125" style="676" customWidth="1"/>
    <col min="15882" max="15884" width="16.6328125" style="676" customWidth="1"/>
    <col min="15885" max="15885" width="9" style="676"/>
    <col min="15886" max="15886" width="8.90625" style="676" customWidth="1"/>
    <col min="15887" max="16132" width="9" style="676"/>
    <col min="16133" max="16133" width="43" style="676" customWidth="1"/>
    <col min="16134" max="16134" width="15.6328125" style="676" customWidth="1"/>
    <col min="16135" max="16135" width="14.6328125" style="676" customWidth="1"/>
    <col min="16136" max="16137" width="13.36328125" style="676" customWidth="1"/>
    <col min="16138" max="16140" width="16.6328125" style="676" customWidth="1"/>
    <col min="16141" max="16141" width="9" style="676"/>
    <col min="16142" max="16142" width="8.90625" style="676" customWidth="1"/>
    <col min="16143" max="16384" width="9" style="676"/>
  </cols>
  <sheetData>
    <row r="1" spans="1:52" ht="26.4" customHeight="1">
      <c r="A1" s="529" t="s">
        <v>0</v>
      </c>
      <c r="K1" s="680"/>
    </row>
    <row r="2" spans="1:52" ht="30.65" customHeight="1">
      <c r="A2" s="529" t="s">
        <v>827</v>
      </c>
      <c r="B2" s="529"/>
      <c r="C2" s="529"/>
      <c r="D2" s="529"/>
      <c r="E2" s="679"/>
      <c r="F2" s="529"/>
      <c r="G2" s="529"/>
      <c r="H2" s="529"/>
      <c r="I2" s="529"/>
      <c r="J2" s="529"/>
      <c r="K2" s="961"/>
      <c r="L2" s="807"/>
      <c r="M2" s="529"/>
      <c r="N2" s="529"/>
      <c r="O2" s="529"/>
      <c r="R2" s="701"/>
      <c r="T2" s="680"/>
      <c r="U2" s="680"/>
      <c r="V2" s="680"/>
      <c r="W2" s="680"/>
    </row>
    <row r="3" spans="1:52" ht="30.65" customHeight="1">
      <c r="A3" s="529"/>
      <c r="B3" s="529"/>
      <c r="C3" s="529"/>
      <c r="D3" s="529"/>
      <c r="E3" s="679"/>
      <c r="F3" s="529"/>
      <c r="G3" s="529"/>
      <c r="H3" s="529"/>
      <c r="I3" s="972"/>
      <c r="J3" s="529"/>
      <c r="K3" s="961"/>
      <c r="L3" s="807"/>
      <c r="M3" s="529"/>
      <c r="N3" s="529"/>
      <c r="O3" s="529"/>
      <c r="R3" s="701"/>
      <c r="T3" s="680"/>
      <c r="U3" s="680"/>
      <c r="V3" s="680"/>
      <c r="W3" s="680"/>
    </row>
    <row r="4" spans="1:52" ht="29" customHeight="1">
      <c r="W4" s="680"/>
      <c r="AB4" s="680"/>
      <c r="AD4" s="701"/>
    </row>
    <row r="5" spans="1:52" ht="35.4" customHeight="1" thickBot="1">
      <c r="A5" s="999" t="s">
        <v>565</v>
      </c>
      <c r="B5" s="980" t="s">
        <v>513</v>
      </c>
      <c r="C5" s="980" t="s">
        <v>566</v>
      </c>
      <c r="D5" s="978" t="s">
        <v>567</v>
      </c>
      <c r="E5" s="979" t="s">
        <v>568</v>
      </c>
      <c r="F5" s="834" t="s">
        <v>575</v>
      </c>
      <c r="G5" s="835" t="s">
        <v>165</v>
      </c>
      <c r="H5" s="836" t="s">
        <v>979</v>
      </c>
      <c r="I5" s="835" t="s">
        <v>576</v>
      </c>
      <c r="J5" s="837" t="s">
        <v>980</v>
      </c>
      <c r="K5" s="1030" t="s">
        <v>569</v>
      </c>
      <c r="L5" s="977" t="s">
        <v>570</v>
      </c>
      <c r="M5" s="983" t="s">
        <v>981</v>
      </c>
      <c r="N5" s="835" t="s">
        <v>571</v>
      </c>
      <c r="O5" s="984" t="s">
        <v>982</v>
      </c>
      <c r="P5" s="985" t="s">
        <v>863</v>
      </c>
      <c r="Q5" s="983" t="s">
        <v>983</v>
      </c>
      <c r="R5" s="985" t="s">
        <v>864</v>
      </c>
      <c r="S5" s="983" t="s">
        <v>984</v>
      </c>
      <c r="T5" s="986" t="s">
        <v>572</v>
      </c>
      <c r="U5" s="981" t="s">
        <v>985</v>
      </c>
      <c r="V5" s="977" t="s">
        <v>577</v>
      </c>
      <c r="W5" s="1000" t="s">
        <v>986</v>
      </c>
      <c r="X5" s="1001" t="s">
        <v>578</v>
      </c>
      <c r="Y5" s="1002" t="s">
        <v>579</v>
      </c>
      <c r="Z5" s="1003" t="s">
        <v>580</v>
      </c>
      <c r="AA5" s="837" t="s">
        <v>987</v>
      </c>
      <c r="AB5" s="977" t="s">
        <v>581</v>
      </c>
      <c r="AC5" s="837" t="s">
        <v>988</v>
      </c>
      <c r="AD5" s="982" t="s">
        <v>573</v>
      </c>
      <c r="AE5" s="981" t="s">
        <v>574</v>
      </c>
    </row>
    <row r="6" spans="1:52" s="687" customFormat="1" ht="21" customHeight="1">
      <c r="A6" s="993"/>
      <c r="B6" s="682"/>
      <c r="C6" s="831"/>
      <c r="D6" s="682"/>
      <c r="E6" s="690"/>
      <c r="F6" s="681"/>
      <c r="G6" s="815"/>
      <c r="H6" s="826"/>
      <c r="I6" s="815"/>
      <c r="J6" s="683"/>
      <c r="K6" s="830"/>
      <c r="L6" s="809"/>
      <c r="M6" s="826"/>
      <c r="N6" s="815"/>
      <c r="O6" s="839"/>
      <c r="P6" s="808"/>
      <c r="Q6" s="821"/>
      <c r="R6" s="808"/>
      <c r="S6" s="821"/>
      <c r="T6" s="825"/>
      <c r="U6" s="683"/>
      <c r="V6" s="962"/>
      <c r="W6" s="833"/>
      <c r="X6" s="686"/>
      <c r="Y6" s="927"/>
      <c r="Z6" s="964"/>
      <c r="AA6" s="832"/>
      <c r="AB6" s="962"/>
      <c r="AC6" s="684"/>
      <c r="AD6" s="685"/>
      <c r="AE6" s="997"/>
      <c r="AM6" s="947"/>
    </row>
    <row r="7" spans="1:52" ht="24" customHeight="1">
      <c r="A7" s="994"/>
      <c r="B7" s="688" t="s">
        <v>582</v>
      </c>
      <c r="C7" s="689"/>
      <c r="D7" s="780"/>
      <c r="E7" s="690"/>
      <c r="F7" s="695"/>
      <c r="G7" s="817"/>
      <c r="H7" s="823"/>
      <c r="I7" s="817"/>
      <c r="J7" s="692"/>
      <c r="K7" s="912"/>
      <c r="L7" s="811"/>
      <c r="M7" s="913"/>
      <c r="N7" s="820"/>
      <c r="O7" s="840"/>
      <c r="P7" s="813"/>
      <c r="Q7" s="822"/>
      <c r="R7" s="813"/>
      <c r="S7" s="822"/>
      <c r="T7" s="827"/>
      <c r="U7" s="692"/>
      <c r="V7" s="963"/>
      <c r="W7" s="842"/>
      <c r="X7" s="696"/>
      <c r="Y7" s="698"/>
      <c r="Z7" s="965"/>
      <c r="AA7" s="697"/>
      <c r="AB7" s="963"/>
      <c r="AC7" s="700"/>
      <c r="AD7" s="694"/>
      <c r="AE7" s="998"/>
    </row>
    <row r="8" spans="1:52" ht="24" customHeight="1">
      <c r="A8" s="994">
        <v>1</v>
      </c>
      <c r="B8" s="689" t="s">
        <v>583</v>
      </c>
      <c r="C8" s="689" t="s">
        <v>584</v>
      </c>
      <c r="D8" s="780">
        <v>3330440</v>
      </c>
      <c r="E8" s="690" t="s">
        <v>585</v>
      </c>
      <c r="F8" s="695">
        <v>218243.90000000002</v>
      </c>
      <c r="G8" s="817">
        <f>I8-F8</f>
        <v>1354557.5</v>
      </c>
      <c r="H8" s="823">
        <f>J8-F8</f>
        <v>-33572.500000000116</v>
      </c>
      <c r="I8" s="817">
        <v>1572801.4</v>
      </c>
      <c r="J8" s="692">
        <v>184671.39999999991</v>
      </c>
      <c r="K8" s="912" t="s">
        <v>991</v>
      </c>
      <c r="L8" s="811"/>
      <c r="M8" s="913"/>
      <c r="N8" s="820"/>
      <c r="O8" s="840"/>
      <c r="P8" s="813"/>
      <c r="Q8" s="822">
        <v>1500000</v>
      </c>
      <c r="R8" s="813">
        <v>3204072</v>
      </c>
      <c r="S8" s="822">
        <v>3395024.06</v>
      </c>
      <c r="T8" s="827">
        <f>+I8+L8+N8+R8+P8</f>
        <v>4776873.4000000004</v>
      </c>
      <c r="U8" s="692">
        <f>+J8+M8+O8+S8+Q8</f>
        <v>5079695.46</v>
      </c>
      <c r="V8" s="967">
        <v>499566</v>
      </c>
      <c r="W8" s="842">
        <v>499566</v>
      </c>
      <c r="X8" s="696"/>
      <c r="Y8" s="698">
        <v>0.15</v>
      </c>
      <c r="Z8" s="965">
        <v>499566</v>
      </c>
      <c r="AA8" s="697">
        <v>499566</v>
      </c>
      <c r="AB8" s="963">
        <f>V8-Z8</f>
        <v>0</v>
      </c>
      <c r="AC8" s="700">
        <f>W8-AA8</f>
        <v>0</v>
      </c>
      <c r="AD8" s="694">
        <f>AB8+T8</f>
        <v>4776873.4000000004</v>
      </c>
      <c r="AE8" s="998">
        <f>AC8+U8</f>
        <v>5079695.46</v>
      </c>
      <c r="AG8" s="701">
        <f>AD8-AE8</f>
        <v>-302822.05999999959</v>
      </c>
      <c r="AM8" s="680">
        <f>T8-U8</f>
        <v>-302822.05999999959</v>
      </c>
      <c r="AV8" s="722">
        <f>Table2[[#This Row],[Total Claimed]]-Table2[[#This Row],[Sub-Total8]]</f>
        <v>0</v>
      </c>
      <c r="AW8" s="676" t="b">
        <f>AV8=Table2[[#This Row],[Balance11]]</f>
        <v>1</v>
      </c>
      <c r="AZ8" s="676" t="b">
        <f>[3]!Table2[[#This Row],[Total Certified ]]=Table2[[#This Row],[Total Certified ]]</f>
        <v>1</v>
      </c>
    </row>
    <row r="9" spans="1:52" ht="24" customHeight="1">
      <c r="A9" s="994">
        <f>+A8+1</f>
        <v>2</v>
      </c>
      <c r="B9" s="689" t="s">
        <v>587</v>
      </c>
      <c r="C9" s="699" t="s">
        <v>588</v>
      </c>
      <c r="D9" s="780">
        <v>2128651</v>
      </c>
      <c r="E9" s="690" t="s">
        <v>585</v>
      </c>
      <c r="F9" s="695">
        <v>1500744.4716029963</v>
      </c>
      <c r="G9" s="817">
        <f>I9-F9</f>
        <v>427306.77839700365</v>
      </c>
      <c r="H9" s="823">
        <f t="shared" ref="H9:H28" si="0">J9-F9</f>
        <v>488350.88839700352</v>
      </c>
      <c r="I9" s="817">
        <v>1928051.25</v>
      </c>
      <c r="J9" s="692">
        <v>1989095.3599999999</v>
      </c>
      <c r="K9" s="912" t="s">
        <v>997</v>
      </c>
      <c r="L9" s="811">
        <v>-323471.31</v>
      </c>
      <c r="M9" s="913">
        <v>-584620</v>
      </c>
      <c r="N9" s="820"/>
      <c r="O9" s="840">
        <v>245987.35</v>
      </c>
      <c r="P9" s="813"/>
      <c r="Q9" s="822"/>
      <c r="R9" s="813"/>
      <c r="S9" s="822"/>
      <c r="T9" s="827">
        <f>+I9+L9+N9+R9+P9</f>
        <v>1604579.94</v>
      </c>
      <c r="U9" s="692">
        <f>+J9+M9+O9+S9+Q9</f>
        <v>1650462.71</v>
      </c>
      <c r="V9" s="967"/>
      <c r="W9" s="842"/>
      <c r="X9" s="696"/>
      <c r="Y9" s="698"/>
      <c r="Z9" s="965">
        <f t="shared" ref="Z9:Z11" si="1">IF((T9*Y9)&lt;V9,(T9*Y9),V9)</f>
        <v>0</v>
      </c>
      <c r="AA9" s="697">
        <v>0</v>
      </c>
      <c r="AB9" s="963">
        <f t="shared" ref="AB9:AC73" si="2">V9-Z9</f>
        <v>0</v>
      </c>
      <c r="AC9" s="700">
        <f t="shared" ref="AC9:AC72" si="3">W9-AA9</f>
        <v>0</v>
      </c>
      <c r="AD9" s="694">
        <f>AB9+T9</f>
        <v>1604579.94</v>
      </c>
      <c r="AE9" s="998">
        <f>AC9+U9</f>
        <v>1650462.71</v>
      </c>
      <c r="AG9" s="701">
        <f t="shared" ref="AG9:AG73" si="4">AD9-AE9</f>
        <v>-45882.770000000019</v>
      </c>
      <c r="AH9" s="701"/>
      <c r="AM9" s="680">
        <f t="shared" ref="AM9:AM73" si="5">T9-U9</f>
        <v>-45882.770000000019</v>
      </c>
      <c r="AV9" s="722">
        <f>Table2[[#This Row],[Total Claimed]]-Table2[[#This Row],[Sub-Total8]]</f>
        <v>0</v>
      </c>
      <c r="AW9" s="676" t="b">
        <f>AV9=Table2[[#This Row],[Balance11]]</f>
        <v>1</v>
      </c>
      <c r="AZ9" s="676" t="b">
        <f>[3]!Table2[[#This Row],[Total Certified ]]=Table2[[#This Row],[Total Certified ]]</f>
        <v>1</v>
      </c>
    </row>
    <row r="10" spans="1:52" ht="24" customHeight="1">
      <c r="A10" s="994">
        <f t="shared" ref="A10:A28" si="6">+A9+1</f>
        <v>3</v>
      </c>
      <c r="B10" s="689" t="s">
        <v>590</v>
      </c>
      <c r="C10" s="689" t="s">
        <v>591</v>
      </c>
      <c r="D10" s="780">
        <v>4111821</v>
      </c>
      <c r="E10" s="690" t="s">
        <v>585</v>
      </c>
      <c r="F10" s="695">
        <v>2018527.7337038834</v>
      </c>
      <c r="G10" s="817">
        <f t="shared" ref="G10:G28" si="7">I10-F10</f>
        <v>155333.13692854531</v>
      </c>
      <c r="H10" s="823">
        <f t="shared" si="0"/>
        <v>570516.13629611675</v>
      </c>
      <c r="I10" s="817">
        <v>2173860.8706324287</v>
      </c>
      <c r="J10" s="692">
        <v>2589043.87</v>
      </c>
      <c r="K10" s="912" t="s">
        <v>254</v>
      </c>
      <c r="L10" s="811">
        <v>-105010.54837845462</v>
      </c>
      <c r="M10" s="913">
        <v>-132458</v>
      </c>
      <c r="N10" s="820"/>
      <c r="O10" s="840"/>
      <c r="P10" s="813">
        <v>1190934.0247670929</v>
      </c>
      <c r="Q10" s="822">
        <v>1510031.7</v>
      </c>
      <c r="R10" s="813">
        <v>390366.33864913863</v>
      </c>
      <c r="S10" s="822">
        <f>561717.21-7905</f>
        <v>553812.21</v>
      </c>
      <c r="T10" s="827">
        <f t="shared" ref="T10:U28" si="8">+I10+L10+N10+R10+P10</f>
        <v>3650150.6856702059</v>
      </c>
      <c r="U10" s="692">
        <f>+J10+M10+O10+S10+Q10</f>
        <v>4520429.78</v>
      </c>
      <c r="V10" s="967"/>
      <c r="W10" s="842"/>
      <c r="X10" s="696"/>
      <c r="Y10" s="698"/>
      <c r="Z10" s="965">
        <f t="shared" si="1"/>
        <v>0</v>
      </c>
      <c r="AA10" s="697">
        <v>0</v>
      </c>
      <c r="AB10" s="963">
        <f t="shared" si="2"/>
        <v>0</v>
      </c>
      <c r="AC10" s="700">
        <f t="shared" si="3"/>
        <v>0</v>
      </c>
      <c r="AD10" s="694">
        <f t="shared" ref="AD10:AD28" si="9">AB10+T10</f>
        <v>3650150.6856702059</v>
      </c>
      <c r="AE10" s="998">
        <f t="shared" ref="AE10:AE73" si="10">AC10+U10</f>
        <v>4520429.78</v>
      </c>
      <c r="AG10" s="701">
        <f>AD10-AE10</f>
        <v>-870279.0943297944</v>
      </c>
      <c r="AM10" s="680">
        <f t="shared" si="5"/>
        <v>-870279.0943297944</v>
      </c>
      <c r="AV10" s="722">
        <f>Table2[[#This Row],[Total Claimed]]-Table2[[#This Row],[Sub-Total8]]</f>
        <v>0</v>
      </c>
      <c r="AW10" s="676" t="b">
        <f>AV10=Table2[[#This Row],[Balance11]]</f>
        <v>1</v>
      </c>
      <c r="AZ10" s="676" t="b">
        <f>[3]!Table2[[#This Row],[Total Certified ]]=Table2[[#This Row],[Total Certified ]]</f>
        <v>1</v>
      </c>
    </row>
    <row r="11" spans="1:52" ht="24" customHeight="1">
      <c r="A11" s="994">
        <f t="shared" si="6"/>
        <v>4</v>
      </c>
      <c r="B11" s="689" t="s">
        <v>592</v>
      </c>
      <c r="C11" s="689" t="s">
        <v>593</v>
      </c>
      <c r="D11" s="780">
        <v>1391469</v>
      </c>
      <c r="E11" s="690" t="s">
        <v>585</v>
      </c>
      <c r="F11" s="695">
        <v>595446.91463000001</v>
      </c>
      <c r="G11" s="817">
        <f>I11-F11</f>
        <v>150290.08536999999</v>
      </c>
      <c r="H11" s="823">
        <f t="shared" si="0"/>
        <v>224691.08536999999</v>
      </c>
      <c r="I11" s="817">
        <v>745737</v>
      </c>
      <c r="J11" s="692">
        <v>820138</v>
      </c>
      <c r="K11" s="912" t="s">
        <v>594</v>
      </c>
      <c r="L11" s="811"/>
      <c r="M11" s="913"/>
      <c r="N11" s="820"/>
      <c r="O11" s="840"/>
      <c r="P11" s="813"/>
      <c r="Q11" s="822"/>
      <c r="R11" s="813"/>
      <c r="S11" s="822"/>
      <c r="T11" s="827">
        <f t="shared" si="8"/>
        <v>745737</v>
      </c>
      <c r="U11" s="692">
        <f>+J11+M11+O11+S11+Q11</f>
        <v>820138</v>
      </c>
      <c r="V11" s="967"/>
      <c r="W11" s="842"/>
      <c r="X11" s="696"/>
      <c r="Y11" s="698"/>
      <c r="Z11" s="965">
        <f t="shared" si="1"/>
        <v>0</v>
      </c>
      <c r="AA11" s="697">
        <v>0</v>
      </c>
      <c r="AB11" s="963">
        <f t="shared" si="2"/>
        <v>0</v>
      </c>
      <c r="AC11" s="700">
        <f t="shared" si="3"/>
        <v>0</v>
      </c>
      <c r="AD11" s="694">
        <f t="shared" si="9"/>
        <v>745737</v>
      </c>
      <c r="AE11" s="998">
        <f t="shared" si="10"/>
        <v>820138</v>
      </c>
      <c r="AG11" s="701">
        <f t="shared" si="4"/>
        <v>-74401</v>
      </c>
      <c r="AM11" s="680">
        <f t="shared" si="5"/>
        <v>-74401</v>
      </c>
      <c r="AV11" s="722">
        <f>Table2[[#This Row],[Total Claimed]]-Table2[[#This Row],[Sub-Total8]]</f>
        <v>0</v>
      </c>
      <c r="AW11" s="676" t="b">
        <f>AV11=Table2[[#This Row],[Balance11]]</f>
        <v>1</v>
      </c>
      <c r="AZ11" s="676" t="b">
        <f>[3]!Table2[[#This Row],[Total Certified ]]=Table2[[#This Row],[Total Certified ]]</f>
        <v>1</v>
      </c>
    </row>
    <row r="12" spans="1:52" ht="24" customHeight="1">
      <c r="A12" s="994">
        <f t="shared" si="6"/>
        <v>5</v>
      </c>
      <c r="B12" s="689" t="s">
        <v>595</v>
      </c>
      <c r="C12" s="689" t="s">
        <v>596</v>
      </c>
      <c r="D12" s="780">
        <v>5169165</v>
      </c>
      <c r="E12" s="690" t="s">
        <v>585</v>
      </c>
      <c r="F12" s="695">
        <v>2200002.38192055</v>
      </c>
      <c r="G12" s="817">
        <f>I12-F12</f>
        <v>1296844.3180794502</v>
      </c>
      <c r="H12" s="823">
        <f t="shared" si="0"/>
        <v>1352154.61807945</v>
      </c>
      <c r="I12" s="817">
        <v>3496846.7</v>
      </c>
      <c r="J12" s="692">
        <v>3552157</v>
      </c>
      <c r="K12" s="912" t="s">
        <v>254</v>
      </c>
      <c r="L12" s="811">
        <v>-70679.77</v>
      </c>
      <c r="M12" s="913">
        <v>-635510.19999999995</v>
      </c>
      <c r="N12" s="820"/>
      <c r="O12" s="840"/>
      <c r="P12" s="813"/>
      <c r="Q12" s="822">
        <v>654013.23</v>
      </c>
      <c r="R12" s="813"/>
      <c r="S12" s="822">
        <v>-70679.77</v>
      </c>
      <c r="T12" s="827">
        <f>+I12+L12+N12+R12+P12</f>
        <v>3426166.93</v>
      </c>
      <c r="U12" s="692">
        <f t="shared" si="8"/>
        <v>3499980.26</v>
      </c>
      <c r="V12" s="967">
        <v>887874.75</v>
      </c>
      <c r="W12" s="842">
        <v>887874.75</v>
      </c>
      <c r="X12" s="696"/>
      <c r="Y12" s="698">
        <v>0.17499999999999999</v>
      </c>
      <c r="Z12" s="965">
        <f>IF((T12*Y12)&lt;V12,(T12*Y12),V12)</f>
        <v>599579.21274999995</v>
      </c>
      <c r="AA12" s="697">
        <v>612496.55000000005</v>
      </c>
      <c r="AB12" s="963">
        <f>V12-Z12</f>
        <v>288295.53725000005</v>
      </c>
      <c r="AC12" s="700">
        <f t="shared" si="3"/>
        <v>275378.19999999995</v>
      </c>
      <c r="AD12" s="694">
        <f>AB12+T12</f>
        <v>3714462.4672500002</v>
      </c>
      <c r="AE12" s="998">
        <f t="shared" si="10"/>
        <v>3775358.46</v>
      </c>
      <c r="AG12" s="701">
        <f t="shared" si="4"/>
        <v>-60895.992749999743</v>
      </c>
      <c r="AM12" s="680">
        <f t="shared" si="5"/>
        <v>-73813.329999999609</v>
      </c>
      <c r="AV12" s="722">
        <f>Table2[[#This Row],[Total Claimed]]-Table2[[#This Row],[Sub-Total8]]</f>
        <v>275378.20000000019</v>
      </c>
      <c r="AW12" s="676" t="b">
        <f>AV12=Table2[[#This Row],[Balance11]]</f>
        <v>1</v>
      </c>
      <c r="AZ12" s="676" t="b">
        <f>[3]!Table2[[#This Row],[Total Certified ]]=Table2[[#This Row],[Total Certified ]]</f>
        <v>1</v>
      </c>
    </row>
    <row r="13" spans="1:52" ht="24" customHeight="1">
      <c r="A13" s="994">
        <f t="shared" si="6"/>
        <v>6</v>
      </c>
      <c r="B13" s="689" t="s">
        <v>597</v>
      </c>
      <c r="C13" s="689" t="s">
        <v>598</v>
      </c>
      <c r="D13" s="780">
        <v>1155933</v>
      </c>
      <c r="E13" s="690" t="s">
        <v>585</v>
      </c>
      <c r="F13" s="695">
        <v>435538.73319690517</v>
      </c>
      <c r="G13" s="817">
        <f t="shared" si="7"/>
        <v>0</v>
      </c>
      <c r="H13" s="823">
        <f t="shared" si="0"/>
        <v>-5324.0531969051808</v>
      </c>
      <c r="I13" s="817">
        <v>435538.73319690517</v>
      </c>
      <c r="J13" s="692">
        <f>440809.82-S13</f>
        <v>430214.68</v>
      </c>
      <c r="K13" s="912" t="s">
        <v>991</v>
      </c>
      <c r="L13" s="811"/>
      <c r="M13" s="913"/>
      <c r="N13" s="820"/>
      <c r="O13" s="840"/>
      <c r="P13" s="813"/>
      <c r="Q13" s="822"/>
      <c r="R13" s="813"/>
      <c r="S13" s="822">
        <v>10595.14</v>
      </c>
      <c r="T13" s="827">
        <f>+I13+L13+N13+R13+P13</f>
        <v>435538.73319690517</v>
      </c>
      <c r="U13" s="692">
        <f t="shared" si="8"/>
        <v>440809.82</v>
      </c>
      <c r="V13" s="967"/>
      <c r="W13" s="842"/>
      <c r="X13" s="696"/>
      <c r="Y13" s="698"/>
      <c r="Z13" s="965">
        <f t="shared" ref="Z13:Z14" si="11">IF((T13*Y13)&lt;V13,(T13*Y13),V13)</f>
        <v>0</v>
      </c>
      <c r="AA13" s="697">
        <v>0</v>
      </c>
      <c r="AB13" s="963">
        <f t="shared" si="2"/>
        <v>0</v>
      </c>
      <c r="AC13" s="700">
        <f t="shared" si="3"/>
        <v>0</v>
      </c>
      <c r="AD13" s="694">
        <f t="shared" si="9"/>
        <v>435538.73319690517</v>
      </c>
      <c r="AE13" s="998">
        <f t="shared" si="10"/>
        <v>440809.82</v>
      </c>
      <c r="AG13" s="701">
        <f t="shared" si="4"/>
        <v>-5271.0868030948332</v>
      </c>
      <c r="AM13" s="680">
        <f t="shared" si="5"/>
        <v>-5271.0868030948332</v>
      </c>
      <c r="AV13" s="722">
        <f>Table2[[#This Row],[Total Claimed]]-Table2[[#This Row],[Sub-Total8]]</f>
        <v>0</v>
      </c>
      <c r="AW13" s="676" t="b">
        <f>AV13=Table2[[#This Row],[Balance11]]</f>
        <v>1</v>
      </c>
      <c r="AZ13" s="676" t="b">
        <f>[3]!Table2[[#This Row],[Total Certified ]]=Table2[[#This Row],[Total Certified ]]</f>
        <v>1</v>
      </c>
    </row>
    <row r="14" spans="1:52" ht="24" customHeight="1">
      <c r="A14" s="994">
        <f t="shared" si="6"/>
        <v>7</v>
      </c>
      <c r="B14" s="689" t="s">
        <v>599</v>
      </c>
      <c r="C14" s="689" t="s">
        <v>600</v>
      </c>
      <c r="D14" s="780">
        <v>3313028.6</v>
      </c>
      <c r="E14" s="690" t="s">
        <v>585</v>
      </c>
      <c r="F14" s="695">
        <v>1890383.0378701766</v>
      </c>
      <c r="G14" s="817">
        <f t="shared" si="7"/>
        <v>49370.212129823398</v>
      </c>
      <c r="H14" s="823">
        <f t="shared" si="0"/>
        <v>241367.91212982358</v>
      </c>
      <c r="I14" s="817">
        <v>1939753.25</v>
      </c>
      <c r="J14" s="692">
        <v>2131750.9500000002</v>
      </c>
      <c r="K14" s="912" t="s">
        <v>992</v>
      </c>
      <c r="L14" s="811"/>
      <c r="M14" s="913"/>
      <c r="N14" s="820"/>
      <c r="O14" s="840"/>
      <c r="P14" s="813"/>
      <c r="Q14" s="822"/>
      <c r="R14" s="813"/>
      <c r="S14" s="822"/>
      <c r="T14" s="827">
        <f t="shared" ref="T14" si="12">+I14+L14+N14+R14+P14</f>
        <v>1939753.25</v>
      </c>
      <c r="U14" s="692">
        <f t="shared" si="8"/>
        <v>2131750.9500000002</v>
      </c>
      <c r="V14" s="967">
        <v>162206.79999999999</v>
      </c>
      <c r="W14" s="842">
        <f>74402.5+87804.3</f>
        <v>162206.79999999999</v>
      </c>
      <c r="X14" s="696"/>
      <c r="Y14" s="698"/>
      <c r="Z14" s="965">
        <f t="shared" si="11"/>
        <v>0</v>
      </c>
      <c r="AA14" s="697">
        <v>0</v>
      </c>
      <c r="AB14" s="963">
        <f t="shared" si="2"/>
        <v>162206.79999999999</v>
      </c>
      <c r="AC14" s="700">
        <f t="shared" si="3"/>
        <v>162206.79999999999</v>
      </c>
      <c r="AD14" s="694">
        <f t="shared" si="9"/>
        <v>2101960.0499999998</v>
      </c>
      <c r="AE14" s="998">
        <f t="shared" si="10"/>
        <v>2293957.75</v>
      </c>
      <c r="AG14" s="701">
        <f t="shared" si="4"/>
        <v>-191997.70000000019</v>
      </c>
      <c r="AM14" s="680">
        <f t="shared" si="5"/>
        <v>-191997.70000000019</v>
      </c>
      <c r="AV14" s="722">
        <f>Table2[[#This Row],[Total Claimed]]-Table2[[#This Row],[Sub-Total8]]</f>
        <v>162206.79999999981</v>
      </c>
      <c r="AW14" s="676" t="b">
        <f>AV14=Table2[[#This Row],[Balance11]]</f>
        <v>1</v>
      </c>
      <c r="AZ14" s="676" t="b">
        <f>[3]!Table2[[#This Row],[Total Certified ]]=Table2[[#This Row],[Total Certified ]]</f>
        <v>1</v>
      </c>
    </row>
    <row r="15" spans="1:52" ht="24" customHeight="1">
      <c r="A15" s="994">
        <f t="shared" si="6"/>
        <v>8</v>
      </c>
      <c r="B15" s="689" t="s">
        <v>601</v>
      </c>
      <c r="C15" s="689" t="s">
        <v>602</v>
      </c>
      <c r="D15" s="780">
        <v>4556481</v>
      </c>
      <c r="E15" s="690" t="s">
        <v>585</v>
      </c>
      <c r="F15" s="695">
        <v>1457310.9376000001</v>
      </c>
      <c r="G15" s="817">
        <f t="shared" si="7"/>
        <v>-153052.15701176482</v>
      </c>
      <c r="H15" s="823">
        <f t="shared" si="0"/>
        <v>1016771.2024000001</v>
      </c>
      <c r="I15" s="817">
        <v>1304258.7805882352</v>
      </c>
      <c r="J15" s="692">
        <f>1832867.19+196848.06+444366.89</f>
        <v>2474082.14</v>
      </c>
      <c r="K15" s="912" t="s">
        <v>991</v>
      </c>
      <c r="L15" s="811"/>
      <c r="M15" s="913">
        <f>9538.24+33667.2+67005.66</f>
        <v>110211.1</v>
      </c>
      <c r="N15" s="820">
        <v>1100225.3600000001</v>
      </c>
      <c r="O15" s="840">
        <f>1055952.91</f>
        <v>1055952.9099999999</v>
      </c>
      <c r="P15" s="813">
        <v>433489</v>
      </c>
      <c r="Q15" s="822"/>
      <c r="R15" s="813">
        <v>1039660</v>
      </c>
      <c r="S15" s="822">
        <v>460469.88</v>
      </c>
      <c r="T15" s="827">
        <f>+I15+L15+N15+R15+P15</f>
        <v>3877633.1405882351</v>
      </c>
      <c r="U15" s="692">
        <f t="shared" si="8"/>
        <v>4100716.0300000003</v>
      </c>
      <c r="V15" s="967">
        <f>216955.15+144636</f>
        <v>361591.15</v>
      </c>
      <c r="W15" s="842">
        <v>216955.15</v>
      </c>
      <c r="X15" s="696">
        <v>0.2</v>
      </c>
      <c r="Y15" s="696">
        <v>0.2</v>
      </c>
      <c r="Z15" s="965">
        <f>AA15</f>
        <v>51137.25</v>
      </c>
      <c r="AA15" s="697">
        <v>51137.25</v>
      </c>
      <c r="AB15" s="963">
        <f t="shared" si="2"/>
        <v>310453.90000000002</v>
      </c>
      <c r="AC15" s="700">
        <f t="shared" si="3"/>
        <v>165817.9</v>
      </c>
      <c r="AD15" s="694">
        <f>AB15+T15</f>
        <v>4188087.040588235</v>
      </c>
      <c r="AE15" s="998">
        <f t="shared" si="10"/>
        <v>4266533.9300000006</v>
      </c>
      <c r="AG15" s="701">
        <f t="shared" si="4"/>
        <v>-78446.889411765616</v>
      </c>
      <c r="AM15" s="680">
        <f t="shared" si="5"/>
        <v>-223082.88941176515</v>
      </c>
      <c r="AV15" s="722">
        <f>Table2[[#This Row],[Total Claimed]]-Table2[[#This Row],[Sub-Total8]]</f>
        <v>165817.90000000037</v>
      </c>
      <c r="AW15" s="676" t="b">
        <f>AV15=Table2[[#This Row],[Balance11]]</f>
        <v>1</v>
      </c>
      <c r="AZ15" s="676" t="b">
        <f>[3]!Table2[[#This Row],[Total Certified ]]=Table2[[#This Row],[Total Certified ]]</f>
        <v>1</v>
      </c>
    </row>
    <row r="16" spans="1:52" ht="24" customHeight="1">
      <c r="A16" s="994">
        <f t="shared" si="6"/>
        <v>9</v>
      </c>
      <c r="B16" s="689" t="s">
        <v>603</v>
      </c>
      <c r="C16" s="689" t="s">
        <v>604</v>
      </c>
      <c r="D16" s="780">
        <v>1538156.94</v>
      </c>
      <c r="E16" s="690" t="s">
        <v>585</v>
      </c>
      <c r="F16" s="708">
        <v>533886.07979408279</v>
      </c>
      <c r="G16" s="817">
        <f t="shared" si="7"/>
        <v>93707.666728593642</v>
      </c>
      <c r="H16" s="823">
        <f t="shared" si="0"/>
        <v>6813.7002059173537</v>
      </c>
      <c r="I16" s="817">
        <v>627593.74652267643</v>
      </c>
      <c r="J16" s="692">
        <f>1492192.86-Table2[[#This Row],[Variations
WFA6]]-Table2[[#This Row],[Variations
KCE7]]</f>
        <v>540699.78000000014</v>
      </c>
      <c r="K16" s="912" t="s">
        <v>605</v>
      </c>
      <c r="L16" s="811"/>
      <c r="M16" s="913"/>
      <c r="N16" s="820"/>
      <c r="O16" s="840"/>
      <c r="P16" s="813">
        <v>118303.11521457162</v>
      </c>
      <c r="Q16" s="822">
        <f>120124.91-13173</f>
        <v>106951.91</v>
      </c>
      <c r="R16" s="813">
        <v>533318.31295925193</v>
      </c>
      <c r="S16" s="822">
        <v>844541.17</v>
      </c>
      <c r="T16" s="827">
        <f>+I16+L16+N16+R16+P16</f>
        <v>1279215.1746964999</v>
      </c>
      <c r="U16" s="692">
        <f t="shared" si="8"/>
        <v>1492192.86</v>
      </c>
      <c r="V16" s="967">
        <v>153815.69</v>
      </c>
      <c r="W16" s="842">
        <v>153815.69</v>
      </c>
      <c r="X16" s="696"/>
      <c r="Y16" s="698">
        <v>0.1</v>
      </c>
      <c r="Z16" s="965">
        <f>IF((T16*Y16)&lt;V16,(T16*Y16),V16)</f>
        <v>127921.51746965</v>
      </c>
      <c r="AA16" s="697">
        <v>149219.29</v>
      </c>
      <c r="AB16" s="963">
        <f t="shared" si="2"/>
        <v>25894.172530349999</v>
      </c>
      <c r="AC16" s="700">
        <f t="shared" si="3"/>
        <v>4596.3999999999942</v>
      </c>
      <c r="AD16" s="694">
        <f t="shared" si="9"/>
        <v>1305109.34722685</v>
      </c>
      <c r="AE16" s="998">
        <f t="shared" si="10"/>
        <v>1496789.26</v>
      </c>
      <c r="AG16" s="701">
        <f t="shared" si="4"/>
        <v>-191679.91277315002</v>
      </c>
      <c r="AM16" s="680">
        <f t="shared" si="5"/>
        <v>-212977.68530350015</v>
      </c>
      <c r="AV16" s="722">
        <f>Table2[[#This Row],[Total Claimed]]-Table2[[#This Row],[Sub-Total8]]</f>
        <v>4596.3999999999069</v>
      </c>
      <c r="AW16" s="676" t="b">
        <f>AV16=Table2[[#This Row],[Balance11]]</f>
        <v>0</v>
      </c>
      <c r="AZ16" s="676" t="b">
        <f>[3]!Table2[[#This Row],[Total Certified ]]=Table2[[#This Row],[Total Certified ]]</f>
        <v>1</v>
      </c>
    </row>
    <row r="17" spans="1:52" ht="32" customHeight="1">
      <c r="A17" s="994">
        <f t="shared" si="6"/>
        <v>10</v>
      </c>
      <c r="B17" s="699" t="s">
        <v>606</v>
      </c>
      <c r="C17" s="702" t="s">
        <v>607</v>
      </c>
      <c r="D17" s="780">
        <v>4325954.46</v>
      </c>
      <c r="E17" s="690" t="s">
        <v>585</v>
      </c>
      <c r="F17" s="695">
        <v>2201327.54</v>
      </c>
      <c r="G17" s="817">
        <f t="shared" si="7"/>
        <v>439962.98999999976</v>
      </c>
      <c r="H17" s="823">
        <f t="shared" si="0"/>
        <v>457282.37999999989</v>
      </c>
      <c r="I17" s="817">
        <v>2641290.5299999998</v>
      </c>
      <c r="J17" s="692">
        <v>2658609.92</v>
      </c>
      <c r="K17" s="912" t="s">
        <v>254</v>
      </c>
      <c r="L17" s="811"/>
      <c r="M17" s="913"/>
      <c r="N17" s="820"/>
      <c r="O17" s="840"/>
      <c r="P17" s="813"/>
      <c r="Q17" s="822"/>
      <c r="R17" s="813">
        <v>150733</v>
      </c>
      <c r="S17" s="822">
        <v>215884.6</v>
      </c>
      <c r="T17" s="827">
        <f t="shared" si="8"/>
        <v>2792023.53</v>
      </c>
      <c r="U17" s="692">
        <f t="shared" si="8"/>
        <v>2874494.52</v>
      </c>
      <c r="V17" s="967"/>
      <c r="W17" s="842"/>
      <c r="X17" s="696"/>
      <c r="Y17" s="698"/>
      <c r="Z17" s="965">
        <f t="shared" ref="Z17:Z19" si="13">IF((T17*Y17)&lt;V17,(T17*Y17),V17)</f>
        <v>0</v>
      </c>
      <c r="AA17" s="697">
        <v>0</v>
      </c>
      <c r="AB17" s="963">
        <f t="shared" si="2"/>
        <v>0</v>
      </c>
      <c r="AC17" s="700">
        <f t="shared" si="3"/>
        <v>0</v>
      </c>
      <c r="AD17" s="694">
        <f t="shared" si="9"/>
        <v>2792023.53</v>
      </c>
      <c r="AE17" s="998">
        <f t="shared" si="10"/>
        <v>2874494.52</v>
      </c>
      <c r="AG17" s="701">
        <f t="shared" si="4"/>
        <v>-82470.990000000224</v>
      </c>
      <c r="AM17" s="680">
        <f t="shared" si="5"/>
        <v>-82470.990000000224</v>
      </c>
      <c r="AV17" s="722">
        <f>Table2[[#This Row],[Total Claimed]]-Table2[[#This Row],[Sub-Total8]]</f>
        <v>0</v>
      </c>
      <c r="AW17" s="676" t="b">
        <f>AV17=Table2[[#This Row],[Balance11]]</f>
        <v>1</v>
      </c>
      <c r="AZ17" s="676" t="b">
        <f>[3]!Table2[[#This Row],[Total Certified ]]=Table2[[#This Row],[Total Certified ]]</f>
        <v>1</v>
      </c>
    </row>
    <row r="18" spans="1:52" ht="24" customHeight="1">
      <c r="A18" s="994">
        <f t="shared" si="6"/>
        <v>11</v>
      </c>
      <c r="B18" s="689" t="s">
        <v>608</v>
      </c>
      <c r="C18" s="689" t="s">
        <v>609</v>
      </c>
      <c r="D18" s="780">
        <v>1954843</v>
      </c>
      <c r="E18" s="690" t="s">
        <v>585</v>
      </c>
      <c r="F18" s="695">
        <v>952027.94449999975</v>
      </c>
      <c r="G18" s="817">
        <f>I18-F18</f>
        <v>105139.79190000007</v>
      </c>
      <c r="H18" s="823">
        <f t="shared" si="0"/>
        <v>161481.59550000029</v>
      </c>
      <c r="I18" s="817">
        <v>1057167.7363999998</v>
      </c>
      <c r="J18" s="692">
        <v>1113509.54</v>
      </c>
      <c r="K18" s="912" t="s">
        <v>254</v>
      </c>
      <c r="L18" s="811"/>
      <c r="M18" s="913"/>
      <c r="N18" s="820"/>
      <c r="O18" s="840"/>
      <c r="P18" s="813"/>
      <c r="Q18" s="822"/>
      <c r="R18" s="813">
        <f>1946115.152514+130906.8</f>
        <v>2077021.952514</v>
      </c>
      <c r="S18" s="822">
        <f>2218007.35+130906.8</f>
        <v>2348914.15</v>
      </c>
      <c r="T18" s="827">
        <f t="shared" si="8"/>
        <v>3134189.6889140001</v>
      </c>
      <c r="U18" s="692">
        <f t="shared" si="8"/>
        <v>3462423.69</v>
      </c>
      <c r="V18" s="967"/>
      <c r="W18" s="842"/>
      <c r="X18" s="696"/>
      <c r="Y18" s="698"/>
      <c r="Z18" s="965">
        <f t="shared" si="13"/>
        <v>0</v>
      </c>
      <c r="AA18" s="697">
        <v>0</v>
      </c>
      <c r="AB18" s="963">
        <f t="shared" si="2"/>
        <v>0</v>
      </c>
      <c r="AC18" s="700">
        <f t="shared" si="3"/>
        <v>0</v>
      </c>
      <c r="AD18" s="694">
        <f t="shared" si="9"/>
        <v>3134189.6889140001</v>
      </c>
      <c r="AE18" s="998">
        <f t="shared" si="10"/>
        <v>3462423.69</v>
      </c>
      <c r="AG18" s="701">
        <f t="shared" si="4"/>
        <v>-328234.00108599989</v>
      </c>
      <c r="AM18" s="680">
        <f t="shared" si="5"/>
        <v>-328234.00108599989</v>
      </c>
      <c r="AV18" s="722">
        <f>Table2[[#This Row],[Total Claimed]]-Table2[[#This Row],[Sub-Total8]]</f>
        <v>0</v>
      </c>
      <c r="AW18" s="676" t="b">
        <f>AV18=Table2[[#This Row],[Balance11]]</f>
        <v>1</v>
      </c>
      <c r="AZ18" s="676" t="b">
        <f>[3]!Table2[[#This Row],[Total Certified ]]=Table2[[#This Row],[Total Certified ]]</f>
        <v>1</v>
      </c>
    </row>
    <row r="19" spans="1:52" ht="24" customHeight="1">
      <c r="A19" s="994">
        <f t="shared" si="6"/>
        <v>12</v>
      </c>
      <c r="B19" s="689" t="s">
        <v>610</v>
      </c>
      <c r="C19" s="689" t="s">
        <v>611</v>
      </c>
      <c r="D19" s="780">
        <v>999150</v>
      </c>
      <c r="E19" s="690" t="s">
        <v>585</v>
      </c>
      <c r="F19" s="695">
        <v>0</v>
      </c>
      <c r="G19" s="817">
        <f t="shared" si="7"/>
        <v>0</v>
      </c>
      <c r="H19" s="823">
        <f t="shared" si="0"/>
        <v>0</v>
      </c>
      <c r="I19" s="817">
        <v>0</v>
      </c>
      <c r="J19" s="692">
        <v>0</v>
      </c>
      <c r="K19" s="912" t="s">
        <v>996</v>
      </c>
      <c r="L19" s="811"/>
      <c r="M19" s="913"/>
      <c r="N19" s="820"/>
      <c r="O19" s="840"/>
      <c r="P19" s="813"/>
      <c r="Q19" s="822"/>
      <c r="R19" s="813"/>
      <c r="S19" s="822"/>
      <c r="T19" s="827">
        <f t="shared" si="8"/>
        <v>0</v>
      </c>
      <c r="U19" s="692">
        <f t="shared" si="8"/>
        <v>0</v>
      </c>
      <c r="V19" s="967">
        <v>199830</v>
      </c>
      <c r="W19" s="842">
        <v>199830</v>
      </c>
      <c r="X19" s="696"/>
      <c r="Y19" s="698"/>
      <c r="Z19" s="965">
        <f t="shared" si="13"/>
        <v>0</v>
      </c>
      <c r="AA19" s="697">
        <v>0</v>
      </c>
      <c r="AB19" s="963">
        <f t="shared" si="2"/>
        <v>199830</v>
      </c>
      <c r="AC19" s="700">
        <f t="shared" si="3"/>
        <v>199830</v>
      </c>
      <c r="AD19" s="694">
        <f t="shared" si="9"/>
        <v>199830</v>
      </c>
      <c r="AE19" s="998">
        <f t="shared" si="10"/>
        <v>199830</v>
      </c>
      <c r="AG19" s="701">
        <f t="shared" si="4"/>
        <v>0</v>
      </c>
      <c r="AM19" s="680">
        <f t="shared" si="5"/>
        <v>0</v>
      </c>
      <c r="AV19" s="722">
        <f>Table2[[#This Row],[Total Claimed]]-Table2[[#This Row],[Sub-Total8]]</f>
        <v>199830</v>
      </c>
      <c r="AW19" s="676" t="b">
        <f>AV19=Table2[[#This Row],[Balance11]]</f>
        <v>1</v>
      </c>
      <c r="AZ19" s="676" t="b">
        <f>[3]!Table2[[#This Row],[Total Certified ]]=Table2[[#This Row],[Total Certified ]]</f>
        <v>1</v>
      </c>
    </row>
    <row r="20" spans="1:52" ht="24" customHeight="1">
      <c r="A20" s="994">
        <f t="shared" si="6"/>
        <v>13</v>
      </c>
      <c r="B20" s="689" t="s">
        <v>613</v>
      </c>
      <c r="C20" s="689" t="s">
        <v>614</v>
      </c>
      <c r="D20" s="780">
        <v>1262387</v>
      </c>
      <c r="E20" s="690" t="s">
        <v>585</v>
      </c>
      <c r="F20" s="708">
        <v>413177.76793906442</v>
      </c>
      <c r="G20" s="817">
        <f t="shared" si="7"/>
        <v>66368.112060935586</v>
      </c>
      <c r="H20" s="823">
        <f t="shared" si="0"/>
        <v>190673.84206093557</v>
      </c>
      <c r="I20" s="817">
        <v>479545.88</v>
      </c>
      <c r="J20" s="692">
        <v>603851.61</v>
      </c>
      <c r="K20" s="912" t="s">
        <v>254</v>
      </c>
      <c r="L20" s="811"/>
      <c r="M20" s="913"/>
      <c r="N20" s="820"/>
      <c r="O20" s="840"/>
      <c r="P20" s="813"/>
      <c r="Q20" s="822"/>
      <c r="R20" s="813">
        <v>394</v>
      </c>
      <c r="S20" s="822">
        <v>394</v>
      </c>
      <c r="T20" s="827">
        <f t="shared" si="8"/>
        <v>479939.88</v>
      </c>
      <c r="U20" s="692">
        <f t="shared" si="8"/>
        <v>604245.61</v>
      </c>
      <c r="V20" s="967">
        <v>252477.40000000002</v>
      </c>
      <c r="W20" s="842">
        <v>252477.40000000002</v>
      </c>
      <c r="X20" s="696"/>
      <c r="Y20" s="698">
        <v>0.2</v>
      </c>
      <c r="Z20" s="965">
        <f>IF((T20*Y20)&lt;V20,(T20*Y20),V20)</f>
        <v>95987.97600000001</v>
      </c>
      <c r="AA20" s="697">
        <v>120849.11</v>
      </c>
      <c r="AB20" s="963">
        <f t="shared" si="2"/>
        <v>156489.424</v>
      </c>
      <c r="AC20" s="700">
        <f t="shared" si="3"/>
        <v>131628.29000000004</v>
      </c>
      <c r="AD20" s="694">
        <f t="shared" si="9"/>
        <v>636429.304</v>
      </c>
      <c r="AE20" s="998">
        <f t="shared" si="10"/>
        <v>735873.9</v>
      </c>
      <c r="AG20" s="701">
        <f t="shared" si="4"/>
        <v>-99444.59600000002</v>
      </c>
      <c r="AM20" s="680">
        <f t="shared" si="5"/>
        <v>-124305.72999999998</v>
      </c>
      <c r="AV20" s="722">
        <f>Table2[[#This Row],[Total Claimed]]-Table2[[#This Row],[Sub-Total8]]</f>
        <v>131628.29000000004</v>
      </c>
      <c r="AW20" s="676" t="b">
        <f>AV20=Table2[[#This Row],[Balance11]]</f>
        <v>1</v>
      </c>
      <c r="AZ20" s="676" t="b">
        <f>[3]!Table2[[#This Row],[Total Certified ]]=Table2[[#This Row],[Total Certified ]]</f>
        <v>1</v>
      </c>
    </row>
    <row r="21" spans="1:52" ht="24" customHeight="1">
      <c r="A21" s="994">
        <f t="shared" si="6"/>
        <v>14</v>
      </c>
      <c r="B21" s="689" t="s">
        <v>615</v>
      </c>
      <c r="C21" s="689" t="s">
        <v>616</v>
      </c>
      <c r="D21" s="780">
        <v>712173.7</v>
      </c>
      <c r="E21" s="690" t="s">
        <v>585</v>
      </c>
      <c r="F21" s="695">
        <v>0</v>
      </c>
      <c r="G21" s="817">
        <f t="shared" si="7"/>
        <v>0</v>
      </c>
      <c r="H21" s="823">
        <f t="shared" si="0"/>
        <v>0</v>
      </c>
      <c r="I21" s="817">
        <v>0</v>
      </c>
      <c r="J21" s="692">
        <v>0</v>
      </c>
      <c r="K21" s="912" t="s">
        <v>254</v>
      </c>
      <c r="L21" s="811"/>
      <c r="M21" s="913"/>
      <c r="N21" s="820">
        <v>406956.4</v>
      </c>
      <c r="O21" s="840">
        <v>406956.4</v>
      </c>
      <c r="P21" s="813"/>
      <c r="Q21" s="822"/>
      <c r="R21" s="813"/>
      <c r="S21" s="822"/>
      <c r="T21" s="827">
        <f t="shared" si="8"/>
        <v>406956.4</v>
      </c>
      <c r="U21" s="692">
        <f t="shared" si="8"/>
        <v>406956.4</v>
      </c>
      <c r="V21" s="967">
        <v>282376.94</v>
      </c>
      <c r="W21" s="842">
        <v>282376.94</v>
      </c>
      <c r="X21" s="696"/>
      <c r="Y21" s="698"/>
      <c r="Z21" s="965">
        <f t="shared" ref="Z21:Z27" si="14">IF((T21*Y21)&lt;V21,(T21*Y21),V21)</f>
        <v>0</v>
      </c>
      <c r="AA21" s="697">
        <v>0</v>
      </c>
      <c r="AB21" s="963">
        <f t="shared" si="2"/>
        <v>282376.94</v>
      </c>
      <c r="AC21" s="700">
        <f t="shared" si="3"/>
        <v>282376.94</v>
      </c>
      <c r="AD21" s="694">
        <f t="shared" si="9"/>
        <v>689333.34000000008</v>
      </c>
      <c r="AE21" s="998">
        <f t="shared" si="10"/>
        <v>689333.34000000008</v>
      </c>
      <c r="AG21" s="701">
        <f t="shared" si="4"/>
        <v>0</v>
      </c>
      <c r="AM21" s="680">
        <f t="shared" si="5"/>
        <v>0</v>
      </c>
      <c r="AV21" s="722">
        <f>Table2[[#This Row],[Total Claimed]]-Table2[[#This Row],[Sub-Total8]]</f>
        <v>282376.94000000006</v>
      </c>
      <c r="AW21" s="676" t="b">
        <f>AV21=Table2[[#This Row],[Balance11]]</f>
        <v>1</v>
      </c>
      <c r="AZ21" s="676" t="b">
        <f>[3]!Table2[[#This Row],[Total Certified ]]=Table2[[#This Row],[Total Certified ]]</f>
        <v>1</v>
      </c>
    </row>
    <row r="22" spans="1:52" ht="24" customHeight="1">
      <c r="A22" s="994">
        <f t="shared" si="6"/>
        <v>15</v>
      </c>
      <c r="B22" s="689" t="s">
        <v>617</v>
      </c>
      <c r="C22" s="689" t="s">
        <v>618</v>
      </c>
      <c r="D22" s="780">
        <v>839675.05</v>
      </c>
      <c r="E22" s="690" t="s">
        <v>585</v>
      </c>
      <c r="F22" s="708">
        <v>532781.07142857136</v>
      </c>
      <c r="G22" s="817">
        <f t="shared" si="7"/>
        <v>0</v>
      </c>
      <c r="H22" s="823">
        <f t="shared" si="0"/>
        <v>84540.638571428601</v>
      </c>
      <c r="I22" s="817">
        <v>532781.07142857136</v>
      </c>
      <c r="J22" s="692">
        <f>617321.71-Q22</f>
        <v>617321.71</v>
      </c>
      <c r="K22" s="912" t="s">
        <v>254</v>
      </c>
      <c r="L22" s="811"/>
      <c r="M22" s="913"/>
      <c r="N22" s="820"/>
      <c r="O22" s="840"/>
      <c r="P22" s="975">
        <v>23097.25</v>
      </c>
      <c r="Q22" s="822"/>
      <c r="R22" s="813"/>
      <c r="S22" s="822"/>
      <c r="T22" s="827">
        <f>+I22+L22+N22+R22+P22</f>
        <v>555878.32142857136</v>
      </c>
      <c r="U22" s="692">
        <f>+J22+M22+O22+S22+Q22</f>
        <v>617321.71</v>
      </c>
      <c r="V22" s="968"/>
      <c r="W22" s="842"/>
      <c r="X22" s="696"/>
      <c r="Y22" s="698"/>
      <c r="Z22" s="965">
        <f t="shared" si="14"/>
        <v>0</v>
      </c>
      <c r="AA22" s="697">
        <v>0</v>
      </c>
      <c r="AB22" s="963">
        <f t="shared" si="2"/>
        <v>0</v>
      </c>
      <c r="AC22" s="700">
        <f t="shared" si="3"/>
        <v>0</v>
      </c>
      <c r="AD22" s="694">
        <f t="shared" si="9"/>
        <v>555878.32142857136</v>
      </c>
      <c r="AE22" s="998">
        <f>AC22+U22</f>
        <v>617321.71</v>
      </c>
      <c r="AG22" s="701">
        <f t="shared" si="4"/>
        <v>-61443.388571428601</v>
      </c>
      <c r="AM22" s="680">
        <f t="shared" si="5"/>
        <v>-61443.388571428601</v>
      </c>
      <c r="AV22" s="722">
        <f>Table2[[#This Row],[Total Claimed]]-Table2[[#This Row],[Sub-Total8]]</f>
        <v>0</v>
      </c>
      <c r="AW22" s="676" t="b">
        <f>AV22=Table2[[#This Row],[Balance11]]</f>
        <v>1</v>
      </c>
      <c r="AZ22" s="676" t="b">
        <f>[3]!Table2[[#This Row],[Total Certified ]]=Table2[[#This Row],[Total Certified ]]</f>
        <v>1</v>
      </c>
    </row>
    <row r="23" spans="1:52" ht="24" customHeight="1">
      <c r="A23" s="994">
        <f t="shared" si="6"/>
        <v>16</v>
      </c>
      <c r="B23" s="689" t="s">
        <v>619</v>
      </c>
      <c r="C23" s="689" t="s">
        <v>620</v>
      </c>
      <c r="D23" s="780">
        <v>4155655</v>
      </c>
      <c r="E23" s="690" t="s">
        <v>585</v>
      </c>
      <c r="F23" s="695">
        <v>992203</v>
      </c>
      <c r="G23" s="817">
        <f t="shared" si="7"/>
        <v>339687</v>
      </c>
      <c r="H23" s="823">
        <f t="shared" si="0"/>
        <v>339687</v>
      </c>
      <c r="I23" s="817">
        <v>1331890</v>
      </c>
      <c r="J23" s="692">
        <v>1331890</v>
      </c>
      <c r="K23" s="912" t="s">
        <v>621</v>
      </c>
      <c r="L23" s="811">
        <v>0</v>
      </c>
      <c r="M23" s="913"/>
      <c r="N23" s="820"/>
      <c r="O23" s="840"/>
      <c r="P23" s="813"/>
      <c r="Q23" s="822"/>
      <c r="R23" s="813">
        <v>112133</v>
      </c>
      <c r="S23" s="822">
        <v>112133</v>
      </c>
      <c r="T23" s="827">
        <f t="shared" si="8"/>
        <v>1444023</v>
      </c>
      <c r="U23" s="692">
        <f t="shared" si="8"/>
        <v>1444023</v>
      </c>
      <c r="V23" s="967"/>
      <c r="W23" s="842"/>
      <c r="X23" s="696"/>
      <c r="Y23" s="698"/>
      <c r="Z23" s="965">
        <f t="shared" si="14"/>
        <v>0</v>
      </c>
      <c r="AA23" s="697">
        <v>0</v>
      </c>
      <c r="AB23" s="963">
        <f t="shared" si="2"/>
        <v>0</v>
      </c>
      <c r="AC23" s="700">
        <f t="shared" si="3"/>
        <v>0</v>
      </c>
      <c r="AD23" s="694">
        <f t="shared" si="9"/>
        <v>1444023</v>
      </c>
      <c r="AE23" s="998">
        <f t="shared" si="10"/>
        <v>1444023</v>
      </c>
      <c r="AG23" s="701">
        <f t="shared" si="4"/>
        <v>0</v>
      </c>
      <c r="AM23" s="680">
        <f t="shared" si="5"/>
        <v>0</v>
      </c>
      <c r="AV23" s="722">
        <f>Table2[[#This Row],[Total Claimed]]-Table2[[#This Row],[Sub-Total8]]</f>
        <v>0</v>
      </c>
      <c r="AW23" s="676" t="b">
        <f>AV23=Table2[[#This Row],[Balance11]]</f>
        <v>1</v>
      </c>
      <c r="AZ23" s="676" t="b">
        <f>[3]!Table2[[#This Row],[Total Certified ]]=Table2[[#This Row],[Total Certified ]]</f>
        <v>1</v>
      </c>
    </row>
    <row r="24" spans="1:52" ht="24" customHeight="1">
      <c r="A24" s="994">
        <f t="shared" si="6"/>
        <v>17</v>
      </c>
      <c r="B24" s="689" t="s">
        <v>622</v>
      </c>
      <c r="C24" s="689" t="s">
        <v>623</v>
      </c>
      <c r="D24" s="780">
        <v>10273402</v>
      </c>
      <c r="E24" s="690" t="s">
        <v>585</v>
      </c>
      <c r="F24" s="695">
        <v>2702885.2974983715</v>
      </c>
      <c r="G24" s="817">
        <f t="shared" si="7"/>
        <v>127616.31250162842</v>
      </c>
      <c r="H24" s="823">
        <f t="shared" si="0"/>
        <v>780729.52250162885</v>
      </c>
      <c r="I24" s="817">
        <v>2830501.61</v>
      </c>
      <c r="J24" s="692">
        <f>33333.31+1725056.37+1725225.14</f>
        <v>3483614.8200000003</v>
      </c>
      <c r="K24" s="912" t="s">
        <v>624</v>
      </c>
      <c r="L24" s="811">
        <v>-847423</v>
      </c>
      <c r="M24" s="913">
        <v>-847423.46</v>
      </c>
      <c r="N24" s="820"/>
      <c r="O24" s="840"/>
      <c r="P24" s="813">
        <v>3187310</v>
      </c>
      <c r="Q24" s="822">
        <f>1379058+523690.91+1973546.5</f>
        <v>3876295.41</v>
      </c>
      <c r="R24" s="813">
        <v>286258</v>
      </c>
      <c r="S24" s="822">
        <v>406787.82</v>
      </c>
      <c r="T24" s="827">
        <f t="shared" si="8"/>
        <v>5456646.6099999994</v>
      </c>
      <c r="U24" s="692">
        <f t="shared" si="8"/>
        <v>6919274.5899999999</v>
      </c>
      <c r="V24" s="967"/>
      <c r="W24" s="842"/>
      <c r="X24" s="696"/>
      <c r="Y24" s="698"/>
      <c r="Z24" s="965">
        <f t="shared" si="14"/>
        <v>0</v>
      </c>
      <c r="AA24" s="697">
        <v>0</v>
      </c>
      <c r="AB24" s="963">
        <f t="shared" si="2"/>
        <v>0</v>
      </c>
      <c r="AC24" s="700">
        <f t="shared" si="3"/>
        <v>0</v>
      </c>
      <c r="AD24" s="694">
        <f t="shared" si="9"/>
        <v>5456646.6099999994</v>
      </c>
      <c r="AE24" s="998">
        <f t="shared" si="10"/>
        <v>6919274.5899999999</v>
      </c>
      <c r="AG24" s="701">
        <f t="shared" si="4"/>
        <v>-1462627.9800000004</v>
      </c>
      <c r="AM24" s="680">
        <f t="shared" si="5"/>
        <v>-1462627.9800000004</v>
      </c>
      <c r="AV24" s="722">
        <f>Table2[[#This Row],[Total Claimed]]-Table2[[#This Row],[Sub-Total8]]</f>
        <v>0</v>
      </c>
      <c r="AW24" s="676" t="b">
        <f>AV24=Table2[[#This Row],[Balance11]]</f>
        <v>1</v>
      </c>
      <c r="AZ24" s="676" t="b">
        <f>[3]!Table2[[#This Row],[Total Certified ]]=Table2[[#This Row],[Total Certified ]]</f>
        <v>1</v>
      </c>
    </row>
    <row r="25" spans="1:52" ht="24" customHeight="1">
      <c r="A25" s="994">
        <f t="shared" si="6"/>
        <v>18</v>
      </c>
      <c r="B25" s="689" t="s">
        <v>625</v>
      </c>
      <c r="C25" s="689" t="s">
        <v>626</v>
      </c>
      <c r="D25" s="780">
        <v>628861</v>
      </c>
      <c r="E25" s="690" t="s">
        <v>585</v>
      </c>
      <c r="F25" s="695">
        <v>0</v>
      </c>
      <c r="G25" s="817">
        <f t="shared" si="7"/>
        <v>204605.8</v>
      </c>
      <c r="H25" s="823">
        <f t="shared" si="0"/>
        <v>204605.8</v>
      </c>
      <c r="I25" s="817">
        <v>204605.8</v>
      </c>
      <c r="J25" s="692">
        <v>204605.8</v>
      </c>
      <c r="K25" s="912" t="s">
        <v>993</v>
      </c>
      <c r="L25" s="811"/>
      <c r="M25" s="913"/>
      <c r="N25" s="820"/>
      <c r="O25" s="840"/>
      <c r="P25" s="813"/>
      <c r="Q25" s="822"/>
      <c r="R25" s="813"/>
      <c r="S25" s="822"/>
      <c r="T25" s="827">
        <f t="shared" si="8"/>
        <v>204605.8</v>
      </c>
      <c r="U25" s="692">
        <f t="shared" si="8"/>
        <v>204605.8</v>
      </c>
      <c r="V25" s="967"/>
      <c r="W25" s="842"/>
      <c r="X25" s="696"/>
      <c r="Y25" s="698"/>
      <c r="Z25" s="965">
        <f t="shared" si="14"/>
        <v>0</v>
      </c>
      <c r="AA25" s="697">
        <v>0</v>
      </c>
      <c r="AB25" s="963">
        <f t="shared" si="2"/>
        <v>0</v>
      </c>
      <c r="AC25" s="700">
        <f t="shared" si="3"/>
        <v>0</v>
      </c>
      <c r="AD25" s="694">
        <f>AB25+T25</f>
        <v>204605.8</v>
      </c>
      <c r="AE25" s="998">
        <f t="shared" si="10"/>
        <v>204605.8</v>
      </c>
      <c r="AG25" s="701">
        <f t="shared" si="4"/>
        <v>0</v>
      </c>
      <c r="AM25" s="680">
        <f t="shared" si="5"/>
        <v>0</v>
      </c>
      <c r="AV25" s="722">
        <f>Table2[[#This Row],[Total Claimed]]-Table2[[#This Row],[Sub-Total8]]</f>
        <v>0</v>
      </c>
      <c r="AW25" s="676" t="b">
        <f>AV25=Table2[[#This Row],[Balance11]]</f>
        <v>1</v>
      </c>
      <c r="AZ25" s="676" t="b">
        <f>[3]!Table2[[#This Row],[Total Certified ]]=Table2[[#This Row],[Total Certified ]]</f>
        <v>1</v>
      </c>
    </row>
    <row r="26" spans="1:52" ht="24" customHeight="1">
      <c r="A26" s="994">
        <f t="shared" si="6"/>
        <v>19</v>
      </c>
      <c r="B26" s="689" t="s">
        <v>627</v>
      </c>
      <c r="C26" s="689" t="s">
        <v>628</v>
      </c>
      <c r="D26" s="780">
        <v>287122</v>
      </c>
      <c r="E26" s="690" t="s">
        <v>585</v>
      </c>
      <c r="F26" s="695">
        <v>140609.4</v>
      </c>
      <c r="G26" s="817">
        <f t="shared" si="7"/>
        <v>0</v>
      </c>
      <c r="H26" s="823">
        <f t="shared" si="0"/>
        <v>22652.200000000012</v>
      </c>
      <c r="I26" s="817">
        <f>F26</f>
        <v>140609.4</v>
      </c>
      <c r="J26" s="692">
        <v>163261.6</v>
      </c>
      <c r="K26" s="912" t="s">
        <v>160</v>
      </c>
      <c r="L26" s="811"/>
      <c r="M26" s="913"/>
      <c r="N26" s="820"/>
      <c r="O26" s="840"/>
      <c r="P26" s="813"/>
      <c r="Q26" s="822"/>
      <c r="R26" s="813"/>
      <c r="S26" s="822"/>
      <c r="T26" s="827">
        <f t="shared" si="8"/>
        <v>140609.4</v>
      </c>
      <c r="U26" s="692">
        <f t="shared" si="8"/>
        <v>163261.6</v>
      </c>
      <c r="V26" s="967"/>
      <c r="W26" s="842"/>
      <c r="X26" s="696"/>
      <c r="Y26" s="698"/>
      <c r="Z26" s="965">
        <f t="shared" si="14"/>
        <v>0</v>
      </c>
      <c r="AA26" s="697">
        <v>0</v>
      </c>
      <c r="AB26" s="963">
        <f t="shared" si="2"/>
        <v>0</v>
      </c>
      <c r="AC26" s="700">
        <f t="shared" si="3"/>
        <v>0</v>
      </c>
      <c r="AD26" s="694">
        <f>AB26+T26</f>
        <v>140609.4</v>
      </c>
      <c r="AE26" s="998">
        <f t="shared" si="10"/>
        <v>163261.6</v>
      </c>
      <c r="AG26" s="701">
        <f t="shared" si="4"/>
        <v>-22652.200000000012</v>
      </c>
      <c r="AM26" s="680">
        <f t="shared" si="5"/>
        <v>-22652.200000000012</v>
      </c>
      <c r="AV26" s="722">
        <f>Table2[[#This Row],[Total Claimed]]-Table2[[#This Row],[Sub-Total8]]</f>
        <v>0</v>
      </c>
      <c r="AW26" s="676" t="b">
        <f>AV26=Table2[[#This Row],[Balance11]]</f>
        <v>1</v>
      </c>
      <c r="AZ26" s="676" t="b">
        <f>[3]!Table2[[#This Row],[Total Certified ]]=Table2[[#This Row],[Total Certified ]]</f>
        <v>1</v>
      </c>
    </row>
    <row r="27" spans="1:52" ht="24" customHeight="1">
      <c r="A27" s="994">
        <f t="shared" si="6"/>
        <v>20</v>
      </c>
      <c r="B27" s="689" t="s">
        <v>629</v>
      </c>
      <c r="C27" s="689" t="s">
        <v>630</v>
      </c>
      <c r="D27" s="780">
        <v>356512.42</v>
      </c>
      <c r="E27" s="690" t="s">
        <v>585</v>
      </c>
      <c r="F27" s="695"/>
      <c r="G27" s="817">
        <f t="shared" si="7"/>
        <v>0</v>
      </c>
      <c r="H27" s="823">
        <f t="shared" si="0"/>
        <v>0</v>
      </c>
      <c r="I27" s="817"/>
      <c r="J27" s="692"/>
      <c r="K27" s="912" t="s">
        <v>254</v>
      </c>
      <c r="L27" s="811"/>
      <c r="M27" s="913"/>
      <c r="N27" s="820"/>
      <c r="O27" s="840"/>
      <c r="P27" s="813"/>
      <c r="Q27" s="822"/>
      <c r="R27" s="813"/>
      <c r="S27" s="822"/>
      <c r="T27" s="827">
        <f t="shared" si="8"/>
        <v>0</v>
      </c>
      <c r="U27" s="692">
        <f t="shared" si="8"/>
        <v>0</v>
      </c>
      <c r="V27" s="967"/>
      <c r="W27" s="842"/>
      <c r="X27" s="696"/>
      <c r="Y27" s="698"/>
      <c r="Z27" s="965">
        <f t="shared" si="14"/>
        <v>0</v>
      </c>
      <c r="AA27" s="697">
        <v>0</v>
      </c>
      <c r="AB27" s="963">
        <f t="shared" si="2"/>
        <v>0</v>
      </c>
      <c r="AC27" s="700">
        <f t="shared" si="3"/>
        <v>0</v>
      </c>
      <c r="AD27" s="694">
        <f t="shared" si="9"/>
        <v>0</v>
      </c>
      <c r="AE27" s="998">
        <f t="shared" si="10"/>
        <v>0</v>
      </c>
      <c r="AG27" s="701">
        <f t="shared" si="4"/>
        <v>0</v>
      </c>
      <c r="AM27" s="680">
        <f t="shared" si="5"/>
        <v>0</v>
      </c>
      <c r="AV27" s="722">
        <f>Table2[[#This Row],[Total Claimed]]-Table2[[#This Row],[Sub-Total8]]</f>
        <v>0</v>
      </c>
      <c r="AW27" s="676" t="b">
        <f>AV27=Table2[[#This Row],[Balance11]]</f>
        <v>1</v>
      </c>
      <c r="AZ27" s="676" t="b">
        <f>[3]!Table2[[#This Row],[Total Certified ]]=Table2[[#This Row],[Total Certified ]]</f>
        <v>1</v>
      </c>
    </row>
    <row r="28" spans="1:52" ht="24" customHeight="1">
      <c r="A28" s="994">
        <f t="shared" si="6"/>
        <v>21</v>
      </c>
      <c r="B28" s="689" t="s">
        <v>631</v>
      </c>
      <c r="C28" s="689" t="s">
        <v>632</v>
      </c>
      <c r="D28" s="780">
        <v>22617386</v>
      </c>
      <c r="E28" s="690" t="s">
        <v>585</v>
      </c>
      <c r="F28" s="695">
        <v>1158076.8988166866</v>
      </c>
      <c r="G28" s="817">
        <f t="shared" si="7"/>
        <v>1050861.8011833136</v>
      </c>
      <c r="H28" s="823">
        <f t="shared" si="0"/>
        <v>1392169.1311833132</v>
      </c>
      <c r="I28" s="817">
        <v>2208938.7000000002</v>
      </c>
      <c r="J28" s="692">
        <v>2550246.0299999998</v>
      </c>
      <c r="K28" s="912" t="s">
        <v>254</v>
      </c>
      <c r="L28" s="811"/>
      <c r="M28" s="913"/>
      <c r="N28" s="820"/>
      <c r="O28" s="840"/>
      <c r="P28" s="813"/>
      <c r="Q28" s="822"/>
      <c r="R28" s="813">
        <v>73588.77</v>
      </c>
      <c r="S28" s="822">
        <v>113732.04</v>
      </c>
      <c r="T28" s="827">
        <f t="shared" si="8"/>
        <v>2282527.4700000002</v>
      </c>
      <c r="U28" s="692">
        <f t="shared" si="8"/>
        <v>2663978.0699999998</v>
      </c>
      <c r="V28" s="967">
        <f>D28*20%</f>
        <v>4523477.2</v>
      </c>
      <c r="W28" s="842">
        <v>4523477.2</v>
      </c>
      <c r="X28" s="696">
        <v>0.2</v>
      </c>
      <c r="Y28" s="698">
        <v>0.2</v>
      </c>
      <c r="Z28" s="965">
        <f>IF((T28*Y28)&lt;V28,(T28*Y28),V28)</f>
        <v>456505.49400000006</v>
      </c>
      <c r="AA28" s="697">
        <v>532795.61</v>
      </c>
      <c r="AB28" s="963">
        <f>V28-Z28</f>
        <v>4066971.7060000002</v>
      </c>
      <c r="AC28" s="700">
        <f t="shared" si="3"/>
        <v>3990681.5900000003</v>
      </c>
      <c r="AD28" s="694">
        <f t="shared" si="9"/>
        <v>6349499.1760000009</v>
      </c>
      <c r="AE28" s="998">
        <f t="shared" si="10"/>
        <v>6654659.6600000001</v>
      </c>
      <c r="AG28" s="701">
        <f t="shared" si="4"/>
        <v>-305160.48399999924</v>
      </c>
      <c r="AM28" s="680">
        <f t="shared" si="5"/>
        <v>-381450.59999999963</v>
      </c>
      <c r="AV28" s="722">
        <f>Table2[[#This Row],[Total Claimed]]-Table2[[#This Row],[Sub-Total8]]</f>
        <v>3990681.5900000003</v>
      </c>
      <c r="AW28" s="676" t="b">
        <f>AV28=Table2[[#This Row],[Balance11]]</f>
        <v>1</v>
      </c>
      <c r="AZ28" s="676" t="b">
        <f>[3]!Table2[[#This Row],[Total Certified ]]=Table2[[#This Row],[Total Certified ]]</f>
        <v>1</v>
      </c>
    </row>
    <row r="29" spans="1:52" ht="24" customHeight="1">
      <c r="A29" s="994"/>
      <c r="B29" s="689"/>
      <c r="C29" s="689"/>
      <c r="D29" s="780"/>
      <c r="E29" s="690"/>
      <c r="F29" s="695"/>
      <c r="G29" s="817"/>
      <c r="H29" s="823"/>
      <c r="I29" s="817"/>
      <c r="J29" s="692"/>
      <c r="K29" s="912"/>
      <c r="L29" s="810"/>
      <c r="M29" s="944"/>
      <c r="N29" s="820"/>
      <c r="O29" s="840"/>
      <c r="P29" s="813"/>
      <c r="Q29" s="822"/>
      <c r="R29" s="813"/>
      <c r="S29" s="822"/>
      <c r="T29" s="827">
        <f t="shared" ref="T29:T37" si="15">R29+L29+I29+N29</f>
        <v>0</v>
      </c>
      <c r="U29" s="692">
        <f t="shared" ref="U29:U85" si="16">+J29+M29+O29+S29+Q29</f>
        <v>0</v>
      </c>
      <c r="V29" s="967"/>
      <c r="W29" s="842"/>
      <c r="X29" s="696"/>
      <c r="Y29" s="698"/>
      <c r="Z29" s="965"/>
      <c r="AA29" s="697"/>
      <c r="AB29" s="963">
        <f t="shared" si="2"/>
        <v>0</v>
      </c>
      <c r="AC29" s="700">
        <f t="shared" si="3"/>
        <v>0</v>
      </c>
      <c r="AD29" s="694"/>
      <c r="AE29" s="998">
        <f t="shared" si="10"/>
        <v>0</v>
      </c>
      <c r="AG29" s="701">
        <f t="shared" si="4"/>
        <v>0</v>
      </c>
      <c r="AM29" s="680">
        <f t="shared" si="5"/>
        <v>0</v>
      </c>
      <c r="AV29" s="722">
        <f>Table2[[#This Row],[Total Claimed]]-Table2[[#This Row],[Sub-Total8]]</f>
        <v>0</v>
      </c>
      <c r="AW29" s="676" t="b">
        <f>AV29=Table2[[#This Row],[Balance11]]</f>
        <v>1</v>
      </c>
      <c r="AZ29" s="676" t="b">
        <f>[3]!Table2[[#This Row],[Total Certified ]]=Table2[[#This Row],[Total Certified ]]</f>
        <v>1</v>
      </c>
    </row>
    <row r="30" spans="1:52" ht="24" customHeight="1">
      <c r="A30" s="994"/>
      <c r="B30" s="688" t="s">
        <v>633</v>
      </c>
      <c r="C30" s="689"/>
      <c r="D30" s="780"/>
      <c r="E30" s="690"/>
      <c r="F30" s="695"/>
      <c r="G30" s="817"/>
      <c r="H30" s="823"/>
      <c r="I30" s="817"/>
      <c r="J30" s="692"/>
      <c r="K30" s="912"/>
      <c r="L30" s="810"/>
      <c r="M30" s="944"/>
      <c r="N30" s="820"/>
      <c r="O30" s="840"/>
      <c r="P30" s="813"/>
      <c r="Q30" s="822"/>
      <c r="R30" s="813"/>
      <c r="S30" s="822"/>
      <c r="T30" s="827">
        <f t="shared" si="15"/>
        <v>0</v>
      </c>
      <c r="U30" s="692">
        <f t="shared" si="16"/>
        <v>0</v>
      </c>
      <c r="V30" s="967"/>
      <c r="W30" s="842"/>
      <c r="X30" s="696"/>
      <c r="Y30" s="698"/>
      <c r="Z30" s="965"/>
      <c r="AA30" s="697"/>
      <c r="AB30" s="963">
        <f t="shared" si="2"/>
        <v>0</v>
      </c>
      <c r="AC30" s="700">
        <f t="shared" si="3"/>
        <v>0</v>
      </c>
      <c r="AD30" s="694"/>
      <c r="AE30" s="998">
        <f t="shared" si="10"/>
        <v>0</v>
      </c>
      <c r="AG30" s="701">
        <f t="shared" si="4"/>
        <v>0</v>
      </c>
      <c r="AM30" s="680">
        <f t="shared" si="5"/>
        <v>0</v>
      </c>
      <c r="AV30" s="722">
        <f>Table2[[#This Row],[Total Claimed]]-Table2[[#This Row],[Sub-Total8]]</f>
        <v>0</v>
      </c>
      <c r="AW30" s="676" t="b">
        <f>AV30=Table2[[#This Row],[Balance11]]</f>
        <v>1</v>
      </c>
      <c r="AZ30" s="676" t="b">
        <f>[3]!Table2[[#This Row],[Total Certified ]]=Table2[[#This Row],[Total Certified ]]</f>
        <v>1</v>
      </c>
    </row>
    <row r="31" spans="1:52" ht="24" customHeight="1">
      <c r="A31" s="994">
        <f>+A28+1</f>
        <v>22</v>
      </c>
      <c r="B31" s="689" t="s">
        <v>634</v>
      </c>
      <c r="C31" s="689"/>
      <c r="D31" s="780"/>
      <c r="E31" s="690" t="s">
        <v>585</v>
      </c>
      <c r="F31" s="695"/>
      <c r="G31" s="817"/>
      <c r="H31" s="823"/>
      <c r="I31" s="817"/>
      <c r="J31" s="692"/>
      <c r="K31" s="912"/>
      <c r="L31" s="810"/>
      <c r="M31" s="944"/>
      <c r="N31" s="820"/>
      <c r="O31" s="840"/>
      <c r="P31" s="813"/>
      <c r="Q31" s="822"/>
      <c r="R31" s="813"/>
      <c r="S31" s="822"/>
      <c r="T31" s="827">
        <f t="shared" si="15"/>
        <v>0</v>
      </c>
      <c r="U31" s="692">
        <f t="shared" si="16"/>
        <v>0</v>
      </c>
      <c r="V31" s="967">
        <v>256680</v>
      </c>
      <c r="W31" s="842">
        <v>256680</v>
      </c>
      <c r="X31" s="696"/>
      <c r="Y31" s="698"/>
      <c r="Z31" s="965">
        <v>0</v>
      </c>
      <c r="AA31" s="697"/>
      <c r="AB31" s="963">
        <f t="shared" si="2"/>
        <v>256680</v>
      </c>
      <c r="AC31" s="700">
        <f t="shared" si="3"/>
        <v>256680</v>
      </c>
      <c r="AD31" s="694"/>
      <c r="AE31" s="998"/>
      <c r="AG31" s="701">
        <f t="shared" si="4"/>
        <v>0</v>
      </c>
      <c r="AM31" s="680">
        <f t="shared" si="5"/>
        <v>0</v>
      </c>
      <c r="AV31" s="722">
        <f>Table2[[#This Row],[Total Claimed]]-Table2[[#This Row],[Sub-Total8]]</f>
        <v>0</v>
      </c>
      <c r="AW31" s="676" t="b">
        <f>AV31=Table2[[#This Row],[Balance11]]</f>
        <v>0</v>
      </c>
      <c r="AZ31" s="676" t="b">
        <f>[3]!Table2[[#This Row],[Total Certified ]]=Table2[[#This Row],[Total Certified ]]</f>
        <v>1</v>
      </c>
    </row>
    <row r="32" spans="1:52" ht="24" customHeight="1">
      <c r="A32" s="994">
        <f>+A31+1</f>
        <v>23</v>
      </c>
      <c r="B32" s="689" t="s">
        <v>545</v>
      </c>
      <c r="C32" s="689"/>
      <c r="D32" s="780"/>
      <c r="E32" s="690" t="s">
        <v>585</v>
      </c>
      <c r="F32" s="695"/>
      <c r="G32" s="817"/>
      <c r="H32" s="823"/>
      <c r="I32" s="817"/>
      <c r="J32" s="692"/>
      <c r="K32" s="912"/>
      <c r="L32" s="810"/>
      <c r="M32" s="944"/>
      <c r="N32" s="820"/>
      <c r="O32" s="840"/>
      <c r="P32" s="813"/>
      <c r="Q32" s="822"/>
      <c r="R32" s="813"/>
      <c r="S32" s="822"/>
      <c r="T32" s="827">
        <f t="shared" si="15"/>
        <v>0</v>
      </c>
      <c r="U32" s="692">
        <f t="shared" si="16"/>
        <v>0</v>
      </c>
      <c r="V32" s="967">
        <f>316572.5+83382.4</f>
        <v>399954.9</v>
      </c>
      <c r="W32" s="842">
        <v>399954.9</v>
      </c>
      <c r="X32" s="696"/>
      <c r="Y32" s="698"/>
      <c r="Z32" s="965">
        <v>52073.099000000002</v>
      </c>
      <c r="AA32" s="697">
        <f>Table2[[#This Row],[Recovery]]</f>
        <v>52073.099000000002</v>
      </c>
      <c r="AB32" s="963">
        <f t="shared" si="2"/>
        <v>347881.80100000004</v>
      </c>
      <c r="AC32" s="700">
        <f t="shared" si="3"/>
        <v>347881.80100000004</v>
      </c>
      <c r="AD32" s="694"/>
      <c r="AE32" s="998"/>
      <c r="AG32" s="701">
        <f t="shared" si="4"/>
        <v>0</v>
      </c>
      <c r="AI32" s="676">
        <v>124208.64</v>
      </c>
      <c r="AM32" s="680">
        <f t="shared" si="5"/>
        <v>0</v>
      </c>
      <c r="AV32" s="722">
        <f>Table2[[#This Row],[Total Claimed]]-Table2[[#This Row],[Sub-Total8]]</f>
        <v>0</v>
      </c>
      <c r="AW32" s="676" t="b">
        <f>AV32=Table2[[#This Row],[Balance11]]</f>
        <v>0</v>
      </c>
      <c r="AZ32" s="676" t="b">
        <f>[3]!Table2[[#This Row],[Total Certified ]]=Table2[[#This Row],[Total Certified ]]</f>
        <v>1</v>
      </c>
    </row>
    <row r="33" spans="1:52" ht="24" customHeight="1">
      <c r="A33" s="994"/>
      <c r="B33" s="689"/>
      <c r="C33" s="689"/>
      <c r="D33" s="780"/>
      <c r="E33" s="690"/>
      <c r="F33" s="695"/>
      <c r="G33" s="817"/>
      <c r="H33" s="823"/>
      <c r="I33" s="817"/>
      <c r="J33" s="692"/>
      <c r="K33" s="912"/>
      <c r="L33" s="810"/>
      <c r="M33" s="944"/>
      <c r="N33" s="820"/>
      <c r="O33" s="840"/>
      <c r="P33" s="813"/>
      <c r="Q33" s="822"/>
      <c r="R33" s="813"/>
      <c r="S33" s="822"/>
      <c r="T33" s="827"/>
      <c r="U33" s="692"/>
      <c r="V33" s="967"/>
      <c r="W33" s="842"/>
      <c r="X33" s="696"/>
      <c r="Y33" s="698"/>
      <c r="Z33" s="965">
        <v>0</v>
      </c>
      <c r="AA33" s="697"/>
      <c r="AB33" s="963"/>
      <c r="AC33" s="700">
        <f t="shared" si="3"/>
        <v>0</v>
      </c>
      <c r="AD33" s="694"/>
      <c r="AE33" s="998"/>
      <c r="AG33" s="701"/>
      <c r="AV33" s="722">
        <f>Table2[[#This Row],[Total Claimed]]-Table2[[#This Row],[Sub-Total8]]</f>
        <v>0</v>
      </c>
      <c r="AW33" s="676" t="b">
        <f>AV33=Table2[[#This Row],[Balance11]]</f>
        <v>1</v>
      </c>
      <c r="AZ33" s="676" t="b">
        <f>[3]!Table2[[#This Row],[Total Certified ]]=Table2[[#This Row],[Total Certified ]]</f>
        <v>1</v>
      </c>
    </row>
    <row r="34" spans="1:52" ht="24" customHeight="1">
      <c r="A34" s="994">
        <f>+A32+1</f>
        <v>24</v>
      </c>
      <c r="B34" s="689" t="s">
        <v>635</v>
      </c>
      <c r="C34" s="689" t="s">
        <v>102</v>
      </c>
      <c r="D34" s="780"/>
      <c r="E34" s="690" t="s">
        <v>585</v>
      </c>
      <c r="F34" s="695"/>
      <c r="G34" s="817"/>
      <c r="H34" s="823"/>
      <c r="I34" s="817"/>
      <c r="J34" s="692"/>
      <c r="K34" s="912"/>
      <c r="L34" s="810"/>
      <c r="M34" s="944"/>
      <c r="N34" s="820"/>
      <c r="O34" s="840"/>
      <c r="P34" s="813"/>
      <c r="Q34" s="822"/>
      <c r="R34" s="813"/>
      <c r="S34" s="822"/>
      <c r="T34" s="827">
        <f t="shared" si="15"/>
        <v>0</v>
      </c>
      <c r="U34" s="692">
        <f t="shared" si="16"/>
        <v>0</v>
      </c>
      <c r="V34" s="969">
        <v>278780.88</v>
      </c>
      <c r="W34" s="843">
        <v>278780.88</v>
      </c>
      <c r="X34" s="696"/>
      <c r="Y34" s="698"/>
      <c r="Z34" s="965">
        <v>247056</v>
      </c>
      <c r="AA34" s="697">
        <f>Table2[[#This Row],[Recovery]]</f>
        <v>247056</v>
      </c>
      <c r="AB34" s="963">
        <f t="shared" si="2"/>
        <v>31724.880000000005</v>
      </c>
      <c r="AC34" s="700">
        <f t="shared" si="3"/>
        <v>31724.880000000005</v>
      </c>
      <c r="AD34" s="694"/>
      <c r="AE34" s="998"/>
      <c r="AG34" s="701">
        <f t="shared" si="4"/>
        <v>0</v>
      </c>
      <c r="AI34" s="676">
        <v>85750</v>
      </c>
      <c r="AM34" s="680">
        <f t="shared" si="5"/>
        <v>0</v>
      </c>
      <c r="AV34" s="722">
        <f>Table2[[#This Row],[Total Claimed]]-Table2[[#This Row],[Sub-Total8]]</f>
        <v>0</v>
      </c>
      <c r="AW34" s="676" t="b">
        <f>AV34=Table2[[#This Row],[Balance11]]</f>
        <v>0</v>
      </c>
      <c r="AZ34" s="676" t="b">
        <f>[3]!Table2[[#This Row],[Total Certified ]]=Table2[[#This Row],[Total Certified ]]</f>
        <v>1</v>
      </c>
    </row>
    <row r="35" spans="1:52" ht="24" customHeight="1">
      <c r="A35" s="994">
        <f>+A34+1</f>
        <v>25</v>
      </c>
      <c r="B35" s="689" t="s">
        <v>636</v>
      </c>
      <c r="C35" s="689"/>
      <c r="D35" s="780"/>
      <c r="E35" s="690" t="s">
        <v>585</v>
      </c>
      <c r="F35" s="695"/>
      <c r="G35" s="817"/>
      <c r="H35" s="823"/>
      <c r="I35" s="817"/>
      <c r="J35" s="692"/>
      <c r="K35" s="912"/>
      <c r="L35" s="810"/>
      <c r="M35" s="944"/>
      <c r="N35" s="820"/>
      <c r="O35" s="840"/>
      <c r="P35" s="813"/>
      <c r="Q35" s="822"/>
      <c r="R35" s="813"/>
      <c r="S35" s="822"/>
      <c r="T35" s="827">
        <f t="shared" si="15"/>
        <v>0</v>
      </c>
      <c r="U35" s="692">
        <f t="shared" si="16"/>
        <v>0</v>
      </c>
      <c r="V35" s="969">
        <v>122500</v>
      </c>
      <c r="W35" s="843">
        <v>122500</v>
      </c>
      <c r="X35" s="696"/>
      <c r="Y35" s="698"/>
      <c r="Z35" s="965">
        <v>85750</v>
      </c>
      <c r="AA35" s="697">
        <v>85750</v>
      </c>
      <c r="AB35" s="963">
        <f t="shared" si="2"/>
        <v>36750</v>
      </c>
      <c r="AC35" s="700">
        <f t="shared" si="3"/>
        <v>36750</v>
      </c>
      <c r="AD35" s="694"/>
      <c r="AE35" s="998"/>
      <c r="AG35" s="701">
        <f t="shared" si="4"/>
        <v>0</v>
      </c>
      <c r="AI35" s="676">
        <v>332660.46000000002</v>
      </c>
      <c r="AM35" s="680">
        <f t="shared" si="5"/>
        <v>0</v>
      </c>
      <c r="AV35" s="722">
        <f>Table2[[#This Row],[Total Claimed]]-Table2[[#This Row],[Sub-Total8]]</f>
        <v>0</v>
      </c>
      <c r="AW35" s="676" t="b">
        <f>AV35=Table2[[#This Row],[Balance11]]</f>
        <v>0</v>
      </c>
      <c r="AZ35" s="676" t="b">
        <f>[3]!Table2[[#This Row],[Total Certified ]]=Table2[[#This Row],[Total Certified ]]</f>
        <v>1</v>
      </c>
    </row>
    <row r="36" spans="1:52" ht="24" customHeight="1">
      <c r="A36" s="994">
        <f>+A35+1</f>
        <v>26</v>
      </c>
      <c r="B36" s="689" t="s">
        <v>637</v>
      </c>
      <c r="C36" s="689"/>
      <c r="D36" s="780"/>
      <c r="E36" s="690" t="s">
        <v>585</v>
      </c>
      <c r="F36" s="695"/>
      <c r="G36" s="817"/>
      <c r="H36" s="823"/>
      <c r="I36" s="817"/>
      <c r="J36" s="692"/>
      <c r="K36" s="912"/>
      <c r="L36" s="810"/>
      <c r="M36" s="944"/>
      <c r="N36" s="816"/>
      <c r="O36" s="840"/>
      <c r="P36" s="813"/>
      <c r="Q36" s="822"/>
      <c r="R36" s="813"/>
      <c r="S36" s="822"/>
      <c r="T36" s="827">
        <f t="shared" si="15"/>
        <v>0</v>
      </c>
      <c r="U36" s="692">
        <f t="shared" si="16"/>
        <v>0</v>
      </c>
      <c r="V36" s="969">
        <v>1031744.7</v>
      </c>
      <c r="W36" s="843">
        <v>1031744.7</v>
      </c>
      <c r="X36" s="696"/>
      <c r="Y36" s="698"/>
      <c r="Z36" s="965">
        <v>775768</v>
      </c>
      <c r="AA36" s="697">
        <f>Table2[[#This Row],[Recovery]]</f>
        <v>775768</v>
      </c>
      <c r="AB36" s="963">
        <f t="shared" si="2"/>
        <v>255976.69999999995</v>
      </c>
      <c r="AC36" s="700">
        <f t="shared" si="3"/>
        <v>255976.69999999995</v>
      </c>
      <c r="AD36" s="694"/>
      <c r="AE36" s="998"/>
      <c r="AG36" s="701">
        <f t="shared" si="4"/>
        <v>0</v>
      </c>
      <c r="AI36" s="676">
        <f>SUM(AI32:AI35)</f>
        <v>542619.10000000009</v>
      </c>
      <c r="AM36" s="680">
        <f t="shared" si="5"/>
        <v>0</v>
      </c>
      <c r="AV36" s="722">
        <f>Table2[[#This Row],[Total Claimed]]-Table2[[#This Row],[Sub-Total8]]</f>
        <v>0</v>
      </c>
      <c r="AW36" s="676" t="b">
        <f>AV36=Table2[[#This Row],[Balance11]]</f>
        <v>0</v>
      </c>
      <c r="AZ36" s="676" t="b">
        <f>[3]!Table2[[#This Row],[Total Certified ]]=Table2[[#This Row],[Total Certified ]]</f>
        <v>1</v>
      </c>
    </row>
    <row r="37" spans="1:52" ht="24" customHeight="1">
      <c r="A37" s="994">
        <f>+A36+1</f>
        <v>27</v>
      </c>
      <c r="B37" s="689" t="s">
        <v>638</v>
      </c>
      <c r="C37" s="689"/>
      <c r="D37" s="780"/>
      <c r="E37" s="690" t="s">
        <v>585</v>
      </c>
      <c r="F37" s="695"/>
      <c r="G37" s="817"/>
      <c r="H37" s="823"/>
      <c r="I37" s="817"/>
      <c r="J37" s="692"/>
      <c r="K37" s="912"/>
      <c r="L37" s="810"/>
      <c r="M37" s="944"/>
      <c r="N37" s="816"/>
      <c r="O37" s="840"/>
      <c r="P37" s="813"/>
      <c r="Q37" s="822"/>
      <c r="R37" s="813"/>
      <c r="S37" s="822"/>
      <c r="T37" s="827">
        <f t="shared" si="15"/>
        <v>0</v>
      </c>
      <c r="U37" s="692">
        <f t="shared" si="16"/>
        <v>0</v>
      </c>
      <c r="V37" s="967">
        <v>62500</v>
      </c>
      <c r="W37" s="842">
        <v>62500</v>
      </c>
      <c r="X37" s="696"/>
      <c r="Y37" s="698"/>
      <c r="Z37" s="965">
        <v>62500</v>
      </c>
      <c r="AA37" s="697">
        <f>Table2[[#This Row],[Recovery]]</f>
        <v>62500</v>
      </c>
      <c r="AB37" s="963">
        <f>V37-Z37</f>
        <v>0</v>
      </c>
      <c r="AC37" s="700">
        <f t="shared" si="3"/>
        <v>0</v>
      </c>
      <c r="AD37" s="694"/>
      <c r="AE37" s="998"/>
      <c r="AG37" s="701">
        <f t="shared" si="4"/>
        <v>0</v>
      </c>
      <c r="AM37" s="680">
        <f t="shared" si="5"/>
        <v>0</v>
      </c>
      <c r="AV37" s="722">
        <f>Table2[[#This Row],[Total Claimed]]-Table2[[#This Row],[Sub-Total8]]</f>
        <v>0</v>
      </c>
      <c r="AW37" s="676" t="b">
        <f>AV37=Table2[[#This Row],[Balance11]]</f>
        <v>1</v>
      </c>
      <c r="AZ37" s="676" t="b">
        <f>[3]!Table2[[#This Row],[Total Certified ]]=Table2[[#This Row],[Total Certified ]]</f>
        <v>1</v>
      </c>
    </row>
    <row r="38" spans="1:52" ht="24" customHeight="1">
      <c r="A38" s="994"/>
      <c r="B38" s="689"/>
      <c r="C38" s="689"/>
      <c r="D38" s="780"/>
      <c r="E38" s="690"/>
      <c r="F38" s="695"/>
      <c r="G38" s="817"/>
      <c r="H38" s="823"/>
      <c r="I38" s="817"/>
      <c r="J38" s="692"/>
      <c r="K38" s="912"/>
      <c r="L38" s="810"/>
      <c r="M38" s="944"/>
      <c r="N38" s="816"/>
      <c r="O38" s="840"/>
      <c r="P38" s="813"/>
      <c r="Q38" s="822"/>
      <c r="R38" s="813"/>
      <c r="S38" s="822"/>
      <c r="T38" s="827"/>
      <c r="U38" s="692">
        <f t="shared" si="16"/>
        <v>0</v>
      </c>
      <c r="V38" s="967"/>
      <c r="W38" s="842"/>
      <c r="X38" s="696"/>
      <c r="Y38" s="698"/>
      <c r="Z38" s="965"/>
      <c r="AA38" s="697"/>
      <c r="AB38" s="963"/>
      <c r="AC38" s="700">
        <f t="shared" si="3"/>
        <v>0</v>
      </c>
      <c r="AD38" s="694"/>
      <c r="AE38" s="998">
        <f t="shared" si="10"/>
        <v>0</v>
      </c>
      <c r="AG38" s="701">
        <f t="shared" si="4"/>
        <v>0</v>
      </c>
      <c r="AM38" s="680">
        <f t="shared" si="5"/>
        <v>0</v>
      </c>
      <c r="AV38" s="722">
        <f>Table2[[#This Row],[Total Claimed]]-Table2[[#This Row],[Sub-Total8]]</f>
        <v>0</v>
      </c>
      <c r="AW38" s="676" t="b">
        <f>AV38=Table2[[#This Row],[Balance11]]</f>
        <v>1</v>
      </c>
      <c r="AZ38" s="676" t="b">
        <f>[3]!Table2[[#This Row],[Total Certified ]]=Table2[[#This Row],[Total Certified ]]</f>
        <v>1</v>
      </c>
    </row>
    <row r="39" spans="1:52" ht="24" customHeight="1">
      <c r="A39" s="995"/>
      <c r="B39" s="703" t="s">
        <v>639</v>
      </c>
      <c r="C39" s="688"/>
      <c r="D39" s="780"/>
      <c r="E39" s="690"/>
      <c r="F39" s="708"/>
      <c r="G39" s="817"/>
      <c r="H39" s="824"/>
      <c r="I39" s="817"/>
      <c r="J39" s="692"/>
      <c r="K39" s="945"/>
      <c r="L39" s="810"/>
      <c r="M39" s="944"/>
      <c r="N39" s="816"/>
      <c r="O39" s="840"/>
      <c r="P39" s="813"/>
      <c r="Q39" s="822"/>
      <c r="R39" s="813"/>
      <c r="S39" s="822"/>
      <c r="T39" s="827">
        <f>R39+L39+I39+N39+P39</f>
        <v>0</v>
      </c>
      <c r="U39" s="692">
        <f t="shared" si="16"/>
        <v>0</v>
      </c>
      <c r="V39" s="963"/>
      <c r="W39" s="691"/>
      <c r="X39" s="696"/>
      <c r="Y39" s="698"/>
      <c r="Z39" s="965"/>
      <c r="AA39" s="697"/>
      <c r="AB39" s="963">
        <f t="shared" si="2"/>
        <v>0</v>
      </c>
      <c r="AC39" s="700">
        <f t="shared" si="3"/>
        <v>0</v>
      </c>
      <c r="AD39" s="694">
        <f t="shared" ref="AD39:AD85" si="17">AB39+T39</f>
        <v>0</v>
      </c>
      <c r="AE39" s="998">
        <f t="shared" si="10"/>
        <v>0</v>
      </c>
      <c r="AG39" s="701">
        <f t="shared" si="4"/>
        <v>0</v>
      </c>
      <c r="AM39" s="680">
        <f t="shared" si="5"/>
        <v>0</v>
      </c>
      <c r="AV39" s="722">
        <f>Table2[[#This Row],[Total Claimed]]-Table2[[#This Row],[Sub-Total8]]</f>
        <v>0</v>
      </c>
      <c r="AW39" s="676" t="b">
        <f>AV39=Table2[[#This Row],[Balance11]]</f>
        <v>1</v>
      </c>
      <c r="AZ39" s="676" t="b">
        <f>[3]!Table2[[#This Row],[Total Certified ]]=Table2[[#This Row],[Total Certified ]]</f>
        <v>1</v>
      </c>
    </row>
    <row r="40" spans="1:52" ht="24" customHeight="1">
      <c r="A40" s="994">
        <f>+A37+1</f>
        <v>28</v>
      </c>
      <c r="B40" s="689" t="s">
        <v>640</v>
      </c>
      <c r="C40" s="689" t="s">
        <v>641</v>
      </c>
      <c r="D40" s="780">
        <v>396000</v>
      </c>
      <c r="E40" s="690" t="s">
        <v>642</v>
      </c>
      <c r="F40" s="708">
        <v>348000</v>
      </c>
      <c r="G40" s="817">
        <f t="shared" ref="G40:G65" si="18">I40-F40</f>
        <v>42900</v>
      </c>
      <c r="H40" s="824">
        <f t="shared" ref="H40:H66" si="19">J40-F40</f>
        <v>42900</v>
      </c>
      <c r="I40" s="817">
        <v>390900</v>
      </c>
      <c r="J40" s="692">
        <v>390900</v>
      </c>
      <c r="K40" s="945" t="s">
        <v>995</v>
      </c>
      <c r="L40" s="812"/>
      <c r="M40" s="928"/>
      <c r="N40" s="819"/>
      <c r="O40" s="840"/>
      <c r="P40" s="814"/>
      <c r="Q40" s="824"/>
      <c r="R40" s="814">
        <v>423392.99</v>
      </c>
      <c r="S40" s="824">
        <v>435648.52</v>
      </c>
      <c r="T40" s="827">
        <f t="shared" ref="T40:T85" si="20">R40+L40+I40+N40+P40</f>
        <v>814292.99</v>
      </c>
      <c r="U40" s="692">
        <f t="shared" si="16"/>
        <v>826548.52</v>
      </c>
      <c r="V40" s="970"/>
      <c r="W40" s="844"/>
      <c r="X40" s="696"/>
      <c r="Y40" s="698"/>
      <c r="Z40" s="965">
        <f t="shared" ref="Z40:Z43" si="21">IF((T40*Y40)&lt;V40,(T40*Y40),V40)</f>
        <v>0</v>
      </c>
      <c r="AA40" s="697">
        <v>0</v>
      </c>
      <c r="AB40" s="963">
        <f t="shared" si="2"/>
        <v>0</v>
      </c>
      <c r="AC40" s="700">
        <f t="shared" si="3"/>
        <v>0</v>
      </c>
      <c r="AD40" s="694">
        <f>AB40+T40</f>
        <v>814292.99</v>
      </c>
      <c r="AE40" s="998">
        <f t="shared" si="10"/>
        <v>826548.52</v>
      </c>
      <c r="AG40" s="701">
        <f t="shared" si="4"/>
        <v>-12255.530000000028</v>
      </c>
      <c r="AM40" s="680">
        <f t="shared" si="5"/>
        <v>-12255.530000000028</v>
      </c>
      <c r="AV40" s="722">
        <f>Table2[[#This Row],[Total Claimed]]-Table2[[#This Row],[Sub-Total8]]</f>
        <v>0</v>
      </c>
      <c r="AW40" s="676" t="b">
        <f>AV40=Table2[[#This Row],[Balance11]]</f>
        <v>1</v>
      </c>
      <c r="AZ40" s="676" t="b">
        <f>[3]!Table2[[#This Row],[Total Certified ]]=Table2[[#This Row],[Total Certified ]]</f>
        <v>1</v>
      </c>
    </row>
    <row r="41" spans="1:52" ht="24" customHeight="1">
      <c r="A41" s="994">
        <f>+A40+1</f>
        <v>29</v>
      </c>
      <c r="B41" s="689" t="s">
        <v>608</v>
      </c>
      <c r="C41" s="689" t="s">
        <v>643</v>
      </c>
      <c r="D41" s="693">
        <v>26960</v>
      </c>
      <c r="E41" s="690" t="s">
        <v>644</v>
      </c>
      <c r="F41" s="708">
        <v>34460</v>
      </c>
      <c r="G41" s="817">
        <f>I41-F41</f>
        <v>0</v>
      </c>
      <c r="H41" s="824">
        <f>J41-F41</f>
        <v>11238.099999999999</v>
      </c>
      <c r="I41" s="817">
        <v>34460</v>
      </c>
      <c r="J41" s="692">
        <v>45698.1</v>
      </c>
      <c r="K41" s="945" t="s">
        <v>995</v>
      </c>
      <c r="L41" s="812"/>
      <c r="M41" s="928"/>
      <c r="N41" s="819"/>
      <c r="O41" s="841"/>
      <c r="P41" s="814"/>
      <c r="Q41" s="824"/>
      <c r="R41" s="814">
        <v>10988</v>
      </c>
      <c r="S41" s="824"/>
      <c r="T41" s="827">
        <f t="shared" si="20"/>
        <v>45448</v>
      </c>
      <c r="U41" s="692">
        <f t="shared" si="16"/>
        <v>45698.1</v>
      </c>
      <c r="V41" s="970"/>
      <c r="W41" s="844"/>
      <c r="X41" s="696"/>
      <c r="Y41" s="698"/>
      <c r="Z41" s="965">
        <f t="shared" si="21"/>
        <v>0</v>
      </c>
      <c r="AA41" s="697">
        <v>0</v>
      </c>
      <c r="AB41" s="963">
        <f t="shared" si="2"/>
        <v>0</v>
      </c>
      <c r="AC41" s="700">
        <f t="shared" si="3"/>
        <v>0</v>
      </c>
      <c r="AD41" s="694">
        <f>AB41+T41</f>
        <v>45448</v>
      </c>
      <c r="AE41" s="998">
        <f t="shared" si="10"/>
        <v>45698.1</v>
      </c>
      <c r="AG41" s="701">
        <f t="shared" si="4"/>
        <v>-250.09999999999854</v>
      </c>
      <c r="AM41" s="680">
        <f t="shared" si="5"/>
        <v>-250.09999999999854</v>
      </c>
      <c r="AV41" s="722">
        <f>Table2[[#This Row],[Total Claimed]]-Table2[[#This Row],[Sub-Total8]]</f>
        <v>0</v>
      </c>
      <c r="AW41" s="676" t="b">
        <f>AV41=Table2[[#This Row],[Balance11]]</f>
        <v>1</v>
      </c>
      <c r="AZ41" s="676" t="b">
        <f>[3]!Table2[[#This Row],[Total Certified ]]=Table2[[#This Row],[Total Certified ]]</f>
        <v>1</v>
      </c>
    </row>
    <row r="42" spans="1:52" ht="24" customHeight="1">
      <c r="A42" s="994">
        <f t="shared" ref="A42:A79" si="22">+A41+1</f>
        <v>30</v>
      </c>
      <c r="B42" s="689" t="s">
        <v>645</v>
      </c>
      <c r="C42" s="689" t="s">
        <v>646</v>
      </c>
      <c r="D42" s="693">
        <v>157030</v>
      </c>
      <c r="E42" s="690" t="s">
        <v>647</v>
      </c>
      <c r="F42" s="695">
        <v>2496617.12</v>
      </c>
      <c r="G42" s="817">
        <f t="shared" si="18"/>
        <v>235787.28543840349</v>
      </c>
      <c r="H42" s="824">
        <f t="shared" si="19"/>
        <v>311910.35999999987</v>
      </c>
      <c r="I42" s="817">
        <v>2732404.4054384036</v>
      </c>
      <c r="J42" s="692">
        <v>2808527.48</v>
      </c>
      <c r="K42" s="945" t="s">
        <v>995</v>
      </c>
      <c r="L42" s="812"/>
      <c r="M42" s="928"/>
      <c r="N42" s="819"/>
      <c r="O42" s="841"/>
      <c r="P42" s="814"/>
      <c r="Q42" s="824"/>
      <c r="R42" s="814"/>
      <c r="S42" s="824"/>
      <c r="T42" s="827">
        <f t="shared" si="20"/>
        <v>2732404.4054384036</v>
      </c>
      <c r="U42" s="692">
        <f t="shared" si="16"/>
        <v>2808527.48</v>
      </c>
      <c r="V42" s="963">
        <v>0</v>
      </c>
      <c r="W42" s="842">
        <v>0</v>
      </c>
      <c r="X42" s="696"/>
      <c r="Y42" s="698"/>
      <c r="Z42" s="965">
        <f t="shared" si="21"/>
        <v>0</v>
      </c>
      <c r="AA42" s="697">
        <v>0</v>
      </c>
      <c r="AB42" s="963">
        <f t="shared" si="2"/>
        <v>0</v>
      </c>
      <c r="AC42" s="700">
        <f t="shared" si="3"/>
        <v>0</v>
      </c>
      <c r="AD42" s="694">
        <f>AB42+T42</f>
        <v>2732404.4054384036</v>
      </c>
      <c r="AE42" s="998">
        <f t="shared" si="10"/>
        <v>2808527.48</v>
      </c>
      <c r="AG42" s="701">
        <f t="shared" si="4"/>
        <v>-76123.074561596382</v>
      </c>
      <c r="AM42" s="680">
        <f t="shared" si="5"/>
        <v>-76123.074561596382</v>
      </c>
      <c r="AV42" s="722">
        <f>Table2[[#This Row],[Total Claimed]]-Table2[[#This Row],[Sub-Total8]]</f>
        <v>0</v>
      </c>
      <c r="AW42" s="676" t="b">
        <f>AV42=Table2[[#This Row],[Balance11]]</f>
        <v>1</v>
      </c>
      <c r="AZ42" s="676" t="b">
        <f>[3]!Table2[[#This Row],[Total Certified ]]=Table2[[#This Row],[Total Certified ]]</f>
        <v>1</v>
      </c>
    </row>
    <row r="43" spans="1:52" ht="24" customHeight="1">
      <c r="A43" s="994">
        <f t="shared" si="22"/>
        <v>31</v>
      </c>
      <c r="B43" s="689" t="s">
        <v>648</v>
      </c>
      <c r="C43" s="689" t="s">
        <v>649</v>
      </c>
      <c r="D43" s="693">
        <v>570509.80000000005</v>
      </c>
      <c r="E43" s="690" t="s">
        <v>650</v>
      </c>
      <c r="F43" s="695">
        <v>299037.05</v>
      </c>
      <c r="G43" s="817">
        <f t="shared" si="18"/>
        <v>120136.09683477058</v>
      </c>
      <c r="H43" s="824">
        <f t="shared" si="19"/>
        <v>129537.94</v>
      </c>
      <c r="I43" s="817">
        <v>419173.14683477057</v>
      </c>
      <c r="J43" s="692">
        <v>428574.99</v>
      </c>
      <c r="K43" s="912" t="s">
        <v>160</v>
      </c>
      <c r="L43" s="812"/>
      <c r="M43" s="928"/>
      <c r="N43" s="819"/>
      <c r="O43" s="841"/>
      <c r="P43" s="814"/>
      <c r="Q43" s="824"/>
      <c r="R43" s="814"/>
      <c r="S43" s="824"/>
      <c r="T43" s="827">
        <f t="shared" si="20"/>
        <v>419173.14683477057</v>
      </c>
      <c r="U43" s="692">
        <f t="shared" si="16"/>
        <v>428574.99</v>
      </c>
      <c r="V43" s="963">
        <v>0</v>
      </c>
      <c r="W43" s="842">
        <v>0</v>
      </c>
      <c r="X43" s="696"/>
      <c r="Y43" s="698"/>
      <c r="Z43" s="965">
        <f t="shared" si="21"/>
        <v>0</v>
      </c>
      <c r="AA43" s="697">
        <v>0</v>
      </c>
      <c r="AB43" s="963">
        <f t="shared" si="2"/>
        <v>0</v>
      </c>
      <c r="AC43" s="700">
        <f t="shared" si="3"/>
        <v>0</v>
      </c>
      <c r="AD43" s="694">
        <f>AB43+T43</f>
        <v>419173.14683477057</v>
      </c>
      <c r="AE43" s="998">
        <f t="shared" si="10"/>
        <v>428574.99</v>
      </c>
      <c r="AG43" s="701">
        <f t="shared" si="4"/>
        <v>-9401.8431652294239</v>
      </c>
      <c r="AM43" s="680">
        <f t="shared" si="5"/>
        <v>-9401.8431652294239</v>
      </c>
      <c r="AV43" s="722">
        <f>Table2[[#This Row],[Total Claimed]]-Table2[[#This Row],[Sub-Total8]]</f>
        <v>0</v>
      </c>
      <c r="AW43" s="676" t="b">
        <f>AV43=Table2[[#This Row],[Balance11]]</f>
        <v>1</v>
      </c>
      <c r="AZ43" s="676" t="b">
        <f>[3]!Table2[[#This Row],[Total Certified ]]=Table2[[#This Row],[Total Certified ]]</f>
        <v>1</v>
      </c>
    </row>
    <row r="44" spans="1:52" ht="24" customHeight="1">
      <c r="A44" s="994">
        <f t="shared" si="22"/>
        <v>32</v>
      </c>
      <c r="B44" s="689" t="s">
        <v>651</v>
      </c>
      <c r="C44" s="689" t="s">
        <v>652</v>
      </c>
      <c r="D44" s="693">
        <v>514481.6</v>
      </c>
      <c r="E44" s="690" t="s">
        <v>653</v>
      </c>
      <c r="F44" s="695">
        <v>250361.08</v>
      </c>
      <c r="G44" s="817">
        <f t="shared" si="18"/>
        <v>0</v>
      </c>
      <c r="H44" s="824">
        <f t="shared" si="19"/>
        <v>6865.9100000000035</v>
      </c>
      <c r="I44" s="817">
        <f>250361.08</f>
        <v>250361.08</v>
      </c>
      <c r="J44" s="692">
        <f>257226.99</f>
        <v>257226.99</v>
      </c>
      <c r="K44" s="912" t="s">
        <v>160</v>
      </c>
      <c r="L44" s="812"/>
      <c r="M44" s="928"/>
      <c r="N44" s="819"/>
      <c r="O44" s="841"/>
      <c r="P44" s="814"/>
      <c r="Q44" s="824"/>
      <c r="R44" s="814"/>
      <c r="S44" s="824"/>
      <c r="T44" s="827">
        <f t="shared" si="20"/>
        <v>250361.08</v>
      </c>
      <c r="U44" s="692">
        <f t="shared" si="16"/>
        <v>257226.99</v>
      </c>
      <c r="V44" s="963">
        <v>25000</v>
      </c>
      <c r="W44" s="842">
        <v>25000</v>
      </c>
      <c r="X44" s="696"/>
      <c r="Y44" s="698"/>
      <c r="Z44" s="965">
        <v>25000</v>
      </c>
      <c r="AA44" s="697">
        <v>25000</v>
      </c>
      <c r="AB44" s="963">
        <f t="shared" si="2"/>
        <v>0</v>
      </c>
      <c r="AC44" s="700">
        <f t="shared" si="3"/>
        <v>0</v>
      </c>
      <c r="AD44" s="694">
        <f>AB44+T44</f>
        <v>250361.08</v>
      </c>
      <c r="AE44" s="998">
        <f t="shared" si="10"/>
        <v>257226.99</v>
      </c>
      <c r="AG44" s="701">
        <f t="shared" si="4"/>
        <v>-6865.9100000000035</v>
      </c>
      <c r="AM44" s="680">
        <f t="shared" si="5"/>
        <v>-6865.9100000000035</v>
      </c>
      <c r="AV44" s="722">
        <f>Table2[[#This Row],[Total Claimed]]-Table2[[#This Row],[Sub-Total8]]</f>
        <v>0</v>
      </c>
      <c r="AW44" s="676" t="b">
        <f>AV44=Table2[[#This Row],[Balance11]]</f>
        <v>1</v>
      </c>
      <c r="AZ44" s="676" t="b">
        <f>[3]!Table2[[#This Row],[Total Certified ]]=Table2[[#This Row],[Total Certified ]]</f>
        <v>1</v>
      </c>
    </row>
    <row r="45" spans="1:52" ht="24" customHeight="1">
      <c r="A45" s="994">
        <f t="shared" si="22"/>
        <v>33</v>
      </c>
      <c r="B45" s="689" t="s">
        <v>654</v>
      </c>
      <c r="C45" s="689" t="s">
        <v>655</v>
      </c>
      <c r="D45" s="693">
        <v>353975.01</v>
      </c>
      <c r="E45" s="690" t="s">
        <v>656</v>
      </c>
      <c r="F45" s="695"/>
      <c r="G45" s="817">
        <f t="shared" si="18"/>
        <v>0</v>
      </c>
      <c r="H45" s="824">
        <f t="shared" si="19"/>
        <v>0</v>
      </c>
      <c r="I45" s="817"/>
      <c r="J45" s="692"/>
      <c r="K45" s="912" t="s">
        <v>254</v>
      </c>
      <c r="L45" s="812"/>
      <c r="M45" s="928"/>
      <c r="N45" s="819"/>
      <c r="O45" s="841"/>
      <c r="P45" s="814"/>
      <c r="Q45" s="824"/>
      <c r="R45" s="814"/>
      <c r="S45" s="824"/>
      <c r="T45" s="827">
        <f t="shared" si="20"/>
        <v>0</v>
      </c>
      <c r="U45" s="692">
        <f t="shared" si="16"/>
        <v>0</v>
      </c>
      <c r="V45" s="967">
        <v>285597.815</v>
      </c>
      <c r="W45" s="842">
        <v>285597.82</v>
      </c>
      <c r="X45" s="696"/>
      <c r="Y45" s="698"/>
      <c r="Z45" s="965">
        <f t="shared" ref="Z45:Z48" si="23">IF((T45*Y45)&lt;V45,(T45*Y45),V45)</f>
        <v>0</v>
      </c>
      <c r="AA45" s="697">
        <v>0</v>
      </c>
      <c r="AB45" s="963">
        <f t="shared" si="2"/>
        <v>285597.815</v>
      </c>
      <c r="AC45" s="700">
        <f t="shared" si="3"/>
        <v>285597.82</v>
      </c>
      <c r="AD45" s="694">
        <f t="shared" si="17"/>
        <v>285597.815</v>
      </c>
      <c r="AE45" s="998">
        <f t="shared" si="10"/>
        <v>285597.82</v>
      </c>
      <c r="AG45" s="701">
        <f t="shared" si="4"/>
        <v>-5.0000000046566129E-3</v>
      </c>
      <c r="AM45" s="680">
        <f t="shared" si="5"/>
        <v>0</v>
      </c>
      <c r="AV45" s="722">
        <f>Table2[[#This Row],[Total Claimed]]-Table2[[#This Row],[Sub-Total8]]</f>
        <v>285597.82</v>
      </c>
      <c r="AW45" s="676" t="b">
        <f>AV45=Table2[[#This Row],[Balance11]]</f>
        <v>1</v>
      </c>
      <c r="AZ45" s="676" t="b">
        <f>[3]!Table2[[#This Row],[Total Certified ]]=Table2[[#This Row],[Total Certified ]]</f>
        <v>1</v>
      </c>
    </row>
    <row r="46" spans="1:52" ht="24" customHeight="1">
      <c r="A46" s="994">
        <f t="shared" si="22"/>
        <v>34</v>
      </c>
      <c r="B46" s="689" t="s">
        <v>657</v>
      </c>
      <c r="C46" s="689" t="s">
        <v>658</v>
      </c>
      <c r="D46" s="693">
        <v>54387.15</v>
      </c>
      <c r="E46" s="690" t="s">
        <v>659</v>
      </c>
      <c r="F46" s="695">
        <v>401126.93</v>
      </c>
      <c r="G46" s="817">
        <f t="shared" si="18"/>
        <v>84442.961500000034</v>
      </c>
      <c r="H46" s="824">
        <f t="shared" si="19"/>
        <v>84442.960000000021</v>
      </c>
      <c r="I46" s="817">
        <v>485569.89150000003</v>
      </c>
      <c r="J46" s="692">
        <v>485569.89</v>
      </c>
      <c r="K46" s="945" t="s">
        <v>995</v>
      </c>
      <c r="L46" s="812"/>
      <c r="M46" s="928"/>
      <c r="N46" s="819"/>
      <c r="O46" s="841"/>
      <c r="P46" s="814"/>
      <c r="Q46" s="824"/>
      <c r="R46" s="814"/>
      <c r="S46" s="824"/>
      <c r="T46" s="827">
        <f t="shared" si="20"/>
        <v>485569.89150000003</v>
      </c>
      <c r="U46" s="692">
        <f t="shared" si="16"/>
        <v>485569.89</v>
      </c>
      <c r="V46" s="967"/>
      <c r="W46" s="842"/>
      <c r="X46" s="696"/>
      <c r="Y46" s="698"/>
      <c r="Z46" s="965">
        <f t="shared" si="23"/>
        <v>0</v>
      </c>
      <c r="AA46" s="697">
        <v>0</v>
      </c>
      <c r="AB46" s="963">
        <f t="shared" si="2"/>
        <v>0</v>
      </c>
      <c r="AC46" s="700">
        <f t="shared" si="3"/>
        <v>0</v>
      </c>
      <c r="AD46" s="694">
        <f t="shared" si="17"/>
        <v>485569.89150000003</v>
      </c>
      <c r="AE46" s="998">
        <f t="shared" si="10"/>
        <v>485569.89</v>
      </c>
      <c r="AG46" s="701">
        <f t="shared" si="4"/>
        <v>1.500000013038516E-3</v>
      </c>
      <c r="AM46" s="680">
        <f t="shared" si="5"/>
        <v>1.500000013038516E-3</v>
      </c>
      <c r="AV46" s="722">
        <f>Table2[[#This Row],[Total Claimed]]-Table2[[#This Row],[Sub-Total8]]</f>
        <v>0</v>
      </c>
      <c r="AW46" s="676" t="b">
        <f>AV46=Table2[[#This Row],[Balance11]]</f>
        <v>1</v>
      </c>
      <c r="AZ46" s="676" t="b">
        <f>[3]!Table2[[#This Row],[Total Certified ]]=Table2[[#This Row],[Total Certified ]]</f>
        <v>1</v>
      </c>
    </row>
    <row r="47" spans="1:52" ht="24" customHeight="1">
      <c r="A47" s="994">
        <f t="shared" si="22"/>
        <v>35</v>
      </c>
      <c r="B47" s="689" t="s">
        <v>660</v>
      </c>
      <c r="C47" s="689" t="s">
        <v>661</v>
      </c>
      <c r="D47" s="693">
        <v>35410</v>
      </c>
      <c r="E47" s="690" t="s">
        <v>662</v>
      </c>
      <c r="F47" s="695">
        <v>454113.45</v>
      </c>
      <c r="G47" s="817">
        <f t="shared" si="18"/>
        <v>23579</v>
      </c>
      <c r="H47" s="824">
        <f t="shared" si="19"/>
        <v>-197065.45</v>
      </c>
      <c r="I47" s="817">
        <v>477692.45</v>
      </c>
      <c r="J47" s="692">
        <v>257048</v>
      </c>
      <c r="K47" s="912" t="s">
        <v>160</v>
      </c>
      <c r="L47" s="812"/>
      <c r="M47" s="928"/>
      <c r="N47" s="819"/>
      <c r="O47" s="841"/>
      <c r="P47" s="814"/>
      <c r="Q47" s="824"/>
      <c r="R47" s="814"/>
      <c r="S47" s="824">
        <v>285728.45</v>
      </c>
      <c r="T47" s="827">
        <f t="shared" si="20"/>
        <v>477692.45</v>
      </c>
      <c r="U47" s="692">
        <f t="shared" si="16"/>
        <v>542776.44999999995</v>
      </c>
      <c r="V47" s="967"/>
      <c r="W47" s="842"/>
      <c r="X47" s="696"/>
      <c r="Y47" s="698"/>
      <c r="Z47" s="965">
        <f t="shared" si="23"/>
        <v>0</v>
      </c>
      <c r="AA47" s="697">
        <v>0</v>
      </c>
      <c r="AB47" s="963">
        <f t="shared" si="2"/>
        <v>0</v>
      </c>
      <c r="AC47" s="700">
        <f t="shared" si="3"/>
        <v>0</v>
      </c>
      <c r="AD47" s="694">
        <f t="shared" si="17"/>
        <v>477692.45</v>
      </c>
      <c r="AE47" s="998">
        <f t="shared" si="10"/>
        <v>542776.44999999995</v>
      </c>
      <c r="AG47" s="701">
        <f t="shared" si="4"/>
        <v>-65083.999999999942</v>
      </c>
      <c r="AM47" s="680">
        <f t="shared" si="5"/>
        <v>-65083.999999999942</v>
      </c>
      <c r="AV47" s="722">
        <f>Table2[[#This Row],[Total Claimed]]-Table2[[#This Row],[Sub-Total8]]</f>
        <v>0</v>
      </c>
      <c r="AW47" s="676" t="b">
        <f>AV47=Table2[[#This Row],[Balance11]]</f>
        <v>1</v>
      </c>
      <c r="AZ47" s="676" t="b">
        <f>[3]!Table2[[#This Row],[Total Certified ]]=Table2[[#This Row],[Total Certified ]]</f>
        <v>1</v>
      </c>
    </row>
    <row r="48" spans="1:52" ht="24" customHeight="1">
      <c r="A48" s="994">
        <f t="shared" si="22"/>
        <v>36</v>
      </c>
      <c r="B48" s="689" t="s">
        <v>663</v>
      </c>
      <c r="C48" s="689" t="s">
        <v>664</v>
      </c>
      <c r="D48" s="693">
        <v>441760</v>
      </c>
      <c r="E48" s="690" t="s">
        <v>665</v>
      </c>
      <c r="F48" s="695">
        <v>167652.4</v>
      </c>
      <c r="G48" s="817">
        <f t="shared" si="18"/>
        <v>56992.930629750015</v>
      </c>
      <c r="H48" s="824">
        <f t="shared" si="19"/>
        <v>59594.23000000001</v>
      </c>
      <c r="I48" s="817">
        <v>224645.33062975001</v>
      </c>
      <c r="J48" s="692">
        <v>227246.63</v>
      </c>
      <c r="K48" s="912" t="s">
        <v>995</v>
      </c>
      <c r="L48" s="812"/>
      <c r="M48" s="928"/>
      <c r="N48" s="819"/>
      <c r="O48" s="841"/>
      <c r="P48" s="814"/>
      <c r="Q48" s="824"/>
      <c r="R48" s="814"/>
      <c r="S48" s="824"/>
      <c r="T48" s="827">
        <f t="shared" si="20"/>
        <v>224645.33062975001</v>
      </c>
      <c r="U48" s="692">
        <f t="shared" si="16"/>
        <v>227246.63</v>
      </c>
      <c r="V48" s="967"/>
      <c r="W48" s="842"/>
      <c r="X48" s="696"/>
      <c r="Y48" s="698"/>
      <c r="Z48" s="965">
        <f t="shared" si="23"/>
        <v>0</v>
      </c>
      <c r="AA48" s="697">
        <v>0</v>
      </c>
      <c r="AB48" s="963">
        <f t="shared" si="2"/>
        <v>0</v>
      </c>
      <c r="AC48" s="700">
        <f t="shared" si="3"/>
        <v>0</v>
      </c>
      <c r="AD48" s="694">
        <f t="shared" si="17"/>
        <v>224645.33062975001</v>
      </c>
      <c r="AE48" s="998">
        <f t="shared" si="10"/>
        <v>227246.63</v>
      </c>
      <c r="AG48" s="701">
        <f t="shared" si="4"/>
        <v>-2601.2993702499953</v>
      </c>
      <c r="AM48" s="680">
        <f t="shared" si="5"/>
        <v>-2601.2993702499953</v>
      </c>
      <c r="AV48" s="722">
        <f>Table2[[#This Row],[Total Claimed]]-Table2[[#This Row],[Sub-Total8]]</f>
        <v>0</v>
      </c>
      <c r="AW48" s="676" t="b">
        <f>AV48=Table2[[#This Row],[Balance11]]</f>
        <v>1</v>
      </c>
      <c r="AZ48" s="676" t="b">
        <f>[3]!Table2[[#This Row],[Total Certified ]]=Table2[[#This Row],[Total Certified ]]</f>
        <v>1</v>
      </c>
    </row>
    <row r="49" spans="1:52" ht="24" customHeight="1">
      <c r="A49" s="994">
        <f t="shared" si="22"/>
        <v>37</v>
      </c>
      <c r="B49" s="689" t="s">
        <v>666</v>
      </c>
      <c r="C49" s="689" t="s">
        <v>667</v>
      </c>
      <c r="D49" s="693">
        <v>1331893</v>
      </c>
      <c r="E49" s="690" t="s">
        <v>668</v>
      </c>
      <c r="F49" s="695">
        <v>1790234.5799999998</v>
      </c>
      <c r="G49" s="817">
        <f t="shared" si="18"/>
        <v>77310.52500000014</v>
      </c>
      <c r="H49" s="824">
        <f t="shared" si="19"/>
        <v>81939.79000000027</v>
      </c>
      <c r="I49" s="817">
        <v>1867545.105</v>
      </c>
      <c r="J49" s="692">
        <v>1872174.37</v>
      </c>
      <c r="K49" s="912" t="s">
        <v>160</v>
      </c>
      <c r="L49" s="812"/>
      <c r="M49" s="928"/>
      <c r="N49" s="819"/>
      <c r="O49" s="841"/>
      <c r="P49" s="814"/>
      <c r="Q49" s="824"/>
      <c r="R49" s="814">
        <v>265150</v>
      </c>
      <c r="S49" s="824">
        <v>326012.5</v>
      </c>
      <c r="T49" s="827">
        <f t="shared" si="20"/>
        <v>2132695.105</v>
      </c>
      <c r="U49" s="692">
        <f t="shared" si="16"/>
        <v>2198186.87</v>
      </c>
      <c r="V49" s="967">
        <v>66594.649999999994</v>
      </c>
      <c r="W49" s="842">
        <v>66594.649999999994</v>
      </c>
      <c r="X49" s="696">
        <v>0.05</v>
      </c>
      <c r="Y49" s="698">
        <v>0.05</v>
      </c>
      <c r="Z49" s="965">
        <f>IF((T49*Y49)&lt;V49,(T49*Y49),V49)</f>
        <v>66594.649999999994</v>
      </c>
      <c r="AA49" s="697">
        <v>66594.649999999994</v>
      </c>
      <c r="AB49" s="963">
        <f t="shared" si="2"/>
        <v>0</v>
      </c>
      <c r="AC49" s="700">
        <f t="shared" si="3"/>
        <v>0</v>
      </c>
      <c r="AD49" s="694">
        <f>AB49+T49</f>
        <v>2132695.105</v>
      </c>
      <c r="AE49" s="998">
        <f t="shared" si="10"/>
        <v>2198186.87</v>
      </c>
      <c r="AG49" s="701">
        <f t="shared" si="4"/>
        <v>-65491.76500000013</v>
      </c>
      <c r="AM49" s="680">
        <f t="shared" si="5"/>
        <v>-65491.76500000013</v>
      </c>
      <c r="AV49" s="722">
        <f>Table2[[#This Row],[Total Claimed]]-Table2[[#This Row],[Sub-Total8]]</f>
        <v>0</v>
      </c>
      <c r="AW49" s="676" t="b">
        <f>AV49=Table2[[#This Row],[Balance11]]</f>
        <v>1</v>
      </c>
      <c r="AZ49" s="676" t="b">
        <f>[3]!Table2[[#This Row],[Total Certified ]]=Table2[[#This Row],[Total Certified ]]</f>
        <v>1</v>
      </c>
    </row>
    <row r="50" spans="1:52" ht="24" customHeight="1">
      <c r="A50" s="994">
        <f t="shared" si="22"/>
        <v>38</v>
      </c>
      <c r="B50" s="689" t="s">
        <v>669</v>
      </c>
      <c r="C50" s="689" t="s">
        <v>670</v>
      </c>
      <c r="D50" s="693">
        <v>685405</v>
      </c>
      <c r="E50" s="690" t="s">
        <v>671</v>
      </c>
      <c r="F50" s="695">
        <v>133526.75238095238</v>
      </c>
      <c r="G50" s="817">
        <f t="shared" si="18"/>
        <v>0</v>
      </c>
      <c r="H50" s="824">
        <f t="shared" si="19"/>
        <v>6213.9376190476178</v>
      </c>
      <c r="I50" s="817">
        <f>((130492.69/1.05)+9248)</f>
        <v>133526.75238095238</v>
      </c>
      <c r="J50" s="692">
        <f>130492.69+9248</f>
        <v>139740.69</v>
      </c>
      <c r="K50" s="912" t="s">
        <v>160</v>
      </c>
      <c r="L50" s="812"/>
      <c r="M50" s="928"/>
      <c r="N50" s="819"/>
      <c r="O50" s="841"/>
      <c r="P50" s="814"/>
      <c r="Q50" s="824"/>
      <c r="R50" s="814"/>
      <c r="S50" s="824"/>
      <c r="T50" s="827">
        <f t="shared" si="20"/>
        <v>133526.75238095238</v>
      </c>
      <c r="U50" s="692">
        <f t="shared" si="16"/>
        <v>139740.69</v>
      </c>
      <c r="V50" s="967">
        <v>60640</v>
      </c>
      <c r="W50" s="842">
        <v>60640</v>
      </c>
      <c r="X50" s="696">
        <v>0.2</v>
      </c>
      <c r="Y50" s="698"/>
      <c r="Z50" s="965">
        <f t="shared" ref="Z50" si="24">IF((T50*Y50)&lt;V50,(T50*Y50),V50)</f>
        <v>0</v>
      </c>
      <c r="AA50" s="697">
        <v>0</v>
      </c>
      <c r="AB50" s="963">
        <f t="shared" si="2"/>
        <v>60640</v>
      </c>
      <c r="AC50" s="700">
        <f t="shared" si="3"/>
        <v>60640</v>
      </c>
      <c r="AD50" s="694">
        <f>AB50+T50</f>
        <v>194166.75238095238</v>
      </c>
      <c r="AE50" s="998">
        <f t="shared" si="10"/>
        <v>200380.69</v>
      </c>
      <c r="AG50" s="701">
        <f t="shared" si="4"/>
        <v>-6213.9376190476178</v>
      </c>
      <c r="AM50" s="680">
        <f t="shared" si="5"/>
        <v>-6213.9376190476178</v>
      </c>
      <c r="AV50" s="722">
        <f>Table2[[#This Row],[Total Claimed]]-Table2[[#This Row],[Sub-Total8]]</f>
        <v>60640</v>
      </c>
      <c r="AW50" s="676" t="b">
        <f>AV50=Table2[[#This Row],[Balance11]]</f>
        <v>1</v>
      </c>
      <c r="AZ50" s="676" t="b">
        <f>[3]!Table2[[#This Row],[Total Certified ]]=Table2[[#This Row],[Total Certified ]]</f>
        <v>1</v>
      </c>
    </row>
    <row r="51" spans="1:52" ht="24" customHeight="1">
      <c r="A51" s="994">
        <f t="shared" si="22"/>
        <v>39</v>
      </c>
      <c r="B51" s="689" t="s">
        <v>672</v>
      </c>
      <c r="C51" s="689" t="s">
        <v>673</v>
      </c>
      <c r="D51" s="693">
        <v>961039</v>
      </c>
      <c r="E51" s="690" t="s">
        <v>674</v>
      </c>
      <c r="F51" s="695">
        <v>625842.40999999992</v>
      </c>
      <c r="G51" s="819">
        <f t="shared" si="18"/>
        <v>62123.590000000084</v>
      </c>
      <c r="H51" s="824">
        <f t="shared" si="19"/>
        <v>115309.59000000008</v>
      </c>
      <c r="I51" s="976">
        <v>687966</v>
      </c>
      <c r="J51" s="692">
        <v>741152</v>
      </c>
      <c r="K51" s="912" t="s">
        <v>160</v>
      </c>
      <c r="L51" s="812"/>
      <c r="M51" s="928"/>
      <c r="N51" s="819"/>
      <c r="O51" s="841"/>
      <c r="P51" s="814"/>
      <c r="Q51" s="824"/>
      <c r="R51" s="814">
        <v>54355.329000774298</v>
      </c>
      <c r="S51" s="824">
        <v>55947.31</v>
      </c>
      <c r="T51" s="827">
        <f t="shared" si="20"/>
        <v>742321.32900077431</v>
      </c>
      <c r="U51" s="692">
        <f t="shared" si="16"/>
        <v>797099.31</v>
      </c>
      <c r="V51" s="967">
        <v>96103.900000000009</v>
      </c>
      <c r="W51" s="842">
        <v>96103.900000000009</v>
      </c>
      <c r="X51" s="696">
        <v>0.1</v>
      </c>
      <c r="Y51" s="698">
        <v>0.12</v>
      </c>
      <c r="Z51" s="965">
        <f>IF((T51*Y51)&lt;V51,(T51*Y51),V51)</f>
        <v>89078.55948009291</v>
      </c>
      <c r="AA51" s="697">
        <v>95651.92</v>
      </c>
      <c r="AB51" s="963">
        <f>V51-Z51</f>
        <v>7025.3405199070985</v>
      </c>
      <c r="AC51" s="700">
        <f t="shared" si="3"/>
        <v>451.98000000001048</v>
      </c>
      <c r="AD51" s="694">
        <f t="shared" si="17"/>
        <v>749346.66952068137</v>
      </c>
      <c r="AE51" s="998">
        <f t="shared" si="10"/>
        <v>797551.29</v>
      </c>
      <c r="AG51" s="701">
        <f t="shared" si="4"/>
        <v>-48204.620479318663</v>
      </c>
      <c r="AM51" s="680">
        <f t="shared" si="5"/>
        <v>-54777.980999225751</v>
      </c>
      <c r="AV51" s="722">
        <f>Table2[[#This Row],[Total Claimed]]-Table2[[#This Row],[Sub-Total8]]</f>
        <v>451.97999999998137</v>
      </c>
      <c r="AW51" s="676" t="b">
        <f>AV51=Table2[[#This Row],[Balance11]]</f>
        <v>0</v>
      </c>
      <c r="AZ51" s="676" t="b">
        <f>[3]!Table2[[#This Row],[Total Certified ]]=Table2[[#This Row],[Total Certified ]]</f>
        <v>1</v>
      </c>
    </row>
    <row r="52" spans="1:52" ht="24" customHeight="1">
      <c r="A52" s="994">
        <f t="shared" si="22"/>
        <v>40</v>
      </c>
      <c r="B52" s="699" t="s">
        <v>675</v>
      </c>
      <c r="C52" s="689" t="s">
        <v>676</v>
      </c>
      <c r="D52" s="704">
        <v>645526.09</v>
      </c>
      <c r="E52" s="705" t="s">
        <v>677</v>
      </c>
      <c r="F52" s="828">
        <v>378896.84</v>
      </c>
      <c r="G52" s="819">
        <f t="shared" si="18"/>
        <v>172293.83807</v>
      </c>
      <c r="H52" s="824">
        <f t="shared" si="19"/>
        <v>212665.8299999999</v>
      </c>
      <c r="I52" s="817">
        <v>551190.67807000002</v>
      </c>
      <c r="J52" s="692">
        <v>591562.66999999993</v>
      </c>
      <c r="K52" s="912" t="s">
        <v>160</v>
      </c>
      <c r="L52" s="812"/>
      <c r="M52" s="928"/>
      <c r="N52" s="819"/>
      <c r="O52" s="841"/>
      <c r="P52" s="814"/>
      <c r="Q52" s="824"/>
      <c r="R52" s="814">
        <v>69111.861499999985</v>
      </c>
      <c r="S52" s="824">
        <v>69432.649999999994</v>
      </c>
      <c r="T52" s="827">
        <f t="shared" si="20"/>
        <v>620302.53957000002</v>
      </c>
      <c r="U52" s="692">
        <f t="shared" si="16"/>
        <v>660995.31999999995</v>
      </c>
      <c r="V52" s="967"/>
      <c r="W52" s="842"/>
      <c r="X52" s="696"/>
      <c r="Y52" s="698"/>
      <c r="Z52" s="965">
        <f t="shared" ref="Z52:Z59" si="25">IF((T52*Y52)&lt;V52,(T52*Y52),V52)</f>
        <v>0</v>
      </c>
      <c r="AA52" s="697">
        <v>0</v>
      </c>
      <c r="AB52" s="963">
        <f t="shared" si="2"/>
        <v>0</v>
      </c>
      <c r="AC52" s="700">
        <f t="shared" si="3"/>
        <v>0</v>
      </c>
      <c r="AD52" s="694">
        <f t="shared" si="17"/>
        <v>620302.53957000002</v>
      </c>
      <c r="AE52" s="998">
        <f t="shared" si="10"/>
        <v>660995.31999999995</v>
      </c>
      <c r="AG52" s="701">
        <f t="shared" si="4"/>
        <v>-40692.780429999926</v>
      </c>
      <c r="AM52" s="680">
        <f t="shared" si="5"/>
        <v>-40692.780429999926</v>
      </c>
      <c r="AV52" s="722">
        <f>Table2[[#This Row],[Total Claimed]]-Table2[[#This Row],[Sub-Total8]]</f>
        <v>0</v>
      </c>
      <c r="AW52" s="676" t="b">
        <f>AV52=Table2[[#This Row],[Balance11]]</f>
        <v>1</v>
      </c>
      <c r="AZ52" s="676" t="b">
        <f>[3]!Table2[[#This Row],[Total Certified ]]=Table2[[#This Row],[Total Certified ]]</f>
        <v>1</v>
      </c>
    </row>
    <row r="53" spans="1:52" ht="24" customHeight="1">
      <c r="A53" s="994">
        <f t="shared" si="22"/>
        <v>41</v>
      </c>
      <c r="B53" s="689" t="s">
        <v>678</v>
      </c>
      <c r="C53" s="706" t="s">
        <v>679</v>
      </c>
      <c r="D53" s="693">
        <v>313333</v>
      </c>
      <c r="E53" s="690" t="s">
        <v>680</v>
      </c>
      <c r="F53" s="695">
        <v>118320</v>
      </c>
      <c r="G53" s="819">
        <f t="shared" si="18"/>
        <v>12852</v>
      </c>
      <c r="H53" s="824">
        <f t="shared" si="19"/>
        <v>12852</v>
      </c>
      <c r="I53" s="817">
        <v>131172</v>
      </c>
      <c r="J53" s="692">
        <v>131172</v>
      </c>
      <c r="K53" s="912" t="s">
        <v>160</v>
      </c>
      <c r="L53" s="812"/>
      <c r="M53" s="928"/>
      <c r="N53" s="819"/>
      <c r="O53" s="841"/>
      <c r="P53" s="814"/>
      <c r="Q53" s="824"/>
      <c r="R53" s="814"/>
      <c r="S53" s="824"/>
      <c r="T53" s="827">
        <f t="shared" si="20"/>
        <v>131172</v>
      </c>
      <c r="U53" s="692">
        <f t="shared" si="16"/>
        <v>131172</v>
      </c>
      <c r="V53" s="967"/>
      <c r="W53" s="842"/>
      <c r="X53" s="696"/>
      <c r="Y53" s="698"/>
      <c r="Z53" s="965">
        <f t="shared" si="25"/>
        <v>0</v>
      </c>
      <c r="AA53" s="697">
        <v>0</v>
      </c>
      <c r="AB53" s="963">
        <f t="shared" si="2"/>
        <v>0</v>
      </c>
      <c r="AC53" s="700">
        <f t="shared" si="3"/>
        <v>0</v>
      </c>
      <c r="AD53" s="694">
        <f t="shared" si="17"/>
        <v>131172</v>
      </c>
      <c r="AE53" s="998">
        <f t="shared" si="10"/>
        <v>131172</v>
      </c>
      <c r="AG53" s="701">
        <f t="shared" si="4"/>
        <v>0</v>
      </c>
      <c r="AM53" s="680">
        <f t="shared" si="5"/>
        <v>0</v>
      </c>
      <c r="AV53" s="722">
        <f>Table2[[#This Row],[Total Claimed]]-Table2[[#This Row],[Sub-Total8]]</f>
        <v>0</v>
      </c>
      <c r="AW53" s="676" t="b">
        <f>AV53=Table2[[#This Row],[Balance11]]</f>
        <v>1</v>
      </c>
      <c r="AZ53" s="676" t="b">
        <f>[3]!Table2[[#This Row],[Total Certified ]]=Table2[[#This Row],[Total Certified ]]</f>
        <v>1</v>
      </c>
    </row>
    <row r="54" spans="1:52" ht="24" customHeight="1">
      <c r="A54" s="994">
        <f t="shared" si="22"/>
        <v>42</v>
      </c>
      <c r="B54" s="689" t="s">
        <v>681</v>
      </c>
      <c r="C54" s="706" t="s">
        <v>682</v>
      </c>
      <c r="D54" s="693">
        <v>88900</v>
      </c>
      <c r="E54" s="690" t="s">
        <v>683</v>
      </c>
      <c r="F54" s="695">
        <v>88900</v>
      </c>
      <c r="G54" s="819">
        <f t="shared" si="18"/>
        <v>0</v>
      </c>
      <c r="H54" s="824">
        <f t="shared" si="19"/>
        <v>0</v>
      </c>
      <c r="I54" s="817">
        <v>88900</v>
      </c>
      <c r="J54" s="692">
        <v>88900</v>
      </c>
      <c r="K54" s="912" t="s">
        <v>160</v>
      </c>
      <c r="L54" s="812"/>
      <c r="M54" s="928"/>
      <c r="N54" s="819"/>
      <c r="O54" s="841"/>
      <c r="P54" s="814"/>
      <c r="Q54" s="824"/>
      <c r="R54" s="814"/>
      <c r="S54" s="824"/>
      <c r="T54" s="827">
        <f t="shared" si="20"/>
        <v>88900</v>
      </c>
      <c r="U54" s="692">
        <f t="shared" si="16"/>
        <v>88900</v>
      </c>
      <c r="V54" s="967"/>
      <c r="W54" s="842"/>
      <c r="X54" s="696"/>
      <c r="Y54" s="698"/>
      <c r="Z54" s="965">
        <f t="shared" si="25"/>
        <v>0</v>
      </c>
      <c r="AA54" s="697">
        <v>0</v>
      </c>
      <c r="AB54" s="963">
        <f t="shared" si="2"/>
        <v>0</v>
      </c>
      <c r="AC54" s="700">
        <f t="shared" si="3"/>
        <v>0</v>
      </c>
      <c r="AD54" s="694">
        <f t="shared" si="17"/>
        <v>88900</v>
      </c>
      <c r="AE54" s="998">
        <f t="shared" si="10"/>
        <v>88900</v>
      </c>
      <c r="AG54" s="701">
        <f t="shared" si="4"/>
        <v>0</v>
      </c>
      <c r="AM54" s="680">
        <f t="shared" si="5"/>
        <v>0</v>
      </c>
      <c r="AV54" s="722">
        <f>Table2[[#This Row],[Total Claimed]]-Table2[[#This Row],[Sub-Total8]]</f>
        <v>0</v>
      </c>
      <c r="AW54" s="676" t="b">
        <f>AV54=Table2[[#This Row],[Balance11]]</f>
        <v>1</v>
      </c>
      <c r="AZ54" s="676" t="b">
        <f>[3]!Table2[[#This Row],[Total Certified ]]=Table2[[#This Row],[Total Certified ]]</f>
        <v>1</v>
      </c>
    </row>
    <row r="55" spans="1:52" ht="24" customHeight="1">
      <c r="A55" s="994">
        <f t="shared" si="22"/>
        <v>43</v>
      </c>
      <c r="B55" s="689" t="s">
        <v>684</v>
      </c>
      <c r="C55" s="706" t="s">
        <v>685</v>
      </c>
      <c r="D55" s="693">
        <v>47795</v>
      </c>
      <c r="E55" s="690" t="s">
        <v>686</v>
      </c>
      <c r="F55" s="695">
        <v>485457.3</v>
      </c>
      <c r="G55" s="819">
        <f t="shared" si="18"/>
        <v>145830.89999999997</v>
      </c>
      <c r="H55" s="824">
        <f t="shared" si="19"/>
        <v>145830.89999999997</v>
      </c>
      <c r="I55" s="817">
        <v>631288.19999999995</v>
      </c>
      <c r="J55" s="692">
        <v>631288.19999999995</v>
      </c>
      <c r="K55" s="912" t="s">
        <v>160</v>
      </c>
      <c r="L55" s="812"/>
      <c r="M55" s="928"/>
      <c r="N55" s="819"/>
      <c r="O55" s="841"/>
      <c r="P55" s="814"/>
      <c r="Q55" s="824"/>
      <c r="R55" s="814"/>
      <c r="S55" s="824"/>
      <c r="T55" s="827">
        <f t="shared" si="20"/>
        <v>631288.19999999995</v>
      </c>
      <c r="U55" s="692">
        <f t="shared" si="16"/>
        <v>631288.19999999995</v>
      </c>
      <c r="V55" s="967"/>
      <c r="W55" s="842"/>
      <c r="X55" s="696"/>
      <c r="Y55" s="698"/>
      <c r="Z55" s="965">
        <f t="shared" si="25"/>
        <v>0</v>
      </c>
      <c r="AA55" s="697">
        <v>0</v>
      </c>
      <c r="AB55" s="963">
        <f t="shared" si="2"/>
        <v>0</v>
      </c>
      <c r="AC55" s="700">
        <f t="shared" si="3"/>
        <v>0</v>
      </c>
      <c r="AD55" s="694">
        <f t="shared" si="17"/>
        <v>631288.19999999995</v>
      </c>
      <c r="AE55" s="998">
        <f t="shared" si="10"/>
        <v>631288.19999999995</v>
      </c>
      <c r="AG55" s="701">
        <f t="shared" si="4"/>
        <v>0</v>
      </c>
      <c r="AM55" s="680">
        <f t="shared" si="5"/>
        <v>0</v>
      </c>
      <c r="AV55" s="722">
        <f>Table2[[#This Row],[Total Claimed]]-Table2[[#This Row],[Sub-Total8]]</f>
        <v>0</v>
      </c>
      <c r="AW55" s="676" t="b">
        <f>AV55=Table2[[#This Row],[Balance11]]</f>
        <v>1</v>
      </c>
      <c r="AZ55" s="676" t="b">
        <f>[3]!Table2[[#This Row],[Total Certified ]]=Table2[[#This Row],[Total Certified ]]</f>
        <v>1</v>
      </c>
    </row>
    <row r="56" spans="1:52" ht="24" customHeight="1">
      <c r="A56" s="994">
        <f t="shared" si="22"/>
        <v>44</v>
      </c>
      <c r="B56" s="689" t="s">
        <v>687</v>
      </c>
      <c r="C56" s="706" t="s">
        <v>688</v>
      </c>
      <c r="D56" s="693">
        <v>110965</v>
      </c>
      <c r="E56" s="690" t="s">
        <v>689</v>
      </c>
      <c r="F56" s="695">
        <v>77965</v>
      </c>
      <c r="G56" s="819">
        <f t="shared" si="18"/>
        <v>27451.75</v>
      </c>
      <c r="H56" s="824">
        <f t="shared" si="19"/>
        <v>33000</v>
      </c>
      <c r="I56" s="817">
        <v>105416.75</v>
      </c>
      <c r="J56" s="692">
        <v>110965</v>
      </c>
      <c r="K56" s="912" t="s">
        <v>160</v>
      </c>
      <c r="L56" s="812"/>
      <c r="M56" s="928"/>
      <c r="N56" s="819"/>
      <c r="O56" s="841"/>
      <c r="P56" s="814"/>
      <c r="Q56" s="824"/>
      <c r="R56" s="814">
        <v>120150</v>
      </c>
      <c r="S56" s="824">
        <v>133500</v>
      </c>
      <c r="T56" s="827">
        <f t="shared" si="20"/>
        <v>225566.75</v>
      </c>
      <c r="U56" s="692">
        <f t="shared" si="16"/>
        <v>244465</v>
      </c>
      <c r="V56" s="967">
        <f>33290+170885.4</f>
        <v>204175.4</v>
      </c>
      <c r="W56" s="842">
        <v>33290</v>
      </c>
      <c r="X56" s="696">
        <f>V56/D56</f>
        <v>1.8399981976298831</v>
      </c>
      <c r="Y56" s="698" t="s">
        <v>585</v>
      </c>
      <c r="Z56" s="965">
        <v>33290</v>
      </c>
      <c r="AA56" s="697">
        <v>33290</v>
      </c>
      <c r="AB56" s="963">
        <f>V56-Z56</f>
        <v>170885.4</v>
      </c>
      <c r="AC56" s="700">
        <f t="shared" si="3"/>
        <v>0</v>
      </c>
      <c r="AD56" s="694">
        <f t="shared" si="17"/>
        <v>396452.15</v>
      </c>
      <c r="AE56" s="998">
        <f t="shared" si="10"/>
        <v>244465</v>
      </c>
      <c r="AG56" s="701">
        <f t="shared" si="4"/>
        <v>151987.15000000002</v>
      </c>
      <c r="AM56" s="680">
        <f t="shared" si="5"/>
        <v>-18898.25</v>
      </c>
      <c r="AV56" s="722">
        <f>Table2[[#This Row],[Total Claimed]]-Table2[[#This Row],[Sub-Total8]]</f>
        <v>0</v>
      </c>
      <c r="AW56" s="676" t="b">
        <f>AV56=Table2[[#This Row],[Balance11]]</f>
        <v>1</v>
      </c>
      <c r="AZ56" s="676" t="b">
        <f>[3]!Table2[[#This Row],[Total Certified ]]=Table2[[#This Row],[Total Certified ]]</f>
        <v>1</v>
      </c>
    </row>
    <row r="57" spans="1:52" ht="24" customHeight="1">
      <c r="A57" s="994">
        <f t="shared" si="22"/>
        <v>45</v>
      </c>
      <c r="B57" s="689" t="s">
        <v>690</v>
      </c>
      <c r="C57" s="706" t="s">
        <v>691</v>
      </c>
      <c r="D57" s="693">
        <v>225683</v>
      </c>
      <c r="E57" s="690" t="s">
        <v>692</v>
      </c>
      <c r="F57" s="695"/>
      <c r="G57" s="819">
        <f t="shared" si="18"/>
        <v>0</v>
      </c>
      <c r="H57" s="824">
        <f t="shared" si="19"/>
        <v>0</v>
      </c>
      <c r="I57" s="817"/>
      <c r="J57" s="692"/>
      <c r="K57" s="912" t="s">
        <v>991</v>
      </c>
      <c r="L57" s="812"/>
      <c r="M57" s="928"/>
      <c r="N57" s="819"/>
      <c r="O57" s="841"/>
      <c r="P57" s="814"/>
      <c r="Q57" s="824"/>
      <c r="R57" s="814"/>
      <c r="S57" s="824"/>
      <c r="T57" s="827">
        <f t="shared" si="20"/>
        <v>0</v>
      </c>
      <c r="U57" s="692">
        <f t="shared" si="16"/>
        <v>0</v>
      </c>
      <c r="V57" s="963">
        <v>45136.600000000006</v>
      </c>
      <c r="W57" s="842">
        <v>45136.600000000006</v>
      </c>
      <c r="X57" s="696">
        <f>V57/D57</f>
        <v>0.20000000000000004</v>
      </c>
      <c r="Y57" s="698"/>
      <c r="Z57" s="965">
        <f t="shared" si="25"/>
        <v>0</v>
      </c>
      <c r="AA57" s="697">
        <v>0</v>
      </c>
      <c r="AB57" s="963">
        <f t="shared" si="2"/>
        <v>45136.600000000006</v>
      </c>
      <c r="AC57" s="700">
        <f t="shared" si="3"/>
        <v>45136.600000000006</v>
      </c>
      <c r="AD57" s="694">
        <f t="shared" si="17"/>
        <v>45136.600000000006</v>
      </c>
      <c r="AE57" s="998">
        <f t="shared" si="10"/>
        <v>45136.600000000006</v>
      </c>
      <c r="AG57" s="701">
        <f t="shared" si="4"/>
        <v>0</v>
      </c>
      <c r="AM57" s="680">
        <f t="shared" si="5"/>
        <v>0</v>
      </c>
      <c r="AV57" s="722">
        <f>Table2[[#This Row],[Total Claimed]]-Table2[[#This Row],[Sub-Total8]]</f>
        <v>45136.600000000006</v>
      </c>
      <c r="AW57" s="676" t="b">
        <f>AV57=Table2[[#This Row],[Balance11]]</f>
        <v>1</v>
      </c>
      <c r="AZ57" s="676" t="b">
        <f>[3]!Table2[[#This Row],[Total Certified ]]=Table2[[#This Row],[Total Certified ]]</f>
        <v>1</v>
      </c>
    </row>
    <row r="58" spans="1:52" ht="24" customHeight="1">
      <c r="A58" s="994">
        <f t="shared" si="22"/>
        <v>46</v>
      </c>
      <c r="B58" s="689" t="s">
        <v>693</v>
      </c>
      <c r="C58" s="706" t="s">
        <v>670</v>
      </c>
      <c r="D58" s="693">
        <v>154496.04999999999</v>
      </c>
      <c r="E58" s="690" t="s">
        <v>694</v>
      </c>
      <c r="F58" s="695">
        <v>22602.85</v>
      </c>
      <c r="G58" s="819">
        <f t="shared" si="18"/>
        <v>43218.030000000006</v>
      </c>
      <c r="H58" s="824">
        <f t="shared" si="19"/>
        <v>43218.04</v>
      </c>
      <c r="I58" s="817">
        <v>65820.88</v>
      </c>
      <c r="J58" s="692">
        <v>65820.89</v>
      </c>
      <c r="K58" s="912" t="s">
        <v>160</v>
      </c>
      <c r="L58" s="812"/>
      <c r="M58" s="928"/>
      <c r="N58" s="819"/>
      <c r="O58" s="841"/>
      <c r="P58" s="814"/>
      <c r="Q58" s="824"/>
      <c r="R58" s="814"/>
      <c r="S58" s="824"/>
      <c r="T58" s="827">
        <f t="shared" si="20"/>
        <v>65820.88</v>
      </c>
      <c r="U58" s="692">
        <f t="shared" si="16"/>
        <v>65820.89</v>
      </c>
      <c r="V58" s="967">
        <v>24449.21</v>
      </c>
      <c r="W58" s="842">
        <v>24449.21</v>
      </c>
      <c r="X58" s="696">
        <f>V58/D58</f>
        <v>0.15825135982440974</v>
      </c>
      <c r="Y58" s="698">
        <v>0.2</v>
      </c>
      <c r="Z58" s="965">
        <f t="shared" si="25"/>
        <v>13164.176000000001</v>
      </c>
      <c r="AA58" s="697">
        <v>13164.18</v>
      </c>
      <c r="AB58" s="963">
        <f t="shared" si="2"/>
        <v>11285.033999999998</v>
      </c>
      <c r="AC58" s="700">
        <f t="shared" si="3"/>
        <v>11285.029999999999</v>
      </c>
      <c r="AD58" s="694">
        <f t="shared" si="17"/>
        <v>77105.914000000004</v>
      </c>
      <c r="AE58" s="998">
        <f t="shared" si="10"/>
        <v>77105.919999999998</v>
      </c>
      <c r="AG58" s="701">
        <f t="shared" si="4"/>
        <v>-5.9999999939464033E-3</v>
      </c>
      <c r="AM58" s="680">
        <f t="shared" si="5"/>
        <v>-9.9999999947613105E-3</v>
      </c>
      <c r="AV58" s="722">
        <f>Table2[[#This Row],[Total Claimed]]-Table2[[#This Row],[Sub-Total8]]</f>
        <v>11285.029999999999</v>
      </c>
      <c r="AW58" s="676" t="b">
        <f>AV58=Table2[[#This Row],[Balance11]]</f>
        <v>1</v>
      </c>
      <c r="AZ58" s="676" t="b">
        <f>[3]!Table2[[#This Row],[Total Certified ]]=Table2[[#This Row],[Total Certified ]]</f>
        <v>1</v>
      </c>
    </row>
    <row r="59" spans="1:52" ht="24" customHeight="1">
      <c r="A59" s="994">
        <f t="shared" si="22"/>
        <v>47</v>
      </c>
      <c r="B59" s="689" t="s">
        <v>695</v>
      </c>
      <c r="C59" s="706" t="s">
        <v>696</v>
      </c>
      <c r="D59" s="693">
        <v>474794.1</v>
      </c>
      <c r="E59" s="690" t="s">
        <v>697</v>
      </c>
      <c r="F59" s="695"/>
      <c r="G59" s="819">
        <f t="shared" si="18"/>
        <v>0</v>
      </c>
      <c r="H59" s="824">
        <f t="shared" si="19"/>
        <v>0</v>
      </c>
      <c r="I59" s="817"/>
      <c r="J59" s="692"/>
      <c r="K59" s="912" t="s">
        <v>160</v>
      </c>
      <c r="L59" s="812"/>
      <c r="M59" s="928"/>
      <c r="N59" s="819"/>
      <c r="O59" s="841"/>
      <c r="P59" s="814"/>
      <c r="Q59" s="824"/>
      <c r="R59" s="814"/>
      <c r="S59" s="824"/>
      <c r="T59" s="827">
        <f t="shared" si="20"/>
        <v>0</v>
      </c>
      <c r="U59" s="692">
        <f t="shared" si="16"/>
        <v>0</v>
      </c>
      <c r="V59" s="967">
        <f>D59*50%+36798</f>
        <v>274195.05</v>
      </c>
      <c r="W59" s="842">
        <v>274195.05</v>
      </c>
      <c r="X59" s="696">
        <v>0.5</v>
      </c>
      <c r="Y59" s="698"/>
      <c r="Z59" s="965">
        <f t="shared" si="25"/>
        <v>0</v>
      </c>
      <c r="AA59" s="697">
        <v>0</v>
      </c>
      <c r="AB59" s="963">
        <f t="shared" si="2"/>
        <v>274195.05</v>
      </c>
      <c r="AC59" s="700">
        <f t="shared" si="3"/>
        <v>274195.05</v>
      </c>
      <c r="AD59" s="694">
        <f t="shared" si="17"/>
        <v>274195.05</v>
      </c>
      <c r="AE59" s="998">
        <f t="shared" si="10"/>
        <v>274195.05</v>
      </c>
      <c r="AG59" s="701">
        <f t="shared" si="4"/>
        <v>0</v>
      </c>
      <c r="AM59" s="680">
        <f t="shared" si="5"/>
        <v>0</v>
      </c>
      <c r="AV59" s="722">
        <f>Table2[[#This Row],[Total Claimed]]-Table2[[#This Row],[Sub-Total8]]</f>
        <v>274195.05</v>
      </c>
      <c r="AW59" s="676" t="b">
        <f>AV59=Table2[[#This Row],[Balance11]]</f>
        <v>1</v>
      </c>
      <c r="AZ59" s="676" t="b">
        <f>[3]!Table2[[#This Row],[Total Certified ]]=Table2[[#This Row],[Total Certified ]]</f>
        <v>1</v>
      </c>
    </row>
    <row r="60" spans="1:52" ht="24" customHeight="1">
      <c r="A60" s="994">
        <f t="shared" si="22"/>
        <v>48</v>
      </c>
      <c r="B60" s="689" t="s">
        <v>698</v>
      </c>
      <c r="C60" s="706" t="s">
        <v>643</v>
      </c>
      <c r="D60" s="693">
        <v>918183.61</v>
      </c>
      <c r="E60" s="690" t="s">
        <v>699</v>
      </c>
      <c r="F60" s="695">
        <v>706129.84500000009</v>
      </c>
      <c r="G60" s="819">
        <f t="shared" si="18"/>
        <v>129163.02299999993</v>
      </c>
      <c r="H60" s="824">
        <f t="shared" si="19"/>
        <v>129163.02499999991</v>
      </c>
      <c r="I60" s="817">
        <v>835292.86800000002</v>
      </c>
      <c r="J60" s="692">
        <v>835292.87</v>
      </c>
      <c r="K60" s="912" t="s">
        <v>254</v>
      </c>
      <c r="L60" s="812"/>
      <c r="M60" s="928"/>
      <c r="N60" s="819"/>
      <c r="O60" s="841"/>
      <c r="P60" s="814"/>
      <c r="Q60" s="824"/>
      <c r="R60" s="814">
        <v>45030.5</v>
      </c>
      <c r="S60" s="824">
        <v>45030.5</v>
      </c>
      <c r="T60" s="827">
        <f t="shared" si="20"/>
        <v>880323.36800000002</v>
      </c>
      <c r="U60" s="692">
        <f t="shared" si="16"/>
        <v>880323.37</v>
      </c>
      <c r="V60" s="967">
        <v>75000</v>
      </c>
      <c r="W60" s="842">
        <v>75000</v>
      </c>
      <c r="X60" s="696">
        <v>0.08</v>
      </c>
      <c r="Y60" s="698">
        <v>0.1</v>
      </c>
      <c r="Z60" s="965">
        <f>IF((T60*Y60)&lt;V60,(T60*Y60),V60)</f>
        <v>75000</v>
      </c>
      <c r="AA60" s="697">
        <v>75000</v>
      </c>
      <c r="AB60" s="963">
        <f t="shared" si="2"/>
        <v>0</v>
      </c>
      <c r="AC60" s="700">
        <f t="shared" si="3"/>
        <v>0</v>
      </c>
      <c r="AD60" s="694">
        <f t="shared" si="17"/>
        <v>880323.36800000002</v>
      </c>
      <c r="AE60" s="998">
        <f t="shared" si="10"/>
        <v>880323.37</v>
      </c>
      <c r="AG60" s="701">
        <f t="shared" si="4"/>
        <v>-1.9999999785795808E-3</v>
      </c>
      <c r="AH60" s="676" t="s">
        <v>700</v>
      </c>
      <c r="AK60" s="707" t="s">
        <v>701</v>
      </c>
      <c r="AM60" s="680">
        <f t="shared" si="5"/>
        <v>-1.9999999785795808E-3</v>
      </c>
      <c r="AV60" s="722">
        <f>Table2[[#This Row],[Total Claimed]]-Table2[[#This Row],[Sub-Total8]]</f>
        <v>0</v>
      </c>
      <c r="AW60" s="676" t="b">
        <f>AV60=Table2[[#This Row],[Balance11]]</f>
        <v>1</v>
      </c>
      <c r="AZ60" s="676" t="b">
        <f>[3]!Table2[[#This Row],[Total Certified ]]=Table2[[#This Row],[Total Certified ]]</f>
        <v>1</v>
      </c>
    </row>
    <row r="61" spans="1:52" ht="24" customHeight="1">
      <c r="A61" s="994">
        <f t="shared" si="22"/>
        <v>49</v>
      </c>
      <c r="B61" s="689" t="s">
        <v>702</v>
      </c>
      <c r="C61" s="706" t="s">
        <v>703</v>
      </c>
      <c r="D61" s="693">
        <v>265036</v>
      </c>
      <c r="E61" s="690" t="s">
        <v>704</v>
      </c>
      <c r="F61" s="695">
        <v>406975.92</v>
      </c>
      <c r="G61" s="819">
        <f t="shared" si="18"/>
        <v>71072.040000000154</v>
      </c>
      <c r="H61" s="824">
        <f t="shared" si="19"/>
        <v>81273.080000000016</v>
      </c>
      <c r="I61" s="817">
        <v>478047.96000000014</v>
      </c>
      <c r="J61" s="692">
        <f>479085.5+9163.5</f>
        <v>488249</v>
      </c>
      <c r="K61" s="912" t="s">
        <v>995</v>
      </c>
      <c r="L61" s="812"/>
      <c r="M61" s="928"/>
      <c r="N61" s="819"/>
      <c r="O61" s="841"/>
      <c r="P61" s="814"/>
      <c r="Q61" s="824"/>
      <c r="R61" s="814">
        <v>868501.57</v>
      </c>
      <c r="S61" s="824">
        <v>907787.15</v>
      </c>
      <c r="T61" s="827">
        <f t="shared" si="20"/>
        <v>1346549.53</v>
      </c>
      <c r="U61" s="692">
        <f t="shared" si="16"/>
        <v>1396036.15</v>
      </c>
      <c r="V61" s="967"/>
      <c r="W61" s="842"/>
      <c r="X61" s="696"/>
      <c r="Y61" s="698"/>
      <c r="Z61" s="965">
        <f t="shared" ref="Z61:Z64" si="26">IF((T61*Y61)&lt;V61,(T61*Y61),V61)</f>
        <v>0</v>
      </c>
      <c r="AA61" s="697">
        <v>0</v>
      </c>
      <c r="AB61" s="963">
        <f t="shared" si="2"/>
        <v>0</v>
      </c>
      <c r="AC61" s="700">
        <f t="shared" si="3"/>
        <v>0</v>
      </c>
      <c r="AD61" s="694">
        <f t="shared" si="17"/>
        <v>1346549.53</v>
      </c>
      <c r="AE61" s="998">
        <f t="shared" si="10"/>
        <v>1396036.15</v>
      </c>
      <c r="AG61" s="701">
        <f t="shared" si="4"/>
        <v>-49486.619999999879</v>
      </c>
      <c r="AH61" s="701"/>
      <c r="AM61" s="680">
        <f t="shared" si="5"/>
        <v>-49486.619999999879</v>
      </c>
      <c r="AV61" s="722">
        <f>Table2[[#This Row],[Total Claimed]]-Table2[[#This Row],[Sub-Total8]]</f>
        <v>0</v>
      </c>
      <c r="AW61" s="676" t="b">
        <f>AV61=Table2[[#This Row],[Balance11]]</f>
        <v>1</v>
      </c>
      <c r="AZ61" s="676" t="b">
        <f>[3]!Table2[[#This Row],[Total Certified ]]=Table2[[#This Row],[Total Certified ]]</f>
        <v>1</v>
      </c>
    </row>
    <row r="62" spans="1:52" ht="24" customHeight="1">
      <c r="A62" s="994">
        <f t="shared" si="22"/>
        <v>50</v>
      </c>
      <c r="B62" s="689" t="s">
        <v>705</v>
      </c>
      <c r="C62" s="706" t="s">
        <v>706</v>
      </c>
      <c r="D62" s="693">
        <v>1264100.1399999999</v>
      </c>
      <c r="E62" s="690" t="s">
        <v>707</v>
      </c>
      <c r="F62" s="695">
        <v>270000</v>
      </c>
      <c r="G62" s="819">
        <f t="shared" si="18"/>
        <v>141202.27100000001</v>
      </c>
      <c r="H62" s="824">
        <f t="shared" si="19"/>
        <v>62344</v>
      </c>
      <c r="I62" s="817">
        <v>411202.27100000001</v>
      </c>
      <c r="J62" s="692">
        <f>270000+62344</f>
        <v>332344</v>
      </c>
      <c r="K62" s="912" t="s">
        <v>160</v>
      </c>
      <c r="L62" s="812"/>
      <c r="M62" s="928"/>
      <c r="N62" s="819"/>
      <c r="O62" s="841"/>
      <c r="P62" s="814"/>
      <c r="Q62" s="824"/>
      <c r="R62" s="814"/>
      <c r="S62" s="824"/>
      <c r="T62" s="827">
        <f t="shared" si="20"/>
        <v>411202.27100000001</v>
      </c>
      <c r="U62" s="692">
        <f t="shared" si="16"/>
        <v>332344</v>
      </c>
      <c r="V62" s="967">
        <f>100000+33278.25</f>
        <v>133278.25</v>
      </c>
      <c r="W62" s="842">
        <v>133278.25</v>
      </c>
      <c r="X62" s="696">
        <f>V62/D62</f>
        <v>0.10543330056114068</v>
      </c>
      <c r="Y62" s="698">
        <v>0.1</v>
      </c>
      <c r="Z62" s="965">
        <f>IF((T62*Y62)&lt;V62,(T62*Y62),V62)</f>
        <v>41120.227100000004</v>
      </c>
      <c r="AA62" s="697">
        <v>33234.400000000001</v>
      </c>
      <c r="AB62" s="963">
        <f t="shared" si="2"/>
        <v>92158.022899999996</v>
      </c>
      <c r="AC62" s="700">
        <f t="shared" si="3"/>
        <v>100043.85</v>
      </c>
      <c r="AD62" s="694">
        <f t="shared" si="17"/>
        <v>503360.29389999999</v>
      </c>
      <c r="AE62" s="998">
        <f t="shared" si="10"/>
        <v>432387.85</v>
      </c>
      <c r="AG62" s="701">
        <f t="shared" si="4"/>
        <v>70972.443900000013</v>
      </c>
      <c r="AH62" s="707" t="s">
        <v>708</v>
      </c>
      <c r="AK62" s="707" t="s">
        <v>701</v>
      </c>
      <c r="AM62" s="680">
        <f t="shared" si="5"/>
        <v>78858.271000000008</v>
      </c>
      <c r="AV62" s="722">
        <f>Table2[[#This Row],[Total Claimed]]-Table2[[#This Row],[Sub-Total8]]</f>
        <v>100043.84999999998</v>
      </c>
      <c r="AW62" s="676" t="b">
        <f>AV62=Table2[[#This Row],[Balance11]]</f>
        <v>1</v>
      </c>
      <c r="AZ62" s="676" t="b">
        <f>[3]!Table2[[#This Row],[Total Certified ]]=Table2[[#This Row],[Total Certified ]]</f>
        <v>1</v>
      </c>
    </row>
    <row r="63" spans="1:52" ht="24" customHeight="1">
      <c r="A63" s="994">
        <f t="shared" si="22"/>
        <v>51</v>
      </c>
      <c r="B63" s="689" t="s">
        <v>709</v>
      </c>
      <c r="C63" s="706" t="s">
        <v>710</v>
      </c>
      <c r="D63" s="693">
        <v>33685</v>
      </c>
      <c r="E63" s="690" t="s">
        <v>711</v>
      </c>
      <c r="F63" s="695"/>
      <c r="G63" s="819">
        <f t="shared" si="18"/>
        <v>23579.5</v>
      </c>
      <c r="H63" s="824">
        <f t="shared" si="19"/>
        <v>23579.5</v>
      </c>
      <c r="I63" s="817">
        <v>23579.5</v>
      </c>
      <c r="J63" s="692">
        <v>23579.5</v>
      </c>
      <c r="K63" s="912" t="s">
        <v>254</v>
      </c>
      <c r="L63" s="812"/>
      <c r="M63" s="928"/>
      <c r="N63" s="819"/>
      <c r="O63" s="841"/>
      <c r="P63" s="814"/>
      <c r="Q63" s="824"/>
      <c r="R63" s="814"/>
      <c r="S63" s="824"/>
      <c r="T63" s="827">
        <f t="shared" si="20"/>
        <v>23579.5</v>
      </c>
      <c r="U63" s="692">
        <f t="shared" si="16"/>
        <v>23579.5</v>
      </c>
      <c r="V63" s="967">
        <v>3368.5</v>
      </c>
      <c r="W63" s="842">
        <v>3368.5</v>
      </c>
      <c r="X63" s="696">
        <v>0.1</v>
      </c>
      <c r="Y63" s="698">
        <v>0.1</v>
      </c>
      <c r="Z63" s="966">
        <f t="shared" si="26"/>
        <v>2357.9500000000003</v>
      </c>
      <c r="AA63" s="697">
        <v>0</v>
      </c>
      <c r="AB63" s="963">
        <f t="shared" si="2"/>
        <v>1010.5499999999997</v>
      </c>
      <c r="AC63" s="700">
        <f t="shared" si="3"/>
        <v>3368.5</v>
      </c>
      <c r="AD63" s="694">
        <f t="shared" si="17"/>
        <v>24590.05</v>
      </c>
      <c r="AE63" s="998">
        <f t="shared" si="10"/>
        <v>26948</v>
      </c>
      <c r="AG63" s="701">
        <f t="shared" si="4"/>
        <v>-2357.9500000000007</v>
      </c>
      <c r="AH63" s="707" t="s">
        <v>708</v>
      </c>
      <c r="AK63" s="707" t="s">
        <v>701</v>
      </c>
      <c r="AM63" s="680">
        <f t="shared" si="5"/>
        <v>0</v>
      </c>
      <c r="AV63" s="722">
        <f>Table2[[#This Row],[Total Claimed]]-Table2[[#This Row],[Sub-Total8]]</f>
        <v>3368.5</v>
      </c>
      <c r="AW63" s="676" t="b">
        <f>AV63=Table2[[#This Row],[Balance11]]</f>
        <v>1</v>
      </c>
      <c r="AZ63" s="676" t="b">
        <f>[3]!Table2[[#This Row],[Total Certified ]]=Table2[[#This Row],[Total Certified ]]</f>
        <v>1</v>
      </c>
    </row>
    <row r="64" spans="1:52" ht="24" customHeight="1">
      <c r="A64" s="994">
        <f t="shared" si="22"/>
        <v>52</v>
      </c>
      <c r="B64" s="689" t="s">
        <v>712</v>
      </c>
      <c r="C64" s="706" t="s">
        <v>713</v>
      </c>
      <c r="D64" s="693">
        <v>128266</v>
      </c>
      <c r="E64" s="690" t="s">
        <v>714</v>
      </c>
      <c r="F64" s="695"/>
      <c r="G64" s="819">
        <f t="shared" si="18"/>
        <v>0</v>
      </c>
      <c r="H64" s="824">
        <f t="shared" si="19"/>
        <v>0</v>
      </c>
      <c r="I64" s="817"/>
      <c r="J64" s="692"/>
      <c r="K64" s="912" t="s">
        <v>254</v>
      </c>
      <c r="L64" s="812"/>
      <c r="M64" s="928"/>
      <c r="N64" s="819"/>
      <c r="O64" s="841"/>
      <c r="P64" s="814"/>
      <c r="Q64" s="824"/>
      <c r="R64" s="814"/>
      <c r="S64" s="824"/>
      <c r="T64" s="827">
        <f t="shared" si="20"/>
        <v>0</v>
      </c>
      <c r="U64" s="692">
        <f t="shared" si="16"/>
        <v>0</v>
      </c>
      <c r="V64" s="967">
        <v>32066.5</v>
      </c>
      <c r="W64" s="842">
        <v>32066.5</v>
      </c>
      <c r="X64" s="696"/>
      <c r="Y64" s="698"/>
      <c r="Z64" s="965">
        <f t="shared" si="26"/>
        <v>0</v>
      </c>
      <c r="AA64" s="697">
        <v>0</v>
      </c>
      <c r="AB64" s="963">
        <f t="shared" si="2"/>
        <v>32066.5</v>
      </c>
      <c r="AC64" s="700">
        <f t="shared" si="3"/>
        <v>32066.5</v>
      </c>
      <c r="AD64" s="694">
        <f t="shared" si="17"/>
        <v>32066.5</v>
      </c>
      <c r="AE64" s="998">
        <f t="shared" si="10"/>
        <v>32066.5</v>
      </c>
      <c r="AG64" s="701">
        <f t="shared" si="4"/>
        <v>0</v>
      </c>
      <c r="AH64" s="707" t="s">
        <v>708</v>
      </c>
      <c r="AK64" s="707" t="s">
        <v>701</v>
      </c>
      <c r="AM64" s="680">
        <f t="shared" si="5"/>
        <v>0</v>
      </c>
      <c r="AV64" s="722">
        <f>Table2[[#This Row],[Total Claimed]]-Table2[[#This Row],[Sub-Total8]]</f>
        <v>32066.5</v>
      </c>
      <c r="AW64" s="676" t="b">
        <f>AV64=Table2[[#This Row],[Balance11]]</f>
        <v>1</v>
      </c>
      <c r="AZ64" s="676" t="b">
        <f>[3]!Table2[[#This Row],[Total Certified ]]=Table2[[#This Row],[Total Certified ]]</f>
        <v>1</v>
      </c>
    </row>
    <row r="65" spans="1:52" ht="24" customHeight="1">
      <c r="A65" s="994">
        <f t="shared" si="22"/>
        <v>53</v>
      </c>
      <c r="B65" s="689" t="s">
        <v>715</v>
      </c>
      <c r="C65" s="706" t="s">
        <v>716</v>
      </c>
      <c r="D65" s="693">
        <v>73379.600000000006</v>
      </c>
      <c r="E65" s="690" t="s">
        <v>717</v>
      </c>
      <c r="F65" s="695">
        <v>3638.29</v>
      </c>
      <c r="G65" s="819">
        <f t="shared" si="18"/>
        <v>12992.735799999995</v>
      </c>
      <c r="H65" s="824">
        <f t="shared" si="19"/>
        <v>13073.23</v>
      </c>
      <c r="I65" s="817">
        <v>16631.025799999996</v>
      </c>
      <c r="J65" s="692">
        <v>16711.52</v>
      </c>
      <c r="K65" s="912" t="s">
        <v>160</v>
      </c>
      <c r="L65" s="812"/>
      <c r="M65" s="928"/>
      <c r="N65" s="819"/>
      <c r="O65" s="841"/>
      <c r="P65" s="814"/>
      <c r="Q65" s="824"/>
      <c r="R65" s="814"/>
      <c r="S65" s="824"/>
      <c r="T65" s="827">
        <f t="shared" si="20"/>
        <v>16631.025799999996</v>
      </c>
      <c r="U65" s="692">
        <f t="shared" si="16"/>
        <v>16711.52</v>
      </c>
      <c r="V65" s="967">
        <v>14675.92</v>
      </c>
      <c r="W65" s="842">
        <v>14675.92</v>
      </c>
      <c r="X65" s="696">
        <f>V65/D65</f>
        <v>0.19999999999999998</v>
      </c>
      <c r="Y65" s="698">
        <v>0.2</v>
      </c>
      <c r="Z65" s="965">
        <f>IF((T65*Y65)&lt;V65,(T65*Y65),V65)</f>
        <v>3326.2051599999995</v>
      </c>
      <c r="AA65" s="697">
        <v>3342.3</v>
      </c>
      <c r="AB65" s="963">
        <f t="shared" si="2"/>
        <v>11349.714840000001</v>
      </c>
      <c r="AC65" s="700">
        <f t="shared" si="3"/>
        <v>11333.619999999999</v>
      </c>
      <c r="AD65" s="694">
        <f t="shared" si="17"/>
        <v>27980.740639999996</v>
      </c>
      <c r="AE65" s="998">
        <f t="shared" si="10"/>
        <v>28045.14</v>
      </c>
      <c r="AG65" s="701">
        <f t="shared" si="4"/>
        <v>-64.399360000003071</v>
      </c>
      <c r="AH65" s="707" t="s">
        <v>708</v>
      </c>
      <c r="AK65" s="707" t="s">
        <v>701</v>
      </c>
      <c r="AM65" s="680">
        <f t="shared" si="5"/>
        <v>-80.494200000004639</v>
      </c>
      <c r="AV65" s="722">
        <f>Table2[[#This Row],[Total Claimed]]-Table2[[#This Row],[Sub-Total8]]</f>
        <v>11333.619999999999</v>
      </c>
      <c r="AW65" s="676" t="b">
        <f>AV65=Table2[[#This Row],[Balance11]]</f>
        <v>1</v>
      </c>
      <c r="AZ65" s="676" t="b">
        <f>[3]!Table2[[#This Row],[Total Certified ]]=Table2[[#This Row],[Total Certified ]]</f>
        <v>1</v>
      </c>
    </row>
    <row r="66" spans="1:52" ht="24" customHeight="1">
      <c r="A66" s="994">
        <f t="shared" si="22"/>
        <v>54</v>
      </c>
      <c r="B66" s="689" t="s">
        <v>775</v>
      </c>
      <c r="C66" s="706" t="s">
        <v>776</v>
      </c>
      <c r="D66" s="693">
        <v>450000</v>
      </c>
      <c r="E66" s="690" t="s">
        <v>783</v>
      </c>
      <c r="F66" s="960">
        <v>450000</v>
      </c>
      <c r="G66" s="819">
        <f>I66-F66</f>
        <v>0</v>
      </c>
      <c r="H66" s="824">
        <f t="shared" si="19"/>
        <v>0</v>
      </c>
      <c r="I66" s="817">
        <v>450000</v>
      </c>
      <c r="J66" s="692">
        <v>450000</v>
      </c>
      <c r="K66" s="992" t="s">
        <v>160</v>
      </c>
      <c r="L66" s="812"/>
      <c r="M66" s="928"/>
      <c r="N66" s="819"/>
      <c r="O66" s="841"/>
      <c r="P66" s="814"/>
      <c r="Q66" s="824"/>
      <c r="R66" s="814"/>
      <c r="S66" s="824"/>
      <c r="T66" s="827">
        <f t="shared" si="20"/>
        <v>450000</v>
      </c>
      <c r="U66" s="692">
        <f t="shared" si="16"/>
        <v>450000</v>
      </c>
      <c r="V66" s="967">
        <v>90000</v>
      </c>
      <c r="W66" s="842">
        <v>90000</v>
      </c>
      <c r="X66" s="696"/>
      <c r="Y66" s="698">
        <v>0.2</v>
      </c>
      <c r="Z66" s="965">
        <f>IF((T66*Y66)&lt;V66,(T66*Y66),V66)</f>
        <v>90000</v>
      </c>
      <c r="AA66" s="697">
        <v>90000</v>
      </c>
      <c r="AB66" s="973">
        <f t="shared" si="2"/>
        <v>0</v>
      </c>
      <c r="AC66" s="700">
        <f t="shared" si="3"/>
        <v>0</v>
      </c>
      <c r="AD66" s="694">
        <f t="shared" si="17"/>
        <v>450000</v>
      </c>
      <c r="AE66" s="998">
        <f t="shared" si="10"/>
        <v>450000</v>
      </c>
      <c r="AG66" s="701">
        <f t="shared" si="4"/>
        <v>0</v>
      </c>
      <c r="AH66" s="707"/>
      <c r="AK66" s="707"/>
      <c r="AM66" s="680">
        <f t="shared" si="5"/>
        <v>0</v>
      </c>
      <c r="AV66" s="722">
        <f>Table2[[#This Row],[Total Claimed]]-Table2[[#This Row],[Sub-Total8]]</f>
        <v>0</v>
      </c>
      <c r="AW66" s="676" t="b">
        <f>AV66=Table2[[#This Row],[Balance11]]</f>
        <v>1</v>
      </c>
      <c r="AZ66" s="676" t="b">
        <f>[3]!Table2[[#This Row],[Total Certified ]]=Table2[[#This Row],[Total Certified ]]</f>
        <v>1</v>
      </c>
    </row>
    <row r="67" spans="1:52" ht="24" customHeight="1">
      <c r="A67" s="994">
        <f t="shared" si="22"/>
        <v>55</v>
      </c>
      <c r="B67" s="689" t="s">
        <v>777</v>
      </c>
      <c r="C67" s="706" t="s">
        <v>778</v>
      </c>
      <c r="D67" s="693">
        <v>221889</v>
      </c>
      <c r="E67" s="690" t="s">
        <v>784</v>
      </c>
      <c r="F67" s="695">
        <v>173913</v>
      </c>
      <c r="G67" s="819">
        <f t="shared" ref="G67:G72" si="27">I67-F67</f>
        <v>0</v>
      </c>
      <c r="H67" s="824">
        <f t="shared" ref="H67:H72" si="28">J67-F67</f>
        <v>0</v>
      </c>
      <c r="I67" s="817">
        <v>173913</v>
      </c>
      <c r="J67" s="692">
        <v>173913</v>
      </c>
      <c r="K67" s="946" t="s">
        <v>621</v>
      </c>
      <c r="L67" s="812"/>
      <c r="M67" s="928"/>
      <c r="N67" s="819"/>
      <c r="O67" s="841"/>
      <c r="P67" s="814"/>
      <c r="Q67" s="824"/>
      <c r="R67" s="814"/>
      <c r="S67" s="824"/>
      <c r="T67" s="827">
        <f t="shared" si="20"/>
        <v>173913</v>
      </c>
      <c r="U67" s="692">
        <f t="shared" si="16"/>
        <v>173913</v>
      </c>
      <c r="V67" s="967">
        <v>52173.9</v>
      </c>
      <c r="W67" s="842">
        <v>52173.9</v>
      </c>
      <c r="X67" s="696">
        <f>V67/D67</f>
        <v>0.23513513513513515</v>
      </c>
      <c r="Y67" s="698">
        <v>1</v>
      </c>
      <c r="Z67" s="965">
        <f>IF((T67*Y67)&lt;V67,(T67*Y67),V67)</f>
        <v>52173.9</v>
      </c>
      <c r="AA67" s="697">
        <v>52173.9</v>
      </c>
      <c r="AB67" s="963">
        <f t="shared" si="2"/>
        <v>0</v>
      </c>
      <c r="AC67" s="700">
        <f t="shared" si="3"/>
        <v>0</v>
      </c>
      <c r="AD67" s="694">
        <f t="shared" si="17"/>
        <v>173913</v>
      </c>
      <c r="AE67" s="998">
        <f t="shared" si="10"/>
        <v>173913</v>
      </c>
      <c r="AG67" s="701">
        <f t="shared" si="4"/>
        <v>0</v>
      </c>
      <c r="AH67" s="707"/>
      <c r="AK67" s="707"/>
      <c r="AM67" s="680">
        <f t="shared" si="5"/>
        <v>0</v>
      </c>
      <c r="AV67" s="722">
        <f>Table2[[#This Row],[Total Claimed]]-Table2[[#This Row],[Sub-Total8]]</f>
        <v>0</v>
      </c>
      <c r="AW67" s="676" t="b">
        <f>AV67=Table2[[#This Row],[Balance11]]</f>
        <v>1</v>
      </c>
      <c r="AZ67" s="676" t="b">
        <f>[3]!Table2[[#This Row],[Total Certified ]]=Table2[[#This Row],[Total Certified ]]</f>
        <v>1</v>
      </c>
    </row>
    <row r="68" spans="1:52" ht="24" customHeight="1">
      <c r="A68" s="994">
        <f t="shared" si="22"/>
        <v>56</v>
      </c>
      <c r="B68" s="689" t="s">
        <v>779</v>
      </c>
      <c r="C68" s="706" t="s">
        <v>780</v>
      </c>
      <c r="D68" s="693">
        <v>169069</v>
      </c>
      <c r="E68" s="690" t="s">
        <v>785</v>
      </c>
      <c r="F68" s="695"/>
      <c r="G68" s="819">
        <f t="shared" si="27"/>
        <v>0</v>
      </c>
      <c r="H68" s="824">
        <f t="shared" si="28"/>
        <v>0</v>
      </c>
      <c r="I68" s="817"/>
      <c r="J68" s="692"/>
      <c r="K68" s="912" t="s">
        <v>160</v>
      </c>
      <c r="L68" s="812"/>
      <c r="M68" s="928"/>
      <c r="N68" s="819"/>
      <c r="O68" s="841"/>
      <c r="P68" s="814"/>
      <c r="Q68" s="824"/>
      <c r="R68" s="814"/>
      <c r="S68" s="824"/>
      <c r="T68" s="827">
        <f t="shared" si="20"/>
        <v>0</v>
      </c>
      <c r="U68" s="692">
        <f t="shared" si="16"/>
        <v>0</v>
      </c>
      <c r="V68" s="967">
        <v>50720.55</v>
      </c>
      <c r="W68" s="842">
        <v>50720.55</v>
      </c>
      <c r="X68" s="696"/>
      <c r="Y68" s="698"/>
      <c r="Z68" s="965">
        <f t="shared" ref="Z68:Z85" si="29">IF((T68*Y68)&lt;V68,(T68*Y68),V68)</f>
        <v>0</v>
      </c>
      <c r="AA68" s="697">
        <v>0</v>
      </c>
      <c r="AB68" s="963">
        <f t="shared" si="2"/>
        <v>50720.55</v>
      </c>
      <c r="AC68" s="700">
        <f t="shared" si="3"/>
        <v>50720.55</v>
      </c>
      <c r="AD68" s="694">
        <f t="shared" si="17"/>
        <v>50720.55</v>
      </c>
      <c r="AE68" s="998">
        <f t="shared" si="10"/>
        <v>50720.55</v>
      </c>
      <c r="AG68" s="701">
        <f t="shared" si="4"/>
        <v>0</v>
      </c>
      <c r="AH68" s="707"/>
      <c r="AK68" s="707"/>
      <c r="AM68" s="680">
        <f t="shared" si="5"/>
        <v>0</v>
      </c>
      <c r="AV68" s="722">
        <f>Table2[[#This Row],[Total Claimed]]-Table2[[#This Row],[Sub-Total8]]</f>
        <v>50720.55</v>
      </c>
      <c r="AW68" s="676" t="b">
        <f>AV68=Table2[[#This Row],[Balance11]]</f>
        <v>1</v>
      </c>
      <c r="AZ68" s="676" t="b">
        <f>[3]!Table2[[#This Row],[Total Certified ]]=Table2[[#This Row],[Total Certified ]]</f>
        <v>1</v>
      </c>
    </row>
    <row r="69" spans="1:52" ht="24" customHeight="1">
      <c r="A69" s="994">
        <f t="shared" si="22"/>
        <v>57</v>
      </c>
      <c r="B69" s="689" t="s">
        <v>781</v>
      </c>
      <c r="C69" s="706" t="s">
        <v>782</v>
      </c>
      <c r="D69" s="693">
        <v>75530</v>
      </c>
      <c r="E69" s="690" t="s">
        <v>786</v>
      </c>
      <c r="F69" s="695"/>
      <c r="G69" s="819">
        <f t="shared" si="27"/>
        <v>46104</v>
      </c>
      <c r="H69" s="824">
        <f t="shared" si="28"/>
        <v>23052</v>
      </c>
      <c r="I69" s="817">
        <v>46104</v>
      </c>
      <c r="J69" s="692">
        <v>23052</v>
      </c>
      <c r="K69" s="912" t="s">
        <v>160</v>
      </c>
      <c r="L69" s="812"/>
      <c r="M69" s="928"/>
      <c r="N69" s="819"/>
      <c r="O69" s="841"/>
      <c r="P69" s="814"/>
      <c r="Q69" s="824"/>
      <c r="R69" s="814"/>
      <c r="S69" s="824"/>
      <c r="T69" s="827">
        <f t="shared" si="20"/>
        <v>46104</v>
      </c>
      <c r="U69" s="692">
        <f t="shared" si="16"/>
        <v>23052</v>
      </c>
      <c r="V69" s="967">
        <v>37765</v>
      </c>
      <c r="W69" s="842">
        <v>37765</v>
      </c>
      <c r="X69" s="696">
        <v>0.5</v>
      </c>
      <c r="Y69" s="698">
        <v>0.5</v>
      </c>
      <c r="Z69" s="965">
        <f t="shared" si="29"/>
        <v>23052</v>
      </c>
      <c r="AA69" s="697">
        <v>0</v>
      </c>
      <c r="AB69" s="963">
        <f t="shared" si="2"/>
        <v>14713</v>
      </c>
      <c r="AC69" s="700">
        <f t="shared" si="3"/>
        <v>37765</v>
      </c>
      <c r="AD69" s="694">
        <f t="shared" si="17"/>
        <v>60817</v>
      </c>
      <c r="AE69" s="998">
        <f t="shared" si="10"/>
        <v>60817</v>
      </c>
      <c r="AG69" s="701">
        <f t="shared" si="4"/>
        <v>0</v>
      </c>
      <c r="AH69" s="707"/>
      <c r="AK69" s="707"/>
      <c r="AM69" s="680">
        <f t="shared" si="5"/>
        <v>23052</v>
      </c>
      <c r="AV69" s="722">
        <f>Table2[[#This Row],[Total Claimed]]-Table2[[#This Row],[Sub-Total8]]</f>
        <v>37765</v>
      </c>
      <c r="AW69" s="676" t="b">
        <f>AV69=Table2[[#This Row],[Balance11]]</f>
        <v>1</v>
      </c>
      <c r="AZ69" s="676" t="b">
        <f>[3]!Table2[[#This Row],[Total Certified ]]=Table2[[#This Row],[Total Certified ]]</f>
        <v>1</v>
      </c>
    </row>
    <row r="70" spans="1:52" ht="24" customHeight="1">
      <c r="A70" s="994">
        <f t="shared" si="22"/>
        <v>58</v>
      </c>
      <c r="B70" s="689" t="s">
        <v>767</v>
      </c>
      <c r="C70" s="689" t="s">
        <v>771</v>
      </c>
      <c r="D70" s="780">
        <v>366250</v>
      </c>
      <c r="E70" s="690" t="s">
        <v>787</v>
      </c>
      <c r="F70" s="695"/>
      <c r="G70" s="819">
        <f t="shared" si="27"/>
        <v>293000</v>
      </c>
      <c r="H70" s="824">
        <f t="shared" si="28"/>
        <v>0</v>
      </c>
      <c r="I70" s="817">
        <v>293000</v>
      </c>
      <c r="J70" s="692"/>
      <c r="K70" s="912" t="s">
        <v>254</v>
      </c>
      <c r="L70" s="812"/>
      <c r="M70" s="928">
        <v>293000</v>
      </c>
      <c r="N70" s="819"/>
      <c r="O70" s="841"/>
      <c r="P70" s="814"/>
      <c r="Q70" s="824"/>
      <c r="R70" s="814"/>
      <c r="S70" s="824"/>
      <c r="T70" s="827">
        <f t="shared" si="20"/>
        <v>293000</v>
      </c>
      <c r="U70" s="692">
        <f t="shared" si="16"/>
        <v>293000</v>
      </c>
      <c r="V70" s="967">
        <v>109875</v>
      </c>
      <c r="W70" s="842">
        <v>109875</v>
      </c>
      <c r="X70" s="696"/>
      <c r="Y70" s="698">
        <v>0.3</v>
      </c>
      <c r="Z70" s="965">
        <f t="shared" si="29"/>
        <v>87900</v>
      </c>
      <c r="AA70" s="697">
        <v>87900</v>
      </c>
      <c r="AB70" s="963">
        <f t="shared" si="2"/>
        <v>21975</v>
      </c>
      <c r="AC70" s="700">
        <f t="shared" si="3"/>
        <v>21975</v>
      </c>
      <c r="AD70" s="694">
        <f t="shared" si="17"/>
        <v>314975</v>
      </c>
      <c r="AE70" s="998">
        <f t="shared" si="10"/>
        <v>314975</v>
      </c>
      <c r="AG70" s="701">
        <f t="shared" si="4"/>
        <v>0</v>
      </c>
      <c r="AM70" s="680">
        <f t="shared" si="5"/>
        <v>0</v>
      </c>
      <c r="AV70" s="722">
        <f>Table2[[#This Row],[Total Claimed]]-Table2[[#This Row],[Sub-Total8]]</f>
        <v>21975</v>
      </c>
      <c r="AW70" s="676" t="b">
        <f>AV70=Table2[[#This Row],[Balance11]]</f>
        <v>1</v>
      </c>
      <c r="AZ70" s="676" t="b">
        <f>[3]!Table2[[#This Row],[Total Certified ]]=Table2[[#This Row],[Total Certified ]]</f>
        <v>1</v>
      </c>
    </row>
    <row r="71" spans="1:52" ht="24" customHeight="1">
      <c r="A71" s="994">
        <f t="shared" si="22"/>
        <v>59</v>
      </c>
      <c r="B71" s="689" t="s">
        <v>768</v>
      </c>
      <c r="C71" s="689" t="s">
        <v>772</v>
      </c>
      <c r="D71" s="780">
        <v>2105730</v>
      </c>
      <c r="E71" s="690" t="s">
        <v>788</v>
      </c>
      <c r="F71" s="695">
        <v>320752.09000000003</v>
      </c>
      <c r="G71" s="819">
        <f t="shared" si="27"/>
        <v>230264.8139283653</v>
      </c>
      <c r="H71" s="824">
        <f t="shared" ref="H71" si="30">J71-F71</f>
        <v>253857.48999999993</v>
      </c>
      <c r="I71" s="817">
        <v>551016.90392836533</v>
      </c>
      <c r="J71" s="692">
        <v>574609.57999999996</v>
      </c>
      <c r="K71" s="912" t="s">
        <v>254</v>
      </c>
      <c r="L71" s="812"/>
      <c r="M71" s="928"/>
      <c r="N71" s="819"/>
      <c r="O71" s="841"/>
      <c r="P71" s="814"/>
      <c r="Q71" s="824"/>
      <c r="R71" s="814">
        <v>69334.289194824072</v>
      </c>
      <c r="S71" s="824">
        <v>81814.44</v>
      </c>
      <c r="T71" s="827">
        <f t="shared" si="20"/>
        <v>620351.19312318938</v>
      </c>
      <c r="U71" s="692">
        <f t="shared" si="16"/>
        <v>656424.02</v>
      </c>
      <c r="V71" s="967">
        <v>421145.97</v>
      </c>
      <c r="W71" s="842">
        <v>421145.97</v>
      </c>
      <c r="X71" s="696">
        <f>V71/D71</f>
        <v>0.19999998575315922</v>
      </c>
      <c r="Y71" s="698">
        <v>0.2</v>
      </c>
      <c r="Z71" s="965">
        <f t="shared" si="29"/>
        <v>124070.23862463789</v>
      </c>
      <c r="AA71" s="697">
        <v>131284.79999999999</v>
      </c>
      <c r="AB71" s="963">
        <f t="shared" si="2"/>
        <v>297075.73137536208</v>
      </c>
      <c r="AC71" s="700">
        <f t="shared" si="3"/>
        <v>289861.17</v>
      </c>
      <c r="AD71" s="694">
        <f t="shared" si="17"/>
        <v>917426.92449855153</v>
      </c>
      <c r="AE71" s="998">
        <f t="shared" si="10"/>
        <v>946285.19</v>
      </c>
      <c r="AG71" s="701">
        <f t="shared" si="4"/>
        <v>-28858.265501448419</v>
      </c>
      <c r="AM71" s="680">
        <f t="shared" si="5"/>
        <v>-36072.826876810635</v>
      </c>
      <c r="AV71" s="722">
        <f>Table2[[#This Row],[Total Claimed]]-Table2[[#This Row],[Sub-Total8]]</f>
        <v>289861.16999999993</v>
      </c>
      <c r="AW71" s="676" t="b">
        <f>AV71=Table2[[#This Row],[Balance11]]</f>
        <v>1</v>
      </c>
      <c r="AZ71" s="676" t="b">
        <f>[3]!Table2[[#This Row],[Total Certified ]]=Table2[[#This Row],[Total Certified ]]</f>
        <v>1</v>
      </c>
    </row>
    <row r="72" spans="1:52" ht="24" customHeight="1">
      <c r="A72" s="994">
        <f t="shared" si="22"/>
        <v>60</v>
      </c>
      <c r="B72" s="689" t="s">
        <v>769</v>
      </c>
      <c r="C72" s="689" t="s">
        <v>773</v>
      </c>
      <c r="D72" s="780">
        <v>133457</v>
      </c>
      <c r="E72" s="690" t="s">
        <v>789</v>
      </c>
      <c r="F72" s="695"/>
      <c r="G72" s="819">
        <f t="shared" si="27"/>
        <v>110464.37383510402</v>
      </c>
      <c r="H72" s="824">
        <f t="shared" si="28"/>
        <v>0</v>
      </c>
      <c r="I72" s="817">
        <v>110464.37383510402</v>
      </c>
      <c r="J72" s="692"/>
      <c r="K72" s="912" t="s">
        <v>254</v>
      </c>
      <c r="L72" s="812"/>
      <c r="M72" s="928">
        <v>68961</v>
      </c>
      <c r="N72" s="819"/>
      <c r="O72" s="841"/>
      <c r="P72" s="814"/>
      <c r="Q72" s="824"/>
      <c r="R72" s="814">
        <v>5978</v>
      </c>
      <c r="S72" s="824"/>
      <c r="T72" s="827">
        <f t="shared" si="20"/>
        <v>116442.37383510402</v>
      </c>
      <c r="U72" s="692">
        <f t="shared" si="16"/>
        <v>68961</v>
      </c>
      <c r="V72" s="967">
        <v>34477.199999999997</v>
      </c>
      <c r="W72" s="842">
        <f>53002.5+5978</f>
        <v>58980.5</v>
      </c>
      <c r="X72" s="696">
        <v>0.3</v>
      </c>
      <c r="Y72" s="698">
        <v>0.3</v>
      </c>
      <c r="Z72" s="965">
        <v>27582.712150531199</v>
      </c>
      <c r="AA72" s="697">
        <v>0</v>
      </c>
      <c r="AB72" s="963">
        <f t="shared" si="2"/>
        <v>6894.4878494687982</v>
      </c>
      <c r="AC72" s="700">
        <f t="shared" si="3"/>
        <v>58980.5</v>
      </c>
      <c r="AD72" s="694">
        <f t="shared" si="17"/>
        <v>123336.86168457282</v>
      </c>
      <c r="AE72" s="998">
        <f t="shared" si="10"/>
        <v>127941.5</v>
      </c>
      <c r="AG72" s="701">
        <f t="shared" si="4"/>
        <v>-4604.6383154271753</v>
      </c>
      <c r="AM72" s="680">
        <f t="shared" si="5"/>
        <v>47481.373835104023</v>
      </c>
      <c r="AV72" s="722">
        <f>Table2[[#This Row],[Total Claimed]]-Table2[[#This Row],[Sub-Total8]]</f>
        <v>58980.5</v>
      </c>
      <c r="AW72" s="676" t="b">
        <f>AV72=Table2[[#This Row],[Balance11]]</f>
        <v>1</v>
      </c>
      <c r="AZ72" s="676" t="b">
        <f>[3]!Table2[[#This Row],[Total Certified ]]=Table2[[#This Row],[Total Certified ]]</f>
        <v>1</v>
      </c>
    </row>
    <row r="73" spans="1:52" ht="24" customHeight="1">
      <c r="A73" s="994">
        <f t="shared" si="22"/>
        <v>61</v>
      </c>
      <c r="B73" s="689" t="s">
        <v>770</v>
      </c>
      <c r="C73" s="689" t="s">
        <v>774</v>
      </c>
      <c r="D73" s="780">
        <v>279759</v>
      </c>
      <c r="E73" s="690" t="s">
        <v>790</v>
      </c>
      <c r="F73" s="695">
        <v>28243.200000000001</v>
      </c>
      <c r="G73" s="819">
        <f t="shared" ref="G73:G79" si="31">I73-F73</f>
        <v>121829.12000000001</v>
      </c>
      <c r="H73" s="824">
        <f t="shared" ref="H73:H79" si="32">J73-F73</f>
        <v>22931.200000000001</v>
      </c>
      <c r="I73" s="817">
        <v>150072.32000000001</v>
      </c>
      <c r="J73" s="692">
        <f>28243.2+22931.2</f>
        <v>51174.400000000001</v>
      </c>
      <c r="K73" s="912" t="s">
        <v>254</v>
      </c>
      <c r="L73" s="812"/>
      <c r="M73" s="928"/>
      <c r="N73" s="819"/>
      <c r="O73" s="841"/>
      <c r="P73" s="814"/>
      <c r="Q73" s="824"/>
      <c r="R73" s="814"/>
      <c r="S73" s="824"/>
      <c r="T73" s="827">
        <f t="shared" si="20"/>
        <v>150072.32000000001</v>
      </c>
      <c r="U73" s="692">
        <f t="shared" si="16"/>
        <v>51174.400000000001</v>
      </c>
      <c r="V73" s="967"/>
      <c r="W73" s="842">
        <v>102424</v>
      </c>
      <c r="X73" s="696"/>
      <c r="Y73" s="698"/>
      <c r="Z73" s="965"/>
      <c r="AA73" s="697">
        <v>0</v>
      </c>
      <c r="AB73" s="963"/>
      <c r="AC73" s="700">
        <f t="shared" si="2"/>
        <v>102424</v>
      </c>
      <c r="AD73" s="694">
        <f t="shared" si="17"/>
        <v>150072.32000000001</v>
      </c>
      <c r="AE73" s="998">
        <f t="shared" si="10"/>
        <v>153598.39999999999</v>
      </c>
      <c r="AF73" s="722"/>
      <c r="AG73" s="701">
        <f t="shared" si="4"/>
        <v>-3526.0799999999872</v>
      </c>
      <c r="AM73" s="680">
        <f t="shared" si="5"/>
        <v>98897.920000000013</v>
      </c>
      <c r="AV73" s="722">
        <f>Table2[[#This Row],[Total Claimed]]-Table2[[#This Row],[Sub-Total8]]</f>
        <v>102424</v>
      </c>
      <c r="AW73" s="676" t="b">
        <f>AV73=Table2[[#This Row],[Balance11]]</f>
        <v>1</v>
      </c>
      <c r="AZ73" s="676" t="b">
        <f>[3]!Table2[[#This Row],[Total Certified ]]=Table2[[#This Row],[Total Certified ]]</f>
        <v>1</v>
      </c>
    </row>
    <row r="74" spans="1:52" ht="24" customHeight="1">
      <c r="A74" s="994">
        <f t="shared" si="22"/>
        <v>62</v>
      </c>
      <c r="B74" s="689" t="s">
        <v>865</v>
      </c>
      <c r="C74" s="689" t="s">
        <v>866</v>
      </c>
      <c r="D74" s="780">
        <v>206250</v>
      </c>
      <c r="E74" s="690" t="s">
        <v>867</v>
      </c>
      <c r="F74" s="695">
        <v>179007.05</v>
      </c>
      <c r="G74" s="819">
        <f t="shared" si="31"/>
        <v>22663.100000000006</v>
      </c>
      <c r="H74" s="824">
        <f t="shared" si="32"/>
        <v>22663.100000000006</v>
      </c>
      <c r="I74" s="817">
        <v>201670.15</v>
      </c>
      <c r="J74" s="692">
        <v>201670.15</v>
      </c>
      <c r="K74" s="912" t="s">
        <v>160</v>
      </c>
      <c r="L74" s="811">
        <f>-18000-1920</f>
        <v>-19920</v>
      </c>
      <c r="M74" s="913">
        <f>-18000-1920</f>
        <v>-19920</v>
      </c>
      <c r="N74" s="819"/>
      <c r="O74" s="841"/>
      <c r="P74" s="814"/>
      <c r="Q74" s="824"/>
      <c r="R74" s="814"/>
      <c r="S74" s="824"/>
      <c r="T74" s="827">
        <f t="shared" si="20"/>
        <v>181750.15</v>
      </c>
      <c r="U74" s="692">
        <f t="shared" si="16"/>
        <v>181750.15</v>
      </c>
      <c r="V74" s="967"/>
      <c r="W74" s="842"/>
      <c r="X74" s="696"/>
      <c r="Y74" s="698"/>
      <c r="Z74" s="965">
        <f t="shared" si="29"/>
        <v>0</v>
      </c>
      <c r="AA74" s="697">
        <v>0</v>
      </c>
      <c r="AB74" s="963">
        <f t="shared" ref="AB74:AC85" si="33">V74-Z74</f>
        <v>0</v>
      </c>
      <c r="AC74" s="700">
        <f t="shared" si="33"/>
        <v>0</v>
      </c>
      <c r="AD74" s="694">
        <f>AB74+T74</f>
        <v>181750.15</v>
      </c>
      <c r="AE74" s="998">
        <f t="shared" ref="AE74:AE84" si="34">AC74+U74</f>
        <v>181750.15</v>
      </c>
      <c r="AG74" s="701"/>
      <c r="AM74" s="680">
        <f t="shared" ref="AM74:AM86" si="35">T74-U74</f>
        <v>0</v>
      </c>
      <c r="AV74" s="722">
        <f>Table2[[#This Row],[Total Claimed]]-Table2[[#This Row],[Sub-Total8]]</f>
        <v>0</v>
      </c>
      <c r="AW74" s="676" t="b">
        <f>AV74=Table2[[#This Row],[Balance11]]</f>
        <v>1</v>
      </c>
      <c r="AZ74" s="676" t="b">
        <f>[3]!Table2[[#This Row],[Total Certified ]]=Table2[[#This Row],[Total Certified ]]</f>
        <v>1</v>
      </c>
    </row>
    <row r="75" spans="1:52" ht="24" customHeight="1">
      <c r="A75" s="994">
        <f t="shared" si="22"/>
        <v>63</v>
      </c>
      <c r="B75" s="689" t="s">
        <v>911</v>
      </c>
      <c r="C75" s="689" t="s">
        <v>912</v>
      </c>
      <c r="D75" s="780">
        <v>128000</v>
      </c>
      <c r="E75" s="690" t="s">
        <v>913</v>
      </c>
      <c r="F75" s="695"/>
      <c r="G75" s="819">
        <f t="shared" si="31"/>
        <v>89600</v>
      </c>
      <c r="H75" s="824">
        <f t="shared" si="32"/>
        <v>0</v>
      </c>
      <c r="I75" s="817">
        <v>89600</v>
      </c>
      <c r="J75" s="692">
        <v>0</v>
      </c>
      <c r="K75" s="912" t="s">
        <v>254</v>
      </c>
      <c r="L75" s="812"/>
      <c r="M75" s="928">
        <v>57600</v>
      </c>
      <c r="N75" s="819"/>
      <c r="O75" s="841"/>
      <c r="P75" s="814"/>
      <c r="Q75" s="824"/>
      <c r="R75" s="814"/>
      <c r="S75" s="824"/>
      <c r="T75" s="827">
        <f>R75+L75+I75+N75+P75</f>
        <v>89600</v>
      </c>
      <c r="U75" s="692">
        <f t="shared" si="16"/>
        <v>57600</v>
      </c>
      <c r="V75" s="967">
        <v>32000</v>
      </c>
      <c r="W75" s="842">
        <v>32000</v>
      </c>
      <c r="X75" s="696">
        <v>0.25</v>
      </c>
      <c r="Y75" s="698">
        <v>0.25</v>
      </c>
      <c r="Z75" s="965">
        <f t="shared" si="29"/>
        <v>22400</v>
      </c>
      <c r="AA75" s="697">
        <v>0</v>
      </c>
      <c r="AB75" s="963">
        <f t="shared" ref="AB75" si="36">V75-Z75</f>
        <v>9600</v>
      </c>
      <c r="AC75" s="700">
        <f t="shared" si="33"/>
        <v>32000</v>
      </c>
      <c r="AD75" s="694">
        <f>AB75+T75</f>
        <v>99200</v>
      </c>
      <c r="AE75" s="998">
        <f t="shared" si="34"/>
        <v>89600</v>
      </c>
      <c r="AG75" s="701"/>
      <c r="AM75" s="680">
        <f t="shared" si="35"/>
        <v>32000</v>
      </c>
      <c r="AV75" s="722">
        <f>Table2[[#This Row],[Total Claimed]]-Table2[[#This Row],[Sub-Total8]]</f>
        <v>32000</v>
      </c>
      <c r="AW75" s="676" t="b">
        <f>AV75=Table2[[#This Row],[Balance11]]</f>
        <v>1</v>
      </c>
      <c r="AZ75" s="676" t="b">
        <f>[3]!Table2[[#This Row],[Total Certified ]]=Table2[[#This Row],[Total Certified ]]</f>
        <v>1</v>
      </c>
    </row>
    <row r="76" spans="1:52" ht="24" customHeight="1">
      <c r="A76" s="994">
        <f t="shared" si="22"/>
        <v>64</v>
      </c>
      <c r="B76" s="689" t="s">
        <v>914</v>
      </c>
      <c r="C76" s="689" t="s">
        <v>915</v>
      </c>
      <c r="D76" s="780">
        <v>1043942</v>
      </c>
      <c r="E76" s="690" t="s">
        <v>916</v>
      </c>
      <c r="F76" s="695"/>
      <c r="G76" s="819">
        <f t="shared" si="31"/>
        <v>0</v>
      </c>
      <c r="H76" s="824">
        <f t="shared" si="32"/>
        <v>0</v>
      </c>
      <c r="I76" s="817">
        <v>0</v>
      </c>
      <c r="J76" s="692">
        <v>0</v>
      </c>
      <c r="K76" s="912" t="s">
        <v>995</v>
      </c>
      <c r="L76" s="812"/>
      <c r="M76" s="928"/>
      <c r="N76" s="819"/>
      <c r="O76" s="841"/>
      <c r="P76" s="814"/>
      <c r="Q76" s="824"/>
      <c r="R76" s="814"/>
      <c r="S76" s="824"/>
      <c r="T76" s="827">
        <f t="shared" si="20"/>
        <v>0</v>
      </c>
      <c r="U76" s="692">
        <f t="shared" si="16"/>
        <v>0</v>
      </c>
      <c r="V76" s="967">
        <v>208788.4</v>
      </c>
      <c r="W76" s="842">
        <v>208788.4</v>
      </c>
      <c r="X76" s="696">
        <v>0.2</v>
      </c>
      <c r="Y76" s="698"/>
      <c r="Z76" s="965">
        <f t="shared" si="29"/>
        <v>0</v>
      </c>
      <c r="AA76" s="697">
        <v>0</v>
      </c>
      <c r="AB76" s="963">
        <f t="shared" si="33"/>
        <v>208788.4</v>
      </c>
      <c r="AC76" s="700">
        <f t="shared" si="33"/>
        <v>208788.4</v>
      </c>
      <c r="AD76" s="694">
        <f t="shared" ref="AD76:AD77" si="37">AB76+T76</f>
        <v>208788.4</v>
      </c>
      <c r="AE76" s="998">
        <f t="shared" si="34"/>
        <v>208788.4</v>
      </c>
      <c r="AG76" s="701"/>
      <c r="AM76" s="680">
        <f t="shared" si="35"/>
        <v>0</v>
      </c>
      <c r="AV76" s="722">
        <f>Table2[[#This Row],[Total Claimed]]-Table2[[#This Row],[Sub-Total8]]</f>
        <v>208788.4</v>
      </c>
      <c r="AW76" s="676" t="b">
        <f>AV76=Table2[[#This Row],[Balance11]]</f>
        <v>1</v>
      </c>
      <c r="AZ76" s="676" t="b">
        <f>[3]!Table2[[#This Row],[Total Certified ]]=Table2[[#This Row],[Total Certified ]]</f>
        <v>1</v>
      </c>
    </row>
    <row r="77" spans="1:52" ht="24" customHeight="1">
      <c r="A77" s="994">
        <f t="shared" si="22"/>
        <v>65</v>
      </c>
      <c r="B77" s="689" t="s">
        <v>917</v>
      </c>
      <c r="C77" s="689" t="s">
        <v>918</v>
      </c>
      <c r="D77" s="780">
        <v>533125</v>
      </c>
      <c r="E77" s="690" t="s">
        <v>919</v>
      </c>
      <c r="F77" s="695"/>
      <c r="G77" s="819">
        <f t="shared" si="31"/>
        <v>0</v>
      </c>
      <c r="H77" s="824">
        <f t="shared" si="32"/>
        <v>0</v>
      </c>
      <c r="I77" s="817">
        <v>0</v>
      </c>
      <c r="J77" s="692">
        <v>0</v>
      </c>
      <c r="K77" s="912" t="s">
        <v>254</v>
      </c>
      <c r="L77" s="812"/>
      <c r="M77" s="928"/>
      <c r="N77" s="819"/>
      <c r="O77" s="841"/>
      <c r="P77" s="814"/>
      <c r="Q77" s="824"/>
      <c r="R77" s="814"/>
      <c r="S77" s="824"/>
      <c r="T77" s="827">
        <f t="shared" ref="T77:T78" si="38">R77+L77+I77+N77+P77</f>
        <v>0</v>
      </c>
      <c r="U77" s="692">
        <f t="shared" ref="U77:U78" si="39">+J77+M77+O77+S77+Q77</f>
        <v>0</v>
      </c>
      <c r="V77" s="967">
        <v>106625</v>
      </c>
      <c r="W77" s="842">
        <v>106625</v>
      </c>
      <c r="X77" s="696">
        <v>0.2</v>
      </c>
      <c r="Y77" s="698"/>
      <c r="Z77" s="965"/>
      <c r="AA77" s="697"/>
      <c r="AB77" s="963">
        <f t="shared" si="33"/>
        <v>106625</v>
      </c>
      <c r="AC77" s="700">
        <f t="shared" si="33"/>
        <v>106625</v>
      </c>
      <c r="AD77" s="694">
        <f t="shared" si="37"/>
        <v>106625</v>
      </c>
      <c r="AE77" s="998">
        <f t="shared" si="34"/>
        <v>106625</v>
      </c>
      <c r="AG77" s="701">
        <f t="shared" ref="AG77:AG86" si="40">AD77-AE77</f>
        <v>0</v>
      </c>
      <c r="AH77" s="707"/>
      <c r="AK77" s="707"/>
      <c r="AM77" s="680">
        <f t="shared" si="35"/>
        <v>0</v>
      </c>
      <c r="AV77" s="722">
        <f>Table2[[#This Row],[Total Claimed]]-Table2[[#This Row],[Sub-Total8]]</f>
        <v>106625</v>
      </c>
      <c r="AW77" s="676" t="b">
        <f>AV77=Table2[[#This Row],[Balance11]]</f>
        <v>1</v>
      </c>
      <c r="AZ77" s="676" t="b">
        <f>[3]!Table2[[#This Row],[Total Certified ]]=Table2[[#This Row],[Total Certified ]]</f>
        <v>1</v>
      </c>
    </row>
    <row r="78" spans="1:52" ht="24" customHeight="1">
      <c r="A78" s="994">
        <f t="shared" si="22"/>
        <v>66</v>
      </c>
      <c r="B78" s="689" t="s">
        <v>973</v>
      </c>
      <c r="C78" s="689" t="s">
        <v>975</v>
      </c>
      <c r="D78" s="780">
        <v>993456</v>
      </c>
      <c r="E78" s="690" t="s">
        <v>977</v>
      </c>
      <c r="F78" s="695"/>
      <c r="G78" s="819">
        <f t="shared" si="31"/>
        <v>16070</v>
      </c>
      <c r="H78" s="824">
        <f t="shared" si="32"/>
        <v>16070</v>
      </c>
      <c r="I78" s="817">
        <v>16070</v>
      </c>
      <c r="J78" s="692">
        <v>16070</v>
      </c>
      <c r="K78" s="912" t="s">
        <v>995</v>
      </c>
      <c r="L78" s="812"/>
      <c r="M78" s="928"/>
      <c r="N78" s="819"/>
      <c r="O78" s="841"/>
      <c r="P78" s="814"/>
      <c r="Q78" s="824"/>
      <c r="R78" s="814"/>
      <c r="S78" s="824"/>
      <c r="T78" s="827">
        <f t="shared" si="38"/>
        <v>16070</v>
      </c>
      <c r="U78" s="692">
        <f t="shared" si="39"/>
        <v>16070</v>
      </c>
      <c r="V78" s="967"/>
      <c r="W78" s="842"/>
      <c r="X78" s="696"/>
      <c r="Y78" s="698"/>
      <c r="Z78" s="965"/>
      <c r="AA78" s="697"/>
      <c r="AB78" s="963">
        <f t="shared" ref="AB78:AB79" si="41">V78-Z78</f>
        <v>0</v>
      </c>
      <c r="AC78" s="700">
        <f t="shared" ref="AC78:AC79" si="42">W78-AA78</f>
        <v>0</v>
      </c>
      <c r="AD78" s="694">
        <f t="shared" ref="AD78:AD79" si="43">AB78+T78</f>
        <v>16070</v>
      </c>
      <c r="AE78" s="998">
        <f t="shared" ref="AE78" si="44">AC78+U78</f>
        <v>16070</v>
      </c>
      <c r="AG78" s="701"/>
      <c r="AH78" s="707"/>
      <c r="AK78" s="707"/>
      <c r="AV78" s="722">
        <f>Table2[[#This Row],[Total Claimed]]-Table2[[#This Row],[Sub-Total8]]</f>
        <v>0</v>
      </c>
      <c r="AW78" s="676" t="b">
        <f>AV78=Table2[[#This Row],[Balance11]]</f>
        <v>1</v>
      </c>
      <c r="AZ78" s="676" t="b">
        <f>[3]!Table2[[#This Row],[Total Certified ]]=Table2[[#This Row],[Total Certified ]]</f>
        <v>1</v>
      </c>
    </row>
    <row r="79" spans="1:52" ht="24" customHeight="1">
      <c r="A79" s="994">
        <f t="shared" si="22"/>
        <v>67</v>
      </c>
      <c r="B79" s="689" t="s">
        <v>974</v>
      </c>
      <c r="C79" s="689" t="s">
        <v>976</v>
      </c>
      <c r="D79" s="780">
        <v>75430</v>
      </c>
      <c r="E79" s="690" t="s">
        <v>978</v>
      </c>
      <c r="F79" s="695"/>
      <c r="G79" s="819">
        <f t="shared" si="31"/>
        <v>50274</v>
      </c>
      <c r="H79" s="824">
        <f t="shared" si="32"/>
        <v>55860</v>
      </c>
      <c r="I79" s="817">
        <v>50274</v>
      </c>
      <c r="J79" s="692">
        <v>55860</v>
      </c>
      <c r="K79" s="912" t="s">
        <v>254</v>
      </c>
      <c r="L79" s="812"/>
      <c r="M79" s="928"/>
      <c r="N79" s="819"/>
      <c r="O79" s="841"/>
      <c r="P79" s="814"/>
      <c r="Q79" s="824"/>
      <c r="R79" s="814"/>
      <c r="S79" s="824"/>
      <c r="T79" s="827">
        <f t="shared" ref="T79" si="45">R79+L79+I79+N79+P79</f>
        <v>50274</v>
      </c>
      <c r="U79" s="692">
        <f t="shared" ref="U79" si="46">+J79+M79+O79+S79+Q79</f>
        <v>55860</v>
      </c>
      <c r="V79" s="967"/>
      <c r="W79" s="842"/>
      <c r="X79" s="696"/>
      <c r="Y79" s="698"/>
      <c r="Z79" s="965"/>
      <c r="AA79" s="697"/>
      <c r="AB79" s="963">
        <f t="shared" si="41"/>
        <v>0</v>
      </c>
      <c r="AC79" s="700">
        <f t="shared" si="42"/>
        <v>0</v>
      </c>
      <c r="AD79" s="694">
        <f t="shared" si="43"/>
        <v>50274</v>
      </c>
      <c r="AE79" s="998">
        <f>AC79+U79</f>
        <v>55860</v>
      </c>
      <c r="AG79" s="701"/>
      <c r="AH79" s="707"/>
      <c r="AK79" s="707"/>
      <c r="AV79" s="722">
        <f>Table2[[#This Row],[Total Claimed]]-Table2[[#This Row],[Sub-Total8]]</f>
        <v>0</v>
      </c>
      <c r="AW79" s="676" t="b">
        <f>AV79=Table2[[#This Row],[Balance11]]</f>
        <v>1</v>
      </c>
      <c r="AZ79" s="676" t="b">
        <f>[3]!Table2[[#This Row],[Total Certified ]]=Table2[[#This Row],[Total Certified ]]</f>
        <v>1</v>
      </c>
    </row>
    <row r="80" spans="1:52" ht="24" customHeight="1">
      <c r="A80" s="994"/>
      <c r="B80" s="689"/>
      <c r="C80" s="689"/>
      <c r="D80" s="780"/>
      <c r="E80" s="690"/>
      <c r="F80" s="695"/>
      <c r="G80" s="819"/>
      <c r="H80" s="824"/>
      <c r="I80" s="817"/>
      <c r="J80" s="692"/>
      <c r="K80" s="912"/>
      <c r="L80" s="812"/>
      <c r="M80" s="928"/>
      <c r="N80" s="819"/>
      <c r="O80" s="841"/>
      <c r="P80" s="814"/>
      <c r="Q80" s="824"/>
      <c r="R80" s="814"/>
      <c r="S80" s="824"/>
      <c r="T80" s="827"/>
      <c r="U80" s="692"/>
      <c r="V80" s="967"/>
      <c r="W80" s="842"/>
      <c r="X80" s="696"/>
      <c r="Y80" s="698"/>
      <c r="Z80" s="965"/>
      <c r="AA80" s="697"/>
      <c r="AB80" s="963"/>
      <c r="AC80" s="700"/>
      <c r="AD80" s="694"/>
      <c r="AE80" s="998"/>
      <c r="AG80" s="701"/>
      <c r="AH80" s="707"/>
      <c r="AK80" s="707"/>
      <c r="AV80" s="722">
        <f>Table2[[#This Row],[Total Claimed]]-Table2[[#This Row],[Sub-Total8]]</f>
        <v>0</v>
      </c>
      <c r="AW80" s="676" t="b">
        <f>AV80=Table2[[#This Row],[Balance11]]</f>
        <v>1</v>
      </c>
      <c r="AZ80" s="676" t="b">
        <f>[3]!Table2[[#This Row],[Total Certified ]]=Table2[[#This Row],[Total Certified ]]</f>
        <v>1</v>
      </c>
    </row>
    <row r="81" spans="1:52" ht="24" customHeight="1">
      <c r="A81" s="994"/>
      <c r="B81" s="688" t="s">
        <v>718</v>
      </c>
      <c r="C81" s="689"/>
      <c r="D81" s="693"/>
      <c r="E81" s="690"/>
      <c r="F81" s="695"/>
      <c r="G81" s="819"/>
      <c r="H81" s="824"/>
      <c r="I81" s="817"/>
      <c r="J81" s="692"/>
      <c r="K81" s="945"/>
      <c r="L81" s="812"/>
      <c r="M81" s="928"/>
      <c r="N81" s="819"/>
      <c r="O81" s="841"/>
      <c r="P81" s="814"/>
      <c r="Q81" s="824"/>
      <c r="R81" s="814"/>
      <c r="S81" s="824"/>
      <c r="T81" s="827">
        <f t="shared" si="20"/>
        <v>0</v>
      </c>
      <c r="U81" s="692">
        <f t="shared" si="16"/>
        <v>0</v>
      </c>
      <c r="V81" s="971"/>
      <c r="W81" s="842"/>
      <c r="X81" s="696"/>
      <c r="Y81" s="698"/>
      <c r="Z81" s="965">
        <f t="shared" si="29"/>
        <v>0</v>
      </c>
      <c r="AA81" s="697">
        <v>0</v>
      </c>
      <c r="AB81" s="963">
        <f t="shared" si="33"/>
        <v>0</v>
      </c>
      <c r="AC81" s="700">
        <f t="shared" si="33"/>
        <v>0</v>
      </c>
      <c r="AD81" s="694">
        <f t="shared" si="17"/>
        <v>0</v>
      </c>
      <c r="AE81" s="998">
        <f t="shared" si="34"/>
        <v>0</v>
      </c>
      <c r="AG81" s="701">
        <f t="shared" si="40"/>
        <v>0</v>
      </c>
      <c r="AM81" s="680">
        <f t="shared" si="35"/>
        <v>0</v>
      </c>
      <c r="AV81" s="722">
        <f>Table2[[#This Row],[Total Claimed]]-Table2[[#This Row],[Sub-Total8]]</f>
        <v>0</v>
      </c>
      <c r="AW81" s="676" t="b">
        <f>AV81=Table2[[#This Row],[Balance11]]</f>
        <v>1</v>
      </c>
      <c r="AZ81" s="676" t="b">
        <f>[3]!Table2[[#This Row],[Total Certified ]]=Table2[[#This Row],[Total Certified ]]</f>
        <v>1</v>
      </c>
    </row>
    <row r="82" spans="1:52" ht="24" customHeight="1">
      <c r="A82" s="994">
        <f>+A79+1</f>
        <v>68</v>
      </c>
      <c r="B82" s="689" t="s">
        <v>719</v>
      </c>
      <c r="C82" s="689" t="s">
        <v>720</v>
      </c>
      <c r="D82" s="780"/>
      <c r="E82" s="690" t="s">
        <v>585</v>
      </c>
      <c r="F82" s="708">
        <v>830285</v>
      </c>
      <c r="G82" s="819">
        <f t="shared" ref="G82:G85" si="47">I82-F82</f>
        <v>142435</v>
      </c>
      <c r="H82" s="824">
        <f t="shared" ref="H82:H85" si="48">J82-F82</f>
        <v>142435</v>
      </c>
      <c r="I82" s="817">
        <v>972720</v>
      </c>
      <c r="J82" s="692">
        <v>972720</v>
      </c>
      <c r="K82" s="912" t="s">
        <v>994</v>
      </c>
      <c r="L82" s="812"/>
      <c r="M82" s="928"/>
      <c r="N82" s="819"/>
      <c r="O82" s="841"/>
      <c r="P82" s="814"/>
      <c r="Q82" s="824"/>
      <c r="R82" s="814"/>
      <c r="S82" s="824"/>
      <c r="T82" s="827">
        <f t="shared" si="20"/>
        <v>972720</v>
      </c>
      <c r="U82" s="692">
        <f t="shared" si="16"/>
        <v>972720</v>
      </c>
      <c r="V82" s="970"/>
      <c r="W82" s="842"/>
      <c r="X82" s="696"/>
      <c r="Y82" s="698"/>
      <c r="Z82" s="965">
        <f t="shared" si="29"/>
        <v>0</v>
      </c>
      <c r="AA82" s="697">
        <v>0</v>
      </c>
      <c r="AB82" s="963">
        <f t="shared" si="33"/>
        <v>0</v>
      </c>
      <c r="AC82" s="700">
        <f t="shared" si="33"/>
        <v>0</v>
      </c>
      <c r="AD82" s="694">
        <f t="shared" si="17"/>
        <v>972720</v>
      </c>
      <c r="AE82" s="998">
        <f t="shared" si="34"/>
        <v>972720</v>
      </c>
      <c r="AG82" s="701">
        <f t="shared" si="40"/>
        <v>0</v>
      </c>
      <c r="AM82" s="680">
        <f t="shared" si="35"/>
        <v>0</v>
      </c>
      <c r="AV82" s="722">
        <f>Table2[[#This Row],[Total Claimed]]-Table2[[#This Row],[Sub-Total8]]</f>
        <v>0</v>
      </c>
      <c r="AW82" s="676" t="b">
        <f>AV82=Table2[[#This Row],[Balance11]]</f>
        <v>1</v>
      </c>
      <c r="AZ82" s="676" t="b">
        <f>[3]!Table2[[#This Row],[Total Certified ]]=Table2[[#This Row],[Total Certified ]]</f>
        <v>1</v>
      </c>
    </row>
    <row r="83" spans="1:52" ht="24" customHeight="1">
      <c r="A83" s="994">
        <f>+A82+1</f>
        <v>69</v>
      </c>
      <c r="B83" s="689" t="s">
        <v>721</v>
      </c>
      <c r="C83" s="689" t="s">
        <v>722</v>
      </c>
      <c r="D83" s="780">
        <v>252000</v>
      </c>
      <c r="E83" s="690" t="s">
        <v>723</v>
      </c>
      <c r="F83" s="695">
        <v>182000</v>
      </c>
      <c r="G83" s="819">
        <f t="shared" si="47"/>
        <v>25516.119999999995</v>
      </c>
      <c r="H83" s="824">
        <f t="shared" si="48"/>
        <v>25516.119999999995</v>
      </c>
      <c r="I83" s="817">
        <v>207516.12</v>
      </c>
      <c r="J83" s="692">
        <v>207516.12</v>
      </c>
      <c r="K83" s="945" t="s">
        <v>995</v>
      </c>
      <c r="L83" s="812"/>
      <c r="M83" s="928"/>
      <c r="N83" s="819"/>
      <c r="O83" s="841"/>
      <c r="P83" s="814"/>
      <c r="Q83" s="824"/>
      <c r="R83" s="814"/>
      <c r="S83" s="824"/>
      <c r="T83" s="827">
        <f t="shared" si="20"/>
        <v>207516.12</v>
      </c>
      <c r="U83" s="692">
        <f t="shared" si="16"/>
        <v>207516.12</v>
      </c>
      <c r="V83" s="970"/>
      <c r="W83" s="842"/>
      <c r="X83" s="696"/>
      <c r="Y83" s="698"/>
      <c r="Z83" s="965">
        <f t="shared" si="29"/>
        <v>0</v>
      </c>
      <c r="AA83" s="697">
        <v>0</v>
      </c>
      <c r="AB83" s="963">
        <f t="shared" si="33"/>
        <v>0</v>
      </c>
      <c r="AC83" s="700">
        <f t="shared" si="33"/>
        <v>0</v>
      </c>
      <c r="AD83" s="694">
        <f t="shared" si="17"/>
        <v>207516.12</v>
      </c>
      <c r="AE83" s="998">
        <f t="shared" si="34"/>
        <v>207516.12</v>
      </c>
      <c r="AG83" s="701">
        <f t="shared" si="40"/>
        <v>0</v>
      </c>
      <c r="AM83" s="680">
        <f t="shared" si="35"/>
        <v>0</v>
      </c>
      <c r="AV83" s="722">
        <f>Table2[[#This Row],[Total Claimed]]-Table2[[#This Row],[Sub-Total8]]</f>
        <v>0</v>
      </c>
      <c r="AW83" s="676" t="b">
        <f>AV83=Table2[[#This Row],[Balance11]]</f>
        <v>1</v>
      </c>
      <c r="AZ83" s="676" t="b">
        <f>[3]!Table2[[#This Row],[Total Certified ]]=Table2[[#This Row],[Total Certified ]]</f>
        <v>1</v>
      </c>
    </row>
    <row r="84" spans="1:52" ht="24" customHeight="1">
      <c r="A84" s="994">
        <f>+A83+1</f>
        <v>70</v>
      </c>
      <c r="B84" s="689" t="s">
        <v>724</v>
      </c>
      <c r="C84" s="689" t="s">
        <v>725</v>
      </c>
      <c r="D84" s="780">
        <v>162400</v>
      </c>
      <c r="E84" s="690" t="s">
        <v>726</v>
      </c>
      <c r="F84" s="708">
        <v>113387.96</v>
      </c>
      <c r="G84" s="819">
        <f t="shared" si="47"/>
        <v>16800</v>
      </c>
      <c r="H84" s="824">
        <f t="shared" si="48"/>
        <v>16800</v>
      </c>
      <c r="I84" s="817">
        <v>130187.96</v>
      </c>
      <c r="J84" s="692">
        <v>130187.96</v>
      </c>
      <c r="K84" s="945" t="s">
        <v>995</v>
      </c>
      <c r="L84" s="812"/>
      <c r="M84" s="928"/>
      <c r="N84" s="819"/>
      <c r="O84" s="841"/>
      <c r="P84" s="814"/>
      <c r="Q84" s="824"/>
      <c r="R84" s="814"/>
      <c r="S84" s="824"/>
      <c r="T84" s="827">
        <f t="shared" si="20"/>
        <v>130187.96</v>
      </c>
      <c r="U84" s="692">
        <f t="shared" si="16"/>
        <v>130187.96</v>
      </c>
      <c r="V84" s="970"/>
      <c r="W84" s="842"/>
      <c r="X84" s="696"/>
      <c r="Y84" s="698"/>
      <c r="Z84" s="965">
        <f t="shared" si="29"/>
        <v>0</v>
      </c>
      <c r="AA84" s="697">
        <v>0</v>
      </c>
      <c r="AB84" s="963">
        <f t="shared" si="33"/>
        <v>0</v>
      </c>
      <c r="AC84" s="700">
        <f t="shared" si="33"/>
        <v>0</v>
      </c>
      <c r="AD84" s="694">
        <f t="shared" si="17"/>
        <v>130187.96</v>
      </c>
      <c r="AE84" s="998">
        <f t="shared" si="34"/>
        <v>130187.96</v>
      </c>
      <c r="AG84" s="701">
        <f t="shared" si="40"/>
        <v>0</v>
      </c>
      <c r="AM84" s="680">
        <f t="shared" si="35"/>
        <v>0</v>
      </c>
      <c r="AV84" s="722">
        <f>Table2[[#This Row],[Total Claimed]]-Table2[[#This Row],[Sub-Total8]]</f>
        <v>0</v>
      </c>
      <c r="AW84" s="676" t="b">
        <f>AV84=Table2[[#This Row],[Balance11]]</f>
        <v>1</v>
      </c>
      <c r="AZ84" s="676" t="b">
        <f>[3]!Table2[[#This Row],[Total Certified ]]=Table2[[#This Row],[Total Certified ]]</f>
        <v>1</v>
      </c>
    </row>
    <row r="85" spans="1:52" ht="24" customHeight="1">
      <c r="A85" s="994">
        <f>+A84+1</f>
        <v>71</v>
      </c>
      <c r="B85" s="689" t="s">
        <v>727</v>
      </c>
      <c r="C85" s="689"/>
      <c r="D85" s="780"/>
      <c r="E85" s="690" t="s">
        <v>585</v>
      </c>
      <c r="F85" s="708">
        <v>6420</v>
      </c>
      <c r="G85" s="819">
        <f t="shared" si="47"/>
        <v>0</v>
      </c>
      <c r="H85" s="823">
        <f t="shared" si="48"/>
        <v>0</v>
      </c>
      <c r="I85" s="817">
        <v>6420</v>
      </c>
      <c r="J85" s="692">
        <v>6420</v>
      </c>
      <c r="K85" s="945" t="s">
        <v>995</v>
      </c>
      <c r="L85" s="812"/>
      <c r="M85" s="928"/>
      <c r="N85" s="819"/>
      <c r="O85" s="841"/>
      <c r="P85" s="814"/>
      <c r="Q85" s="824"/>
      <c r="R85" s="814"/>
      <c r="S85" s="824"/>
      <c r="T85" s="827">
        <f t="shared" si="20"/>
        <v>6420</v>
      </c>
      <c r="U85" s="692">
        <f t="shared" si="16"/>
        <v>6420</v>
      </c>
      <c r="V85" s="970"/>
      <c r="W85" s="842"/>
      <c r="X85" s="696"/>
      <c r="Y85" s="698"/>
      <c r="Z85" s="965">
        <f t="shared" si="29"/>
        <v>0</v>
      </c>
      <c r="AA85" s="697">
        <v>0</v>
      </c>
      <c r="AB85" s="963">
        <f>V85-Z85</f>
        <v>0</v>
      </c>
      <c r="AC85" s="700">
        <f t="shared" si="33"/>
        <v>0</v>
      </c>
      <c r="AD85" s="694">
        <f t="shared" si="17"/>
        <v>6420</v>
      </c>
      <c r="AE85" s="998">
        <f>AC85+U85</f>
        <v>6420</v>
      </c>
      <c r="AG85" s="701">
        <f t="shared" si="40"/>
        <v>0</v>
      </c>
      <c r="AM85" s="680">
        <f t="shared" si="35"/>
        <v>0</v>
      </c>
      <c r="AV85" s="722">
        <f>Table2[[#This Row],[Total Claimed]]-Table2[[#This Row],[Sub-Total8]]</f>
        <v>0</v>
      </c>
      <c r="AW85" s="676" t="b">
        <f>AV85=Table2[[#This Row],[Balance11]]</f>
        <v>1</v>
      </c>
      <c r="AZ85" s="676" t="b">
        <f>[3]!Table2[[#This Row],[Total Certified ]]=Table2[[#This Row],[Total Certified ]]</f>
        <v>1</v>
      </c>
    </row>
    <row r="86" spans="1:52" ht="24" customHeight="1">
      <c r="A86" s="996"/>
      <c r="B86" s="709"/>
      <c r="C86" s="709"/>
      <c r="D86" s="780"/>
      <c r="E86" s="690"/>
      <c r="F86" s="708"/>
      <c r="G86" s="818"/>
      <c r="H86" s="829"/>
      <c r="I86" s="817"/>
      <c r="J86" s="692"/>
      <c r="K86" s="838"/>
      <c r="L86" s="812"/>
      <c r="M86" s="928"/>
      <c r="N86" s="819"/>
      <c r="O86" s="841"/>
      <c r="P86" s="814"/>
      <c r="Q86" s="824"/>
      <c r="R86" s="814"/>
      <c r="S86" s="824"/>
      <c r="T86" s="827"/>
      <c r="U86" s="692"/>
      <c r="V86" s="970"/>
      <c r="W86" s="842"/>
      <c r="X86" s="696"/>
      <c r="Y86" s="698"/>
      <c r="Z86" s="965"/>
      <c r="AA86" s="697"/>
      <c r="AB86" s="963"/>
      <c r="AC86" s="700"/>
      <c r="AD86" s="694"/>
      <c r="AE86" s="998"/>
      <c r="AG86" s="701">
        <f t="shared" si="40"/>
        <v>0</v>
      </c>
      <c r="AM86" s="680">
        <f t="shared" si="35"/>
        <v>0</v>
      </c>
      <c r="AV86" s="722">
        <f>Table2[[#This Row],[Total Claimed]]-Table2[[#This Row],[Sub-Total8]]</f>
        <v>0</v>
      </c>
      <c r="AW86" s="676" t="b">
        <f>AV86=Table2[[#This Row],[Balance11]]</f>
        <v>1</v>
      </c>
      <c r="AZ86" s="676" t="b">
        <f>[3]!Table2[[#This Row],[Total Certified ]]=Table2[[#This Row],[Total Certified ]]</f>
        <v>1</v>
      </c>
    </row>
    <row r="87" spans="1:52" ht="24" customHeight="1">
      <c r="A87" s="1004"/>
      <c r="B87" s="1005"/>
      <c r="C87" s="1006"/>
      <c r="D87" s="1007">
        <f>SUM(D7:D86)</f>
        <v>92577547.319999993</v>
      </c>
      <c r="E87" s="1008"/>
      <c r="F87" s="1007">
        <f>SUM(F7:F86)</f>
        <v>31787039.227882236</v>
      </c>
      <c r="G87" s="1009">
        <f>SUM(G7:G86)</f>
        <v>8356548.3533039223</v>
      </c>
      <c r="H87" s="1010">
        <f>SUM(H7:H86)</f>
        <v>9484662.9821177591</v>
      </c>
      <c r="I87" s="1011">
        <f>SUM(I7:I86)</f>
        <v>40143587.581186153</v>
      </c>
      <c r="J87" s="1012">
        <f>SUM(J7:J86)</f>
        <v>41271702.209999993</v>
      </c>
      <c r="K87" s="1013"/>
      <c r="L87" s="1014">
        <f t="shared" ref="L87:S87" si="49">SUM(L6:L86)</f>
        <v>-1366504.6283784546</v>
      </c>
      <c r="M87" s="1015">
        <f t="shared" si="49"/>
        <v>-1690159.5599999998</v>
      </c>
      <c r="N87" s="1009">
        <f t="shared" si="49"/>
        <v>1507181.7600000002</v>
      </c>
      <c r="O87" s="1016">
        <f t="shared" si="49"/>
        <v>1708896.6600000001</v>
      </c>
      <c r="P87" s="1017">
        <f t="shared" si="49"/>
        <v>4953133.3899816647</v>
      </c>
      <c r="Q87" s="1016">
        <f t="shared" si="49"/>
        <v>7647292.25</v>
      </c>
      <c r="R87" s="1017">
        <f t="shared" si="49"/>
        <v>9799537.9138179906</v>
      </c>
      <c r="S87" s="1015">
        <f t="shared" si="49"/>
        <v>10732509.819999998</v>
      </c>
      <c r="T87" s="1018">
        <f>SUM(T7:T86)</f>
        <v>55036936.016607359</v>
      </c>
      <c r="U87" s="1019">
        <f>SUM(U7:U86)</f>
        <v>59670241.38000001</v>
      </c>
      <c r="V87" s="1020">
        <f>SUM(V7:V86)</f>
        <v>11959229.225000003</v>
      </c>
      <c r="W87" s="1021">
        <f>SUM(W7:W86)</f>
        <v>11770635.130000005</v>
      </c>
      <c r="X87" s="1022"/>
      <c r="Y87" s="1023"/>
      <c r="Z87" s="1024">
        <f t="shared" ref="Z87:AE87" si="50">SUM(Z7:Z86)</f>
        <v>3829955.1677349117</v>
      </c>
      <c r="AA87" s="1025">
        <f t="shared" si="50"/>
        <v>3895847.0589999994</v>
      </c>
      <c r="AB87" s="1020">
        <f t="shared" si="50"/>
        <v>8129274.057265087</v>
      </c>
      <c r="AC87" s="1026">
        <f t="shared" si="50"/>
        <v>7874788.0710000005</v>
      </c>
      <c r="AD87" s="1027">
        <f t="shared" si="50"/>
        <v>62237196.692872427</v>
      </c>
      <c r="AE87" s="1028">
        <f t="shared" si="50"/>
        <v>66616016.07</v>
      </c>
      <c r="AG87" s="701">
        <f>SUM(AG7:AG86)</f>
        <v>-4382833.3771275477</v>
      </c>
      <c r="AM87" s="680">
        <f>SUM(AM8:AM86)</f>
        <v>-4627719.363392639</v>
      </c>
      <c r="AV87" s="722">
        <f>Table2[[#This Row],[Total Claimed]]-Table2[[#This Row],[Sub-Total8]]</f>
        <v>6945774.6899999902</v>
      </c>
      <c r="AW87" s="676" t="b">
        <f>AV87=Table2[[#This Row],[Balance11]]</f>
        <v>0</v>
      </c>
      <c r="AZ87" s="676" t="b">
        <f>[3]!Table2[[#This Row],[Total Certified ]]=Table2[[#This Row],[Total Certified ]]</f>
        <v>1</v>
      </c>
    </row>
    <row r="88" spans="1:52">
      <c r="D88" s="710"/>
      <c r="E88" s="710"/>
      <c r="AG88" s="680"/>
      <c r="AV88" s="701"/>
      <c r="AZ88" s="676" t="e">
        <f>[3]!Table2[[#This Row],[Total Certified ]]=Table2[[#This Row],[Total Certified ]]</f>
        <v>#VALUE!</v>
      </c>
    </row>
    <row r="89" spans="1:52">
      <c r="F89" s="680"/>
      <c r="G89" s="680"/>
      <c r="H89" s="680"/>
      <c r="I89" s="680"/>
      <c r="J89" s="680"/>
      <c r="K89" s="680"/>
      <c r="L89" s="680"/>
      <c r="M89" s="680"/>
      <c r="N89" s="680"/>
      <c r="O89" s="680"/>
      <c r="P89" s="680"/>
      <c r="Q89" s="680"/>
      <c r="R89" s="680"/>
      <c r="S89" s="680"/>
      <c r="T89" s="701"/>
      <c r="U89" s="701"/>
      <c r="V89" s="680"/>
      <c r="W89" s="680"/>
      <c r="Z89" s="680"/>
      <c r="AA89" s="680"/>
      <c r="AB89" s="680"/>
      <c r="AC89" s="680"/>
      <c r="AD89" s="701"/>
      <c r="AE89" s="680"/>
    </row>
    <row r="90" spans="1:52">
      <c r="B90" s="711" t="s">
        <v>728</v>
      </c>
      <c r="C90" s="712" t="s">
        <v>143</v>
      </c>
      <c r="D90" s="712" t="s">
        <v>519</v>
      </c>
      <c r="E90" s="712" t="s">
        <v>142</v>
      </c>
      <c r="K90" s="680"/>
      <c r="N90" s="680"/>
      <c r="O90" s="680"/>
      <c r="P90" s="680"/>
      <c r="Q90" s="680"/>
      <c r="R90" s="680"/>
      <c r="S90" s="680"/>
      <c r="T90" s="680"/>
      <c r="U90" s="680"/>
      <c r="V90" s="680"/>
      <c r="W90" s="680"/>
      <c r="AB90" s="713"/>
      <c r="AC90" s="713"/>
      <c r="AD90" s="680"/>
      <c r="AE90" s="680"/>
      <c r="AG90" s="717">
        <v>66609603.324299999</v>
      </c>
    </row>
    <row r="91" spans="1:52">
      <c r="B91" s="714" t="s">
        <v>995</v>
      </c>
      <c r="C91" s="715">
        <f>D91-E91</f>
        <v>835712.21756815352</v>
      </c>
      <c r="D91" s="949">
        <f>SUMIF($K:$K,B91,$T:$T)</f>
        <v>6009104.2275681542</v>
      </c>
      <c r="E91" s="716">
        <v>5173392.0100000007</v>
      </c>
      <c r="G91" s="717"/>
      <c r="H91" s="717"/>
      <c r="K91" s="680"/>
      <c r="N91" s="680"/>
      <c r="O91" s="680"/>
      <c r="P91" s="680"/>
      <c r="Q91" s="680"/>
      <c r="R91" s="680"/>
      <c r="S91" s="680"/>
      <c r="T91" s="680"/>
      <c r="V91" s="680"/>
      <c r="W91" s="680"/>
      <c r="AD91" s="680"/>
      <c r="AE91" s="680"/>
      <c r="AG91" s="713">
        <f>AE87-AG90</f>
        <v>6412.7457000017166</v>
      </c>
    </row>
    <row r="92" spans="1:52">
      <c r="B92" s="718" t="s">
        <v>160</v>
      </c>
      <c r="C92" s="719">
        <f>D92-E92</f>
        <v>1212115.2672055466</v>
      </c>
      <c r="D92" s="720">
        <f>SUMIF($K:$K,B92,$T:$T)</f>
        <v>7165117.0795864975</v>
      </c>
      <c r="E92" s="720">
        <v>5953001.8123809509</v>
      </c>
      <c r="K92" s="680"/>
      <c r="N92" s="680"/>
      <c r="O92" s="680"/>
      <c r="P92" s="680"/>
      <c r="Q92" s="680"/>
      <c r="R92" s="680"/>
      <c r="S92" s="680"/>
      <c r="T92" s="680"/>
      <c r="V92" s="680"/>
      <c r="W92" s="680"/>
      <c r="AB92" s="713"/>
      <c r="AC92" s="713"/>
      <c r="AE92" s="701"/>
    </row>
    <row r="93" spans="1:52">
      <c r="B93" s="718" t="s">
        <v>994</v>
      </c>
      <c r="C93" s="719">
        <f>D93-E93</f>
        <v>142435</v>
      </c>
      <c r="D93" s="720">
        <f>SUMIF($K:$K,B93,$T:$T)</f>
        <v>972720</v>
      </c>
      <c r="E93" s="720">
        <v>830285</v>
      </c>
      <c r="K93" s="680"/>
      <c r="N93" s="680"/>
      <c r="O93" s="680"/>
      <c r="P93" s="680"/>
      <c r="Q93" s="680"/>
      <c r="R93" s="680"/>
      <c r="S93" s="680"/>
      <c r="T93" s="680"/>
      <c r="V93" s="680"/>
      <c r="W93" s="680"/>
      <c r="AD93" s="701"/>
      <c r="AG93" s="701"/>
    </row>
    <row r="94" spans="1:52">
      <c r="B94" s="718"/>
      <c r="C94" s="720"/>
      <c r="D94" s="720"/>
      <c r="E94" s="720"/>
      <c r="G94" s="721"/>
      <c r="K94" s="680"/>
      <c r="L94" s="701"/>
      <c r="N94" s="680"/>
      <c r="O94" s="680"/>
      <c r="P94" s="680"/>
      <c r="Q94" s="680"/>
      <c r="R94" s="680"/>
      <c r="S94" s="680"/>
      <c r="T94" s="680"/>
      <c r="U94" s="713"/>
      <c r="V94" s="680"/>
      <c r="W94" s="680"/>
      <c r="AB94" s="722"/>
      <c r="AC94" s="722"/>
      <c r="AE94" s="701"/>
      <c r="AG94" s="701"/>
    </row>
    <row r="95" spans="1:52">
      <c r="B95" s="718"/>
      <c r="C95" s="720"/>
      <c r="D95" s="720"/>
      <c r="E95" s="720"/>
      <c r="K95" s="680"/>
      <c r="L95" s="680"/>
      <c r="N95" s="680"/>
      <c r="O95" s="680"/>
      <c r="P95" s="680"/>
      <c r="Q95" s="680"/>
      <c r="R95" s="680"/>
      <c r="S95" s="680"/>
      <c r="T95" s="680"/>
      <c r="V95" s="680"/>
      <c r="W95" s="680"/>
    </row>
    <row r="96" spans="1:52">
      <c r="B96" s="723" t="s">
        <v>730</v>
      </c>
      <c r="C96" s="724"/>
      <c r="D96" s="1031"/>
      <c r="E96" s="724"/>
      <c r="K96" s="680"/>
      <c r="N96" s="680"/>
      <c r="O96" s="680"/>
      <c r="P96" s="680"/>
      <c r="Q96" s="680"/>
      <c r="R96" s="680"/>
      <c r="S96" s="680"/>
      <c r="T96" s="680"/>
      <c r="V96" s="680"/>
      <c r="W96" s="680"/>
      <c r="AG96" s="701"/>
    </row>
    <row r="97" spans="2:33">
      <c r="B97" s="725" t="s">
        <v>991</v>
      </c>
      <c r="C97" s="719">
        <f t="shared" ref="C97:C106" si="51">D97-E97</f>
        <v>983122.89181805961</v>
      </c>
      <c r="D97" s="720">
        <f>SUMIF($K:$K,B97,$T:$T)</f>
        <v>9090045.2737851404</v>
      </c>
      <c r="E97" s="720">
        <v>8106922.3819670808</v>
      </c>
      <c r="K97" s="680"/>
      <c r="L97" s="701"/>
      <c r="T97" s="680"/>
      <c r="AD97" s="713"/>
    </row>
    <row r="98" spans="2:33">
      <c r="B98" s="725" t="s">
        <v>992</v>
      </c>
      <c r="C98" s="719">
        <f t="shared" si="51"/>
        <v>1939753.25</v>
      </c>
      <c r="D98" s="720">
        <f>SUMIF($K:$K,B98,$T:$T)</f>
        <v>1939753.25</v>
      </c>
      <c r="E98" s="720">
        <v>0</v>
      </c>
      <c r="K98" s="680"/>
      <c r="L98" s="701"/>
      <c r="T98" s="680"/>
      <c r="AD98" s="713"/>
    </row>
    <row r="99" spans="2:33">
      <c r="B99" s="725" t="s">
        <v>605</v>
      </c>
      <c r="C99" s="719">
        <f t="shared" si="51"/>
        <v>207120.27709391713</v>
      </c>
      <c r="D99" s="720">
        <f t="shared" ref="D99:D105" si="52">SUMIF($K:$K,B99,$T:$T)</f>
        <v>1279215.1746964999</v>
      </c>
      <c r="E99" s="720">
        <v>1072094.8976025828</v>
      </c>
      <c r="K99" s="680"/>
      <c r="T99" s="680"/>
      <c r="W99" s="701"/>
    </row>
    <row r="100" spans="2:33">
      <c r="B100" s="725" t="s">
        <v>621</v>
      </c>
      <c r="C100" s="719">
        <f t="shared" si="51"/>
        <v>386108.10000000009</v>
      </c>
      <c r="D100" s="720">
        <f t="shared" si="52"/>
        <v>1617936</v>
      </c>
      <c r="E100" s="720">
        <v>1231827.8999999999</v>
      </c>
      <c r="K100" s="680"/>
      <c r="T100" s="680"/>
      <c r="V100" s="680"/>
      <c r="AG100" s="701"/>
    </row>
    <row r="101" spans="2:33">
      <c r="B101" s="725" t="s">
        <v>624</v>
      </c>
      <c r="C101" s="719">
        <f t="shared" si="51"/>
        <v>429936.0085261194</v>
      </c>
      <c r="D101" s="720">
        <f t="shared" si="52"/>
        <v>5456646.6099999994</v>
      </c>
      <c r="E101" s="720">
        <v>5026710.60147388</v>
      </c>
      <c r="K101" s="680"/>
      <c r="T101" s="701"/>
      <c r="U101" s="701"/>
      <c r="V101" s="680"/>
    </row>
    <row r="102" spans="2:33">
      <c r="B102" s="725" t="s">
        <v>996</v>
      </c>
      <c r="C102" s="719">
        <f t="shared" si="51"/>
        <v>0</v>
      </c>
      <c r="D102" s="720">
        <f t="shared" si="52"/>
        <v>0</v>
      </c>
      <c r="E102" s="720">
        <v>0</v>
      </c>
      <c r="K102" s="680"/>
      <c r="V102" s="680"/>
    </row>
    <row r="103" spans="2:33">
      <c r="B103" s="726" t="s">
        <v>254</v>
      </c>
      <c r="C103" s="727">
        <f t="shared" si="51"/>
        <v>4867315.2298320644</v>
      </c>
      <c r="D103" s="720">
        <f t="shared" si="52"/>
        <v>18951475.660971072</v>
      </c>
      <c r="E103" s="728">
        <v>14084160.431139007</v>
      </c>
      <c r="K103" s="680"/>
      <c r="T103" s="717"/>
      <c r="U103" s="717"/>
      <c r="V103" s="680"/>
    </row>
    <row r="104" spans="2:33">
      <c r="B104" s="726" t="s">
        <v>997</v>
      </c>
      <c r="C104" s="727">
        <f t="shared" si="51"/>
        <v>81221.435772323515</v>
      </c>
      <c r="D104" s="720">
        <f t="shared" si="52"/>
        <v>1604579.94</v>
      </c>
      <c r="E104" s="728">
        <v>1523358.5042276764</v>
      </c>
      <c r="K104" s="680"/>
      <c r="N104" s="701"/>
      <c r="O104" s="701"/>
      <c r="T104" s="701"/>
      <c r="U104" s="701"/>
      <c r="V104" s="680"/>
    </row>
    <row r="105" spans="2:33">
      <c r="B105" s="726" t="s">
        <v>993</v>
      </c>
      <c r="C105" s="727">
        <f t="shared" si="51"/>
        <v>204605.8</v>
      </c>
      <c r="D105" s="720">
        <f t="shared" si="52"/>
        <v>204605.8</v>
      </c>
      <c r="E105" s="728">
        <v>0</v>
      </c>
      <c r="K105" s="680"/>
      <c r="N105" s="701"/>
      <c r="O105" s="701"/>
      <c r="T105" s="701"/>
      <c r="U105" s="701"/>
      <c r="V105" s="680"/>
    </row>
    <row r="106" spans="2:33">
      <c r="B106" s="729" t="s">
        <v>594</v>
      </c>
      <c r="C106" s="730">
        <f t="shared" si="51"/>
        <v>150290.08536999999</v>
      </c>
      <c r="D106" s="1032">
        <f>SUMIF($K:$K,B106,$T:$T)</f>
        <v>745737</v>
      </c>
      <c r="E106" s="730">
        <v>595446.91463000001</v>
      </c>
      <c r="K106" s="680"/>
      <c r="V106" s="680"/>
    </row>
    <row r="107" spans="2:33">
      <c r="B107" s="731" t="s">
        <v>155</v>
      </c>
      <c r="C107" s="732">
        <f>SUM(C91:C106)</f>
        <v>11439735.563186185</v>
      </c>
      <c r="D107" s="732">
        <f>SUM(D91:D106)</f>
        <v>55036936.016607359</v>
      </c>
      <c r="E107" s="732">
        <f>SUM(E91:E106)</f>
        <v>43597200.453421183</v>
      </c>
      <c r="K107" s="680"/>
      <c r="V107" s="680"/>
    </row>
    <row r="108" spans="2:33">
      <c r="C108" s="701"/>
      <c r="K108" s="680"/>
      <c r="T108" s="717"/>
      <c r="U108" s="717"/>
      <c r="V108" s="680"/>
    </row>
    <row r="109" spans="2:33">
      <c r="D109" s="733"/>
    </row>
    <row r="111" spans="2:33" hidden="1">
      <c r="C111" s="717">
        <v>10204668.76</v>
      </c>
      <c r="D111" s="733">
        <f>+C107-AG87</f>
        <v>15822568.940313734</v>
      </c>
      <c r="V111" s="701">
        <f>V108-V107</f>
        <v>0</v>
      </c>
    </row>
    <row r="112" spans="2:33" hidden="1">
      <c r="C112" s="701">
        <f>C107-C111</f>
        <v>1235066.8031861857</v>
      </c>
      <c r="U112" s="713">
        <f>U87-T87</f>
        <v>4633305.3633926511</v>
      </c>
      <c r="AC112" s="713">
        <f>AC87-AB87</f>
        <v>-254485.98626508657</v>
      </c>
    </row>
    <row r="113" spans="2:5" hidden="1"/>
    <row r="114" spans="2:5" hidden="1"/>
    <row r="115" spans="2:5" hidden="1"/>
    <row r="116" spans="2:5" hidden="1"/>
    <row r="117" spans="2:5" hidden="1">
      <c r="B117" s="711" t="s">
        <v>728</v>
      </c>
      <c r="C117" s="712" t="s">
        <v>143</v>
      </c>
      <c r="D117" s="712" t="s">
        <v>519</v>
      </c>
      <c r="E117" s="712" t="s">
        <v>142</v>
      </c>
    </row>
    <row r="118" spans="2:5" hidden="1">
      <c r="B118" s="714" t="s">
        <v>159</v>
      </c>
      <c r="C118" s="715">
        <f>D118-E118</f>
        <v>-4259846.0788166719</v>
      </c>
      <c r="D118" s="716">
        <f>SUMIF($K:$K,B118,$U:$U)</f>
        <v>0</v>
      </c>
      <c r="E118" s="716">
        <v>4259846.0788166719</v>
      </c>
    </row>
    <row r="119" spans="2:5" hidden="1">
      <c r="B119" s="718" t="s">
        <v>168</v>
      </c>
      <c r="C119" s="719">
        <f>D119-E119</f>
        <v>-4734203.9800688643</v>
      </c>
      <c r="D119" s="716">
        <f>SUMIF($K:$K,B119,$U:$U)</f>
        <v>0</v>
      </c>
      <c r="E119" s="720">
        <v>4734203.9800688643</v>
      </c>
    </row>
    <row r="120" spans="2:5" hidden="1">
      <c r="B120" s="718" t="s">
        <v>729</v>
      </c>
      <c r="C120" s="719">
        <f>D120-E120</f>
        <v>299955</v>
      </c>
      <c r="D120" s="720">
        <f>J82</f>
        <v>972720</v>
      </c>
      <c r="E120" s="720">
        <v>672765</v>
      </c>
    </row>
    <row r="121" spans="2:5" hidden="1">
      <c r="B121" s="718"/>
      <c r="C121" s="720"/>
      <c r="D121" s="720">
        <f>SUMIF(K:K,B121,I:I)</f>
        <v>0</v>
      </c>
      <c r="E121" s="720">
        <v>0</v>
      </c>
    </row>
    <row r="122" spans="2:5" hidden="1">
      <c r="B122" s="718"/>
      <c r="C122" s="720"/>
      <c r="D122" s="720"/>
      <c r="E122" s="720"/>
    </row>
    <row r="123" spans="2:5" hidden="1">
      <c r="B123" s="723" t="s">
        <v>730</v>
      </c>
      <c r="C123" s="724">
        <f t="shared" ref="C123:C131" si="53">D123-E123</f>
        <v>0</v>
      </c>
      <c r="D123" s="724">
        <f>SUMIF(K:K,B123,I:I)</f>
        <v>0</v>
      </c>
      <c r="E123" s="724">
        <v>0</v>
      </c>
    </row>
    <row r="124" spans="2:5" hidden="1">
      <c r="B124" s="725" t="s">
        <v>586</v>
      </c>
      <c r="C124" s="719">
        <f t="shared" si="53"/>
        <v>-6355119.5192270819</v>
      </c>
      <c r="D124" s="716">
        <f t="shared" ref="D124:D131" si="54">SUMIF($K:$K,B124,$U:$U)</f>
        <v>0</v>
      </c>
      <c r="E124" s="720">
        <v>6355119.5192270819</v>
      </c>
    </row>
    <row r="125" spans="2:5" hidden="1">
      <c r="B125" s="725" t="s">
        <v>605</v>
      </c>
      <c r="C125" s="719">
        <f t="shared" si="53"/>
        <v>758074.07814657327</v>
      </c>
      <c r="D125" s="716">
        <f t="shared" si="54"/>
        <v>1492192.86</v>
      </c>
      <c r="E125" s="720">
        <v>734118.78185342683</v>
      </c>
    </row>
    <row r="126" spans="2:5" hidden="1">
      <c r="B126" s="725" t="s">
        <v>621</v>
      </c>
      <c r="C126" s="719">
        <f t="shared" si="53"/>
        <v>787411.6</v>
      </c>
      <c r="D126" s="716">
        <f t="shared" si="54"/>
        <v>1617936</v>
      </c>
      <c r="E126" s="720">
        <v>830524.4</v>
      </c>
    </row>
    <row r="127" spans="2:5" hidden="1">
      <c r="B127" s="725" t="s">
        <v>624</v>
      </c>
      <c r="C127" s="719">
        <f t="shared" si="53"/>
        <v>2922158.8622915014</v>
      </c>
      <c r="D127" s="716">
        <f t="shared" si="54"/>
        <v>6919274.5899999999</v>
      </c>
      <c r="E127" s="720">
        <v>3997115.7277084985</v>
      </c>
    </row>
    <row r="128" spans="2:5" hidden="1">
      <c r="B128" s="725" t="s">
        <v>612</v>
      </c>
      <c r="C128" s="719">
        <f t="shared" si="53"/>
        <v>0</v>
      </c>
      <c r="D128" s="716">
        <f t="shared" si="54"/>
        <v>0</v>
      </c>
      <c r="E128" s="720">
        <v>0</v>
      </c>
    </row>
    <row r="129" spans="2:5" hidden="1">
      <c r="B129" s="726" t="s">
        <v>254</v>
      </c>
      <c r="C129" s="727">
        <f t="shared" si="53"/>
        <v>9266120.7642389182</v>
      </c>
      <c r="D129" s="716">
        <f t="shared" si="54"/>
        <v>20736752.329999998</v>
      </c>
      <c r="E129" s="728">
        <v>11470631.56576108</v>
      </c>
    </row>
    <row r="130" spans="2:5" hidden="1">
      <c r="B130" s="726" t="s">
        <v>589</v>
      </c>
      <c r="C130" s="727">
        <f t="shared" si="53"/>
        <v>-1345291.0508060146</v>
      </c>
      <c r="D130" s="716">
        <f t="shared" si="54"/>
        <v>0</v>
      </c>
      <c r="E130" s="728">
        <v>1345291.0508060146</v>
      </c>
    </row>
    <row r="131" spans="2:5" hidden="1">
      <c r="B131" s="729" t="s">
        <v>594</v>
      </c>
      <c r="C131" s="730">
        <f t="shared" si="53"/>
        <v>410151.30871999997</v>
      </c>
      <c r="D131" s="716">
        <f t="shared" si="54"/>
        <v>820138</v>
      </c>
      <c r="E131" s="730">
        <v>409986.69128000003</v>
      </c>
    </row>
    <row r="132" spans="2:5" hidden="1">
      <c r="B132" s="731" t="s">
        <v>155</v>
      </c>
      <c r="C132" s="732">
        <f>SUM(C118:C131)</f>
        <v>-2250589.0155216409</v>
      </c>
      <c r="D132" s="732">
        <f>SUM(D118:D131)</f>
        <v>32559013.779999997</v>
      </c>
      <c r="E132" s="732">
        <f>SUM(E118:E131)</f>
        <v>34809602.795521639</v>
      </c>
    </row>
    <row r="138" spans="2:5">
      <c r="C138" s="680">
        <v>10693721.287330002</v>
      </c>
      <c r="D138" s="1033">
        <v>65308299.2443</v>
      </c>
    </row>
    <row r="139" spans="2:5">
      <c r="C139" s="680">
        <v>184751.12</v>
      </c>
      <c r="D139" s="1033">
        <v>1310424.08</v>
      </c>
    </row>
    <row r="140" spans="2:5">
      <c r="C140" s="680">
        <f>SUM(C138:C139)</f>
        <v>10878472.407330001</v>
      </c>
      <c r="D140" s="680">
        <f>SUM(D138:D139)</f>
        <v>66618723.324299999</v>
      </c>
    </row>
    <row r="141" spans="2:5">
      <c r="C141" s="680"/>
      <c r="D141" s="1033">
        <f>AE87</f>
        <v>66616016.07</v>
      </c>
    </row>
    <row r="142" spans="2:5">
      <c r="D142" s="733">
        <f>D141-D140</f>
        <v>-2707.2542999982834</v>
      </c>
    </row>
  </sheetData>
  <pageMargins left="0.7" right="0.7" top="0.75" bottom="0.75" header="0.3" footer="0.3"/>
  <pageSetup paperSize="8" scale="43" fitToHeight="0" orientation="landscape" r:id="rId1"/>
  <colBreaks count="1" manualBreakCount="1">
    <brk id="31"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5"/>
  <sheetViews>
    <sheetView view="pageBreakPreview" zoomScaleNormal="100" zoomScaleSheetLayoutView="100" workbookViewId="0">
      <selection activeCell="E26" sqref="E26"/>
    </sheetView>
  </sheetViews>
  <sheetFormatPr defaultColWidth="8.90625" defaultRowHeight="14.5"/>
  <cols>
    <col min="1" max="1" width="10.08984375" style="311" customWidth="1"/>
    <col min="2" max="2" width="39.36328125" style="311" customWidth="1"/>
    <col min="3" max="3" width="13.6328125" style="311" customWidth="1"/>
    <col min="4" max="4" width="15.453125" style="311" customWidth="1"/>
    <col min="5" max="5" width="19" style="313" customWidth="1"/>
    <col min="6" max="6" width="12.36328125" style="311" customWidth="1"/>
    <col min="7" max="8" width="13.6328125" style="311" customWidth="1"/>
    <col min="9" max="9" width="8.90625" style="311"/>
    <col min="10" max="10" width="12.08984375" style="313" customWidth="1"/>
    <col min="11" max="16384" width="8.90625" style="311"/>
  </cols>
  <sheetData>
    <row r="1" spans="1:10" ht="18">
      <c r="A1" s="1081" t="s">
        <v>0</v>
      </c>
      <c r="B1" s="1081"/>
      <c r="C1" s="1081"/>
      <c r="D1" s="1081"/>
      <c r="E1" s="1081"/>
    </row>
    <row r="2" spans="1:10" ht="16" thickBot="1">
      <c r="A2" s="1082" t="s">
        <v>927</v>
      </c>
      <c r="B2" s="1082"/>
      <c r="C2" s="1082"/>
      <c r="D2" s="1082"/>
      <c r="E2" s="1082"/>
    </row>
    <row r="3" spans="1:10" ht="9" customHeight="1">
      <c r="A3" s="285"/>
      <c r="B3" s="286"/>
      <c r="C3" s="286"/>
      <c r="D3" s="287"/>
      <c r="E3" s="288"/>
    </row>
    <row r="4" spans="1:10">
      <c r="A4" s="314" t="s">
        <v>137</v>
      </c>
      <c r="B4" t="s">
        <v>138</v>
      </c>
      <c r="D4" s="315" t="s">
        <v>3</v>
      </c>
      <c r="E4" s="316">
        <f ca="1">'KCE-PC 12 INT'!G3</f>
        <v>44979</v>
      </c>
    </row>
    <row r="5" spans="1:10">
      <c r="A5" s="314" t="s">
        <v>156</v>
      </c>
      <c r="B5" t="s">
        <v>95</v>
      </c>
      <c r="D5" s="315" t="s">
        <v>5</v>
      </c>
      <c r="E5" s="317" t="str">
        <f>+'Annexure 12-Previous Payments '!C5</f>
        <v>KCE-12</v>
      </c>
    </row>
    <row r="6" spans="1:10">
      <c r="A6" s="314" t="s">
        <v>139</v>
      </c>
      <c r="B6" t="s">
        <v>140</v>
      </c>
      <c r="D6" s="315" t="s">
        <v>8</v>
      </c>
      <c r="E6" s="318" t="s">
        <v>9</v>
      </c>
    </row>
    <row r="7" spans="1:10" ht="15" thickBot="1">
      <c r="A7" s="289"/>
      <c r="B7" s="290"/>
      <c r="C7" s="545"/>
      <c r="D7" s="545"/>
      <c r="E7" s="546"/>
    </row>
    <row r="8" spans="1:10" ht="15" thickBot="1">
      <c r="A8" s="547"/>
      <c r="E8" s="548"/>
    </row>
    <row r="9" spans="1:10">
      <c r="A9" s="549" t="s">
        <v>157</v>
      </c>
      <c r="B9" s="294" t="s">
        <v>803</v>
      </c>
      <c r="C9" s="550" t="s">
        <v>158</v>
      </c>
      <c r="D9" s="550" t="s">
        <v>143</v>
      </c>
      <c r="E9" s="551" t="s">
        <v>144</v>
      </c>
    </row>
    <row r="10" spans="1:10">
      <c r="A10" s="552">
        <v>1</v>
      </c>
      <c r="B10" s="553" t="s">
        <v>841</v>
      </c>
      <c r="C10" s="554">
        <v>1121275.8500000001</v>
      </c>
      <c r="D10" s="554">
        <v>164904.35000000006</v>
      </c>
      <c r="E10" s="555">
        <f>+C10+D10</f>
        <v>1286180.2000000002</v>
      </c>
    </row>
    <row r="11" spans="1:10">
      <c r="A11" s="934">
        <v>2</v>
      </c>
      <c r="B11" s="556" t="s">
        <v>824</v>
      </c>
      <c r="C11" s="360">
        <v>-48681.189047619046</v>
      </c>
      <c r="D11" s="360">
        <f>E11-C11</f>
        <v>0</v>
      </c>
      <c r="E11" s="557">
        <f>-Adjustments!I15</f>
        <v>-48681.189047619046</v>
      </c>
      <c r="G11" s="329"/>
      <c r="J11" s="328"/>
    </row>
    <row r="12" spans="1:10" ht="15" thickBot="1">
      <c r="A12" s="1097" t="s">
        <v>155</v>
      </c>
      <c r="B12" s="1098"/>
      <c r="C12" s="558">
        <f>SUM(C10:C11)</f>
        <v>1072594.6609523811</v>
      </c>
      <c r="D12" s="558">
        <f>SUM(D10:D11)</f>
        <v>164904.35000000006</v>
      </c>
      <c r="E12" s="559">
        <f>SUM(E10:E11)</f>
        <v>1237499.0109523812</v>
      </c>
      <c r="F12" s="883"/>
    </row>
    <row r="13" spans="1:10">
      <c r="E13" s="311"/>
      <c r="G13" s="560"/>
    </row>
    <row r="14" spans="1:10">
      <c r="E14" s="883"/>
    </row>
    <row r="15" spans="1:10">
      <c r="F15" s="329"/>
    </row>
    <row r="24" spans="4:5">
      <c r="D24" s="311">
        <v>165516.25999999998</v>
      </c>
      <c r="E24" s="313">
        <v>1288084.0299999989</v>
      </c>
    </row>
    <row r="25" spans="4:5">
      <c r="D25" s="335">
        <f>D10-D24</f>
        <v>-611.90999999991618</v>
      </c>
      <c r="E25" s="335">
        <f>E10-E24</f>
        <v>-1903.8299999986775</v>
      </c>
    </row>
  </sheetData>
  <mergeCells count="3">
    <mergeCell ref="A1:E1"/>
    <mergeCell ref="A2:E2"/>
    <mergeCell ref="A12:B12"/>
  </mergeCells>
  <pageMargins left="0.7" right="0.7" top="0.75" bottom="0.75" header="0.3" footer="0.3"/>
  <pageSetup scale="9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12</vt:lpstr>
      <vt:lpstr>KCE-PC 12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vt:lpstr>
      <vt:lpstr>Annexure 9-OHP</vt:lpstr>
      <vt:lpstr>Annexure 10-Retention</vt:lpstr>
      <vt:lpstr>Annexure 11-Advance Recovery</vt:lpstr>
      <vt:lpstr>Annexure 12-Previous Payments </vt:lpstr>
      <vt:lpstr>Staff Cost Summary</vt:lpstr>
      <vt:lpstr>Civil Staff Cost January 23</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January 23'!Print_Area</vt:lpstr>
      <vt:lpstr>'Committed Orders'!Print_Area</vt:lpstr>
      <vt:lpstr>'KCE-PC 12'!Print_Area</vt:lpstr>
      <vt:lpstr>'KCE-PC 12 INT'!Print_Area</vt:lpstr>
      <vt:lpstr>'KMEP -IPC'!Print_Area</vt:lpstr>
      <vt:lpstr>'Staff Cost Summary'!Print_Area</vt:lpstr>
      <vt:lpstr>'Annexure 6-SC Summary '!Print_Titles</vt:lpstr>
      <vt:lpstr>'Civil Staff Cost January 23'!Print_Titles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2023-01-20T08:11:19Z</cp:lastPrinted>
  <dcterms:created xsi:type="dcterms:W3CDTF">2022-10-21T12:11:49Z</dcterms:created>
  <dcterms:modified xsi:type="dcterms:W3CDTF">2023-02-22T09:48:29Z</dcterms:modified>
</cp:coreProperties>
</file>