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8. TWIC\"/>
    </mc:Choice>
  </mc:AlternateContent>
  <xr:revisionPtr revIDLastSave="0" documentId="13_ncr:1_{710DEBF0-6E08-4909-B1D1-772ADC224C2B}" xr6:coauthVersionLast="47" xr6:coauthVersionMax="47" xr10:uidLastSave="{00000000-0000-0000-0000-000000000000}"/>
  <bookViews>
    <workbookView xWindow="-108" yWindow="-108" windowWidth="23256" windowHeight="12456" tabRatio="789" firstSheet="1" activeTab="1" xr2:uid="{00000000-000D-0000-FFFF-FFFF00000000}"/>
  </bookViews>
  <sheets>
    <sheet name="TAX_INVOICE" sheetId="6" state="hidden" r:id="rId1"/>
    <sheet name="Summary" sheetId="12" r:id="rId2"/>
    <sheet name="BOQ March 2023" sheetId="2" r:id="rId3"/>
    <sheet name="CUMULATIVE EPOXY TO BOH ROOMS" sheetId="11" r:id="rId4"/>
    <sheet name="Cumulative UCRETE Flooring" sheetId="9" r:id="rId5"/>
    <sheet name="Carpark coating" sheetId="8" r:id="rId6"/>
    <sheet name="CARPARK Detailed calculation" sheetId="7" r:id="rId7"/>
    <sheet name="Stairs" sheetId="10" r:id="rId8"/>
  </sheets>
  <externalReferences>
    <externalReference r:id="rId9"/>
  </externalReferences>
  <definedNames>
    <definedName name="\B" localSheetId="2">#REF!</definedName>
    <definedName name="\B" localSheetId="5">#REF!</definedName>
    <definedName name="\B" localSheetId="3">#REF!</definedName>
    <definedName name="\B" localSheetId="4">#REF!</definedName>
    <definedName name="\B">#REF!</definedName>
    <definedName name="\c" localSheetId="2">#REF!</definedName>
    <definedName name="\c" localSheetId="3">#REF!</definedName>
    <definedName name="\c" localSheetId="4">#REF!</definedName>
    <definedName name="\c">#REF!</definedName>
    <definedName name="\d" localSheetId="2">#REF!</definedName>
    <definedName name="\d" localSheetId="3">#REF!</definedName>
    <definedName name="\d" localSheetId="4">#REF!</definedName>
    <definedName name="\d">#REF!</definedName>
    <definedName name="\e" localSheetId="2">#REF!</definedName>
    <definedName name="\e">#REF!</definedName>
    <definedName name="\f" localSheetId="2">#REF!</definedName>
    <definedName name="\f">#REF!</definedName>
    <definedName name="\g" localSheetId="2">#REF!</definedName>
    <definedName name="\g">#REF!</definedName>
    <definedName name="\h" localSheetId="2">#REF!</definedName>
    <definedName name="\h">#REF!</definedName>
    <definedName name="\i" localSheetId="2">#REF!</definedName>
    <definedName name="\i">#REF!</definedName>
    <definedName name="\j" localSheetId="2">#REF!</definedName>
    <definedName name="\j">#REF!</definedName>
    <definedName name="\k" localSheetId="2">#REF!</definedName>
    <definedName name="\k">#REF!</definedName>
    <definedName name="\l" localSheetId="2">#REF!</definedName>
    <definedName name="\l">#REF!</definedName>
    <definedName name="\m" localSheetId="2">#REF!</definedName>
    <definedName name="\m">#REF!</definedName>
    <definedName name="\n" localSheetId="2">#REF!</definedName>
    <definedName name="\n">#REF!</definedName>
    <definedName name="\p" localSheetId="2">#REF!</definedName>
    <definedName name="\p">#REF!</definedName>
    <definedName name="\T" localSheetId="2">#REF!</definedName>
    <definedName name="\T">#REF!</definedName>
    <definedName name="\w" localSheetId="2">#REF!</definedName>
    <definedName name="\w">#REF!</definedName>
    <definedName name="\X" localSheetId="2">#REF!</definedName>
    <definedName name="\X">#REF!</definedName>
    <definedName name="____ccr1" localSheetId="5" hidden="1">{#N/A,#N/A,TRUE,"Cover";#N/A,#N/A,TRUE,"Conts";#N/A,#N/A,TRUE,"VOS";#N/A,#N/A,TRUE,"Warrington";#N/A,#N/A,TRUE,"Widnes"}</definedName>
    <definedName name="____ccr1" localSheetId="3" hidden="1">{#N/A,#N/A,TRUE,"Cover";#N/A,#N/A,TRUE,"Conts";#N/A,#N/A,TRUE,"VOS";#N/A,#N/A,TRUE,"Warrington";#N/A,#N/A,TRUE,"Widnes"}</definedName>
    <definedName name="____ccr1" localSheetId="4" hidden="1">{#N/A,#N/A,TRUE,"Cover";#N/A,#N/A,TRUE,"Conts";#N/A,#N/A,TRUE,"VOS";#N/A,#N/A,TRUE,"Warrington";#N/A,#N/A,TRUE,"Widnes"}</definedName>
    <definedName name="____ccr1" localSheetId="1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ccr1" localSheetId="5" hidden="1">{#N/A,#N/A,TRUE,"Cover";#N/A,#N/A,TRUE,"Conts";#N/A,#N/A,TRUE,"VOS";#N/A,#N/A,TRUE,"Warrington";#N/A,#N/A,TRUE,"Widnes"}</definedName>
    <definedName name="___ccr1" localSheetId="3" hidden="1">{#N/A,#N/A,TRUE,"Cover";#N/A,#N/A,TRUE,"Conts";#N/A,#N/A,TRUE,"VOS";#N/A,#N/A,TRUE,"Warrington";#N/A,#N/A,TRUE,"Widnes"}</definedName>
    <definedName name="___ccr1" localSheetId="4" hidden="1">{#N/A,#N/A,TRUE,"Cover";#N/A,#N/A,TRUE,"Conts";#N/A,#N/A,TRUE,"VOS";#N/A,#N/A,TRUE,"Warrington";#N/A,#N/A,TRUE,"Widnes"}</definedName>
    <definedName name="___ccr1" localSheetId="1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ccr1" localSheetId="5" hidden="1">{#N/A,#N/A,TRUE,"Cover";#N/A,#N/A,TRUE,"Conts";#N/A,#N/A,TRUE,"VOS";#N/A,#N/A,TRUE,"Warrington";#N/A,#N/A,TRUE,"Widnes"}</definedName>
    <definedName name="__ccr1" localSheetId="3" hidden="1">{#N/A,#N/A,TRUE,"Cover";#N/A,#N/A,TRUE,"Conts";#N/A,#N/A,TRUE,"VOS";#N/A,#N/A,TRUE,"Warrington";#N/A,#N/A,TRUE,"Widnes"}</definedName>
    <definedName name="__ccr1" localSheetId="4" hidden="1">{#N/A,#N/A,TRUE,"Cover";#N/A,#N/A,TRUE,"Conts";#N/A,#N/A,TRUE,"VOS";#N/A,#N/A,TRUE,"Warrington";#N/A,#N/A,TRUE,"Widnes"}</definedName>
    <definedName name="__ccr1" localSheetId="1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1">#N/A</definedName>
    <definedName name="_11">#N/A</definedName>
    <definedName name="_123_asd_3" localSheetId="2">#REF!</definedName>
    <definedName name="_123_asd_3" localSheetId="5">#REF!</definedName>
    <definedName name="_123_asd_3" localSheetId="3">#REF!</definedName>
    <definedName name="_123_asd_3" localSheetId="4">#REF!</definedName>
    <definedName name="_123_asd_3">#REF!</definedName>
    <definedName name="_2">#N/A</definedName>
    <definedName name="_22">#N/A</definedName>
    <definedName name="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c" localSheetId="2">#REF!</definedName>
    <definedName name="_c" localSheetId="5">#REF!</definedName>
    <definedName name="_c" localSheetId="3">#REF!</definedName>
    <definedName name="_c" localSheetId="4">#REF!</definedName>
    <definedName name="_c">#REF!</definedName>
    <definedName name="_ccr1" localSheetId="5" hidden="1">{#N/A,#N/A,TRUE,"Cover";#N/A,#N/A,TRUE,"Conts";#N/A,#N/A,TRUE,"VOS";#N/A,#N/A,TRUE,"Warrington";#N/A,#N/A,TRUE,"Widnes"}</definedName>
    <definedName name="_ccr1" localSheetId="3" hidden="1">{#N/A,#N/A,TRUE,"Cover";#N/A,#N/A,TRUE,"Conts";#N/A,#N/A,TRUE,"VOS";#N/A,#N/A,TRUE,"Warrington";#N/A,#N/A,TRUE,"Widnes"}</definedName>
    <definedName name="_ccr1" localSheetId="4" hidden="1">{#N/A,#N/A,TRUE,"Cover";#N/A,#N/A,TRUE,"Conts";#N/A,#N/A,TRUE,"VOS";#N/A,#N/A,TRUE,"Warrington";#N/A,#N/A,TRUE,"Widnes"}</definedName>
    <definedName name="_ccr1" localSheetId="1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Fill" localSheetId="2" hidden="1">#REF!</definedName>
    <definedName name="_Fill" localSheetId="5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6" hidden="1">'CARPARK Detailed calculation'!#REF!</definedName>
    <definedName name="_xlnm._FilterDatabase" localSheetId="3" hidden="1">'CUMULATIVE EPOXY TO BOH ROOMS'!$A$6:$P$318</definedName>
    <definedName name="_xlnm._FilterDatabase" localSheetId="4" hidden="1">'Cumulative UCRETE Flooring'!$A$6:$AL$97</definedName>
    <definedName name="_Key1" localSheetId="2" hidden="1">#REF!</definedName>
    <definedName name="_Key1" localSheetId="5" hidden="1">#REF!</definedName>
    <definedName name="_Key1" localSheetId="3" hidden="1">#REF!</definedName>
    <definedName name="_Key1" localSheetId="4" hidden="1">#REF!</definedName>
    <definedName name="_Key1" hidden="1">#REF!</definedName>
    <definedName name="_old3" localSheetId="5" hidden="1">{#N/A,#N/A,FALSE,"Summary";#N/A,#N/A,FALSE,"3TJ";#N/A,#N/A,FALSE,"3TN";#N/A,#N/A,FALSE,"3TP";#N/A,#N/A,FALSE,"3SJ";#N/A,#N/A,FALSE,"3CJ";#N/A,#N/A,FALSE,"3CN";#N/A,#N/A,FALSE,"3CP";#N/A,#N/A,FALSE,"3A"}</definedName>
    <definedName name="_old3" localSheetId="3" hidden="1">{#N/A,#N/A,FALSE,"Summary";#N/A,#N/A,FALSE,"3TJ";#N/A,#N/A,FALSE,"3TN";#N/A,#N/A,FALSE,"3TP";#N/A,#N/A,FALSE,"3SJ";#N/A,#N/A,FALSE,"3CJ";#N/A,#N/A,FALSE,"3CN";#N/A,#N/A,FALSE,"3CP";#N/A,#N/A,FALSE,"3A"}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localSheetId="1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5" hidden="1">{#N/A,#N/A,FALSE,"Summary";#N/A,#N/A,FALSE,"3TJ";#N/A,#N/A,FALSE,"3TN";#N/A,#N/A,FALSE,"3TP";#N/A,#N/A,FALSE,"3SJ";#N/A,#N/A,FALSE,"3CJ";#N/A,#N/A,FALSE,"3CN";#N/A,#N/A,FALSE,"3CP";#N/A,#N/A,FALSE,"3A"}</definedName>
    <definedName name="_old5" localSheetId="3" hidden="1">{#N/A,#N/A,FALSE,"Summary";#N/A,#N/A,FALSE,"3TJ";#N/A,#N/A,FALSE,"3TN";#N/A,#N/A,FALSE,"3TP";#N/A,#N/A,FALSE,"3SJ";#N/A,#N/A,FALSE,"3CJ";#N/A,#N/A,FALSE,"3CN";#N/A,#N/A,FALSE,"3CP";#N/A,#N/A,FALSE,"3A"}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localSheetId="1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5" hidden="1">{#N/A,#N/A,FALSE,"Summary";#N/A,#N/A,FALSE,"3TJ";#N/A,#N/A,FALSE,"3TN";#N/A,#N/A,FALSE,"3TP";#N/A,#N/A,FALSE,"3SJ";#N/A,#N/A,FALSE,"3CJ";#N/A,#N/A,FALSE,"3CN";#N/A,#N/A,FALSE,"3CP";#N/A,#N/A,FALSE,"3A"}</definedName>
    <definedName name="_old7" localSheetId="3" hidden="1">{#N/A,#N/A,FALSE,"Summary";#N/A,#N/A,FALSE,"3TJ";#N/A,#N/A,FALSE,"3TN";#N/A,#N/A,FALSE,"3TP";#N/A,#N/A,FALSE,"3SJ";#N/A,#N/A,FALSE,"3CJ";#N/A,#N/A,FALSE,"3CN";#N/A,#N/A,FALSE,"3CP";#N/A,#N/A,FALSE,"3A"}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localSheetId="1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hidden="1">255</definedName>
    <definedName name="_Regression_Int" hidden="1">1</definedName>
    <definedName name="_Sort" localSheetId="2" hidden="1">#REF!</definedName>
    <definedName name="_Sort" localSheetId="5" hidden="1">#REF!</definedName>
    <definedName name="_Sort" localSheetId="3" hidden="1">#REF!</definedName>
    <definedName name="_Sort" localSheetId="4" hidden="1">#REF!</definedName>
    <definedName name="_Sort" hidden="1">#REF!</definedName>
    <definedName name="a">#N/A</definedName>
    <definedName name="ab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c" localSheetId="2">#REF!</definedName>
    <definedName name="abc" localSheetId="5">#REF!</definedName>
    <definedName name="abc" localSheetId="3">#REF!</definedName>
    <definedName name="abc" localSheetId="4">#REF!</definedName>
    <definedName name="abc">#REF!</definedName>
    <definedName name="ac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cessDatabase" hidden="1">"C:\WIN95\Desktop\Ramesh\AIC\Aic.mdb"</definedName>
    <definedName name="ACCOUNT_CODE" localSheetId="2">#REF!</definedName>
    <definedName name="ACCOUNT_CODE" localSheetId="5">#REF!</definedName>
    <definedName name="ACCOUNT_CODE" localSheetId="3">#REF!</definedName>
    <definedName name="ACCOUNT_CODE" localSheetId="4">#REF!</definedName>
    <definedName name="ACCOUNT_CODE">#REF!</definedName>
    <definedName name="aqwse">#N/A</definedName>
    <definedName name="AS" localSheetId="2">#REF!</definedName>
    <definedName name="AS" localSheetId="5">#REF!</definedName>
    <definedName name="AS" localSheetId="3">#REF!</definedName>
    <definedName name="AS" localSheetId="4">#REF!</definedName>
    <definedName name="AS">#REF!</definedName>
    <definedName name="b" localSheetId="2">#REF!</definedName>
    <definedName name="b" localSheetId="3">#REF!</definedName>
    <definedName name="b" localSheetId="4">#REF!</definedName>
    <definedName name="b">#REF!</definedName>
    <definedName name="Biju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UILDING" localSheetId="2">#REF!</definedName>
    <definedName name="BUILDING" localSheetId="5">#REF!</definedName>
    <definedName name="BUILDING" localSheetId="3">#REF!</definedName>
    <definedName name="BUILDING" localSheetId="4">#REF!</definedName>
    <definedName name="BUILDING">#REF!</definedName>
    <definedName name="Button_2">"Submittals_Status_Drawing__2__List"</definedName>
    <definedName name="cashfl" localSheetId="5" hidden="1">{#N/A,#N/A,TRUE,"Cover";#N/A,#N/A,TRUE,"Conts";#N/A,#N/A,TRUE,"VOS";#N/A,#N/A,TRUE,"Warrington";#N/A,#N/A,TRUE,"Widnes"}</definedName>
    <definedName name="cashfl" localSheetId="3" hidden="1">{#N/A,#N/A,TRUE,"Cover";#N/A,#N/A,TRUE,"Conts";#N/A,#N/A,TRUE,"VOS";#N/A,#N/A,TRUE,"Warrington";#N/A,#N/A,TRUE,"Widnes"}</definedName>
    <definedName name="cashfl" localSheetId="4" hidden="1">{#N/A,#N/A,TRUE,"Cover";#N/A,#N/A,TRUE,"Conts";#N/A,#N/A,TRUE,"VOS";#N/A,#N/A,TRUE,"Warrington";#N/A,#N/A,TRUE,"Widnes"}</definedName>
    <definedName name="cashfl" localSheetId="1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cc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R" localSheetId="5" hidden="1">{#N/A,#N/A,TRUE,"Cover";#N/A,#N/A,TRUE,"Conts";#N/A,#N/A,TRUE,"VOS";#N/A,#N/A,TRUE,"Warrington";#N/A,#N/A,TRUE,"Widnes"}</definedName>
    <definedName name="CCR" localSheetId="3" hidden="1">{#N/A,#N/A,TRUE,"Cover";#N/A,#N/A,TRUE,"Conts";#N/A,#N/A,TRUE,"VOS";#N/A,#N/A,TRUE,"Warrington";#N/A,#N/A,TRUE,"Widnes"}</definedName>
    <definedName name="CCR" localSheetId="4" hidden="1">{#N/A,#N/A,TRUE,"Cover";#N/A,#N/A,TRUE,"Conts";#N/A,#N/A,TRUE,"VOS";#N/A,#N/A,TRUE,"Warrington";#N/A,#N/A,TRUE,"Widnes"}</definedName>
    <definedName name="CCR" localSheetId="1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O" localSheetId="2">#REF!</definedName>
    <definedName name="CO" localSheetId="5">#REF!</definedName>
    <definedName name="CO" localSheetId="3">#REF!</definedName>
    <definedName name="CO" localSheetId="4">#REF!</definedName>
    <definedName name="CO">#REF!</definedName>
    <definedName name="CODE" localSheetId="2">#REF!</definedName>
    <definedName name="CODE" localSheetId="3">#REF!</definedName>
    <definedName name="CODE" localSheetId="4">#REF!</definedName>
    <definedName name="CODE">#REF!</definedName>
    <definedName name="conc35" localSheetId="2">#REF!</definedName>
    <definedName name="conc35" localSheetId="3">#REF!</definedName>
    <definedName name="conc35" localSheetId="4">#REF!</definedName>
    <definedName name="conc35">#REF!</definedName>
    <definedName name="concwt" localSheetId="2">#REF!</definedName>
    <definedName name="concwt">#REF!</definedName>
    <definedName name="condition">#N/A</definedName>
    <definedName name="Contract_Sum" localSheetId="2">#REF!</definedName>
    <definedName name="Contract_Sum" localSheetId="5">#REF!</definedName>
    <definedName name="Contract_Sum" localSheetId="3">#REF!</definedName>
    <definedName name="Contract_Sum" localSheetId="4">#REF!</definedName>
    <definedName name="Contract_Sum">#REF!</definedName>
    <definedName name="Contract_sum1" localSheetId="2">#REF!</definedName>
    <definedName name="Contract_sum1" localSheetId="3">#REF!</definedName>
    <definedName name="Contract_sum1" localSheetId="4">#REF!</definedName>
    <definedName name="Contract_sum1">#REF!</definedName>
    <definedName name="CostPlanArea" localSheetId="2">#REF!</definedName>
    <definedName name="CostPlanArea" localSheetId="3">#REF!</definedName>
    <definedName name="CostPlanArea" localSheetId="4">#REF!</definedName>
    <definedName name="CostPlanArea">#REF!</definedName>
    <definedName name="COUNT_RANGE">#N/A</definedName>
    <definedName name="Criteria_MI" localSheetId="2">#REF!</definedName>
    <definedName name="Criteria_MI" localSheetId="5">#REF!</definedName>
    <definedName name="Criteria_MI" localSheetId="3">#REF!</definedName>
    <definedName name="Criteria_MI" localSheetId="4">#REF!</definedName>
    <definedName name="Criteria_MI">#REF!</definedName>
    <definedName name="Current_Valuation_No" localSheetId="2">#REF!</definedName>
    <definedName name="Current_Valuation_No" localSheetId="3">#REF!</definedName>
    <definedName name="Current_Valuation_No" localSheetId="4">#REF!</definedName>
    <definedName name="Current_Valuation_No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>#REF!</definedName>
    <definedName name="Database_MI" localSheetId="2">#REF!</definedName>
    <definedName name="Database_MI">#REF!</definedName>
    <definedName name="Date_On_Site" localSheetId="2">#REF!</definedName>
    <definedName name="Date_On_Site">#REF!</definedName>
    <definedName name="ddddd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esc_DC">#N/A</definedName>
    <definedName name="dfffff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i">#N/A</definedName>
    <definedName name="dvbg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e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nter_Mark_Up" localSheetId="2">#REF!</definedName>
    <definedName name="Enter_Mark_Up" localSheetId="5">#REF!</definedName>
    <definedName name="Enter_Mark_Up" localSheetId="3">#REF!</definedName>
    <definedName name="Enter_Mark_Up" localSheetId="4">#REF!</definedName>
    <definedName name="Enter_Mark_Up">#REF!</definedName>
    <definedName name="er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s">#N/A</definedName>
    <definedName name="estimateb" localSheetId="5" hidden="1">{#N/A,#N/A,TRUE,"Cover";#N/A,#N/A,TRUE,"Conts";#N/A,#N/A,TRUE,"VOS";#N/A,#N/A,TRUE,"Warrington";#N/A,#N/A,TRUE,"Widnes"}</definedName>
    <definedName name="estimateb" localSheetId="3" hidden="1">{#N/A,#N/A,TRUE,"Cover";#N/A,#N/A,TRUE,"Conts";#N/A,#N/A,TRUE,"VOS";#N/A,#N/A,TRUE,"Warrington";#N/A,#N/A,TRUE,"Widnes"}</definedName>
    <definedName name="estimateb" localSheetId="4" hidden="1">{#N/A,#N/A,TRUE,"Cover";#N/A,#N/A,TRUE,"Conts";#N/A,#N/A,TRUE,"VOS";#N/A,#N/A,TRUE,"Warrington";#N/A,#N/A,TRUE,"Widnes"}</definedName>
    <definedName name="estimateb" localSheetId="1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stimating_Click">#N/A</definedName>
    <definedName name="Estimating_Click_PDBT">#N/A</definedName>
    <definedName name="eXCLUSIONS" localSheetId="5" hidden="1">{#N/A,#N/A,TRUE,"Cover";#N/A,#N/A,TRUE,"Conts";#N/A,#N/A,TRUE,"VOS";#N/A,#N/A,TRUE,"Warrington";#N/A,#N/A,TRUE,"Widnes"}</definedName>
    <definedName name="eXCLUSIONS" localSheetId="3" hidden="1">{#N/A,#N/A,TRUE,"Cover";#N/A,#N/A,TRUE,"Conts";#N/A,#N/A,TRUE,"VOS";#N/A,#N/A,TRUE,"Warrington";#N/A,#N/A,TRUE,"Widnes"}</definedName>
    <definedName name="eXCLUSIONS" localSheetId="4" hidden="1">{#N/A,#N/A,TRUE,"Cover";#N/A,#N/A,TRUE,"Conts";#N/A,#N/A,TRUE,"VOS";#N/A,#N/A,TRUE,"Warrington";#N/A,#N/A,TRUE,"Widnes"}</definedName>
    <definedName name="eXCLUSIONS" localSheetId="1" hidden="1">{#N/A,#N/A,TRUE,"Cover";#N/A,#N/A,TRUE,"Conts";#N/A,#N/A,TRUE,"VOS";#N/A,#N/A,TRUE,"Warrington";#N/A,#N/A,TRUE,"Widnes"}</definedName>
    <definedName name="eXCLUSIONS" hidden="1">{#N/A,#N/A,TRUE,"Cover";#N/A,#N/A,TRUE,"Conts";#N/A,#N/A,TRUE,"VOS";#N/A,#N/A,TRUE,"Warrington";#N/A,#N/A,TRUE,"Widnes"}</definedName>
    <definedName name="_xlnm.Extract" localSheetId="2">#REF!</definedName>
    <definedName name="_xlnm.Extract" localSheetId="5">#REF!</definedName>
    <definedName name="_xlnm.Extract" localSheetId="3">#REF!</definedName>
    <definedName name="_xlnm.Extract" localSheetId="4">#REF!</definedName>
    <definedName name="_xlnm.Extract">#REF!</definedName>
    <definedName name="Extract_MI" localSheetId="2">#REF!</definedName>
    <definedName name="Extract_MI" localSheetId="3">#REF!</definedName>
    <definedName name="Extract_MI" localSheetId="4">#REF!</definedName>
    <definedName name="Extract_MI">#REF!</definedName>
    <definedName name="EXTWORK" localSheetId="2">#REF!</definedName>
    <definedName name="EXTWORK" localSheetId="3">#REF!</definedName>
    <definedName name="EXTWORK" localSheetId="4">#REF!</definedName>
    <definedName name="EXTWORK">#REF!</definedName>
    <definedName name="f" localSheetId="5" hidden="1">{#N/A,#N/A,TRUE,"Cover";#N/A,#N/A,TRUE,"Conts";#N/A,#N/A,TRUE,"VOS";#N/A,#N/A,TRUE,"Warrington";#N/A,#N/A,TRUE,"Widnes"}</definedName>
    <definedName name="f" localSheetId="3" hidden="1">{#N/A,#N/A,TRUE,"Cover";#N/A,#N/A,TRUE,"Conts";#N/A,#N/A,TRUE,"VOS";#N/A,#N/A,TRUE,"Warrington";#N/A,#N/A,TRUE,"Widnes"}</definedName>
    <definedName name="f" localSheetId="4" hidden="1">{#N/A,#N/A,TRUE,"Cover";#N/A,#N/A,TRUE,"Conts";#N/A,#N/A,TRUE,"VOS";#N/A,#N/A,TRUE,"Warrington";#N/A,#N/A,TRUE,"Widnes"}</definedName>
    <definedName name="f" localSheetId="1" hidden="1">{#N/A,#N/A,TRUE,"Cover";#N/A,#N/A,TRUE,"Conts";#N/A,#N/A,TRUE,"VOS";#N/A,#N/A,TRUE,"Warrington";#N/A,#N/A,TRUE,"Widnes"}</definedName>
    <definedName name="f" hidden="1">{#N/A,#N/A,TRUE,"Cover";#N/A,#N/A,TRUE,"Conts";#N/A,#N/A,TRUE,"VOS";#N/A,#N/A,TRUE,"Warrington";#N/A,#N/A,TRUE,"Widnes"}</definedName>
    <definedName name="fdff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d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d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h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ORMULA" localSheetId="2">#REF!</definedName>
    <definedName name="FORMULA" localSheetId="5">#REF!</definedName>
    <definedName name="FORMULA" localSheetId="3">#REF!</definedName>
    <definedName name="FORMULA" localSheetId="4">#REF!</definedName>
    <definedName name="FORMULA">#REF!</definedName>
    <definedName name="fwk" localSheetId="2">#REF!</definedName>
    <definedName name="fwk" localSheetId="3">#REF!</definedName>
    <definedName name="fwk" localSheetId="4">#REF!</definedName>
    <definedName name="fwk">#REF!</definedName>
    <definedName name="gfdgfd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g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hgg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mo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ross_valuation1_RM" localSheetId="2">#REF!</definedName>
    <definedName name="Gross_valuation1_RM" localSheetId="5">#REF!</definedName>
    <definedName name="Gross_valuation1_RM" localSheetId="3">#REF!</definedName>
    <definedName name="Gross_valuation1_RM" localSheetId="4">#REF!</definedName>
    <definedName name="Gross_valuation1_RM">#REF!</definedName>
    <definedName name="HOME0" localSheetId="2">#REF!</definedName>
    <definedName name="HOME0" localSheetId="3">#REF!</definedName>
    <definedName name="HOME0" localSheetId="4">#REF!</definedName>
    <definedName name="HOME0">#REF!</definedName>
    <definedName name="HOME1" localSheetId="2">#REF!</definedName>
    <definedName name="HOME1" localSheetId="3">#REF!</definedName>
    <definedName name="HOME1" localSheetId="4">#REF!</definedName>
    <definedName name="HOME1">#REF!</definedName>
    <definedName name="HTML_CodePage" hidden="1">1252</definedName>
    <definedName name="HTML_Control" localSheetId="5" hidden="1">{"'Appendix 3 Currency'!$A$1:$U$96"}</definedName>
    <definedName name="HTML_Control" localSheetId="3" hidden="1">{"'Appendix 3 Currency'!$A$1:$U$96"}</definedName>
    <definedName name="HTML_Control" localSheetId="4" hidden="1">{"'Appendix 3 Currency'!$A$1:$U$96"}</definedName>
    <definedName name="HTML_Control" localSheetId="1" hidden="1">{"'Appendix 3 Currency'!$A$1:$U$96"}</definedName>
    <definedName name="HTML_Control" hidden="1">{"'Appendix 3 Currency'!$A$1:$U$96"}</definedName>
    <definedName name="HTML_Description" hidden="1">""</definedName>
    <definedName name="HTML_Email" hidden="1">""</definedName>
    <definedName name="HTML_Header" hidden="1">"Appendix 3 Currency"</definedName>
    <definedName name="HTML_LastUpdate" hidden="1">"2/2/99"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"Q:\zteve\html\Files\cashflow.htm"</definedName>
    <definedName name="HTML_Title" hidden="1">"Cash Flow Form"</definedName>
    <definedName name="j" localSheetId="2">#REF!</definedName>
    <definedName name="j" localSheetId="5">#REF!</definedName>
    <definedName name="j" localSheetId="3">#REF!</definedName>
    <definedName name="j" localSheetId="4">#REF!</definedName>
    <definedName name="j">#REF!</definedName>
    <definedName name="jh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leanconc" localSheetId="2">#REF!</definedName>
    <definedName name="leanconc" localSheetId="5">#REF!</definedName>
    <definedName name="leanconc" localSheetId="3">#REF!</definedName>
    <definedName name="leanconc" localSheetId="4">#REF!</definedName>
    <definedName name="leanconc">#REF!</definedName>
    <definedName name="LKL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l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AC" localSheetId="2">#REF!</definedName>
    <definedName name="MAC" localSheetId="5">#REF!</definedName>
    <definedName name="MAC" localSheetId="3">#REF!</definedName>
    <definedName name="MAC" localSheetId="4">#REF!</definedName>
    <definedName name="MAC">#REF!</definedName>
    <definedName name="nnn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PAGETOT" localSheetId="2">#REF!</definedName>
    <definedName name="PAGETOT" localSheetId="5">#REF!</definedName>
    <definedName name="PAGETOT" localSheetId="3">#REF!</definedName>
    <definedName name="PAGETOT" localSheetId="4">#REF!</definedName>
    <definedName name="PAGETOT">#REF!</definedName>
    <definedName name="PO_REF" localSheetId="2">#REF!</definedName>
    <definedName name="PO_REF" localSheetId="3">#REF!</definedName>
    <definedName name="PO_REF" localSheetId="4">#REF!</definedName>
    <definedName name="PO_REF">#REF!</definedName>
    <definedName name="powerfloat" localSheetId="2">#REF!</definedName>
    <definedName name="powerfloat" localSheetId="3">#REF!</definedName>
    <definedName name="powerfloat" localSheetId="4">#REF!</definedName>
    <definedName name="powerfloat">#REF!</definedName>
    <definedName name="PRELIMS" localSheetId="2">#REF!</definedName>
    <definedName name="PRELIMS">#REF!</definedName>
    <definedName name="Previous_Valuation_No" localSheetId="2">#REF!</definedName>
    <definedName name="Previous_Valuation_No">#REF!</definedName>
    <definedName name="_xlnm.Print_Area" localSheetId="2">'BOQ March 2023'!$A$1:$M$56</definedName>
    <definedName name="_xlnm.Print_Area" localSheetId="5">#REF!</definedName>
    <definedName name="_xlnm.Print_Area" localSheetId="6">'CARPARK Detailed calculation'!$A$1:$H$39</definedName>
    <definedName name="_xlnm.Print_Area" localSheetId="3">'CUMULATIVE EPOXY TO BOH ROOMS'!$A$1:$L$322</definedName>
    <definedName name="_xlnm.Print_Area" localSheetId="4">'Cumulative UCRETE Flooring'!$A$1:$AJ$97</definedName>
    <definedName name="_xlnm.Print_Area" localSheetId="1">Summary!$A$1:$E$15</definedName>
    <definedName name="_xlnm.Print_Area" localSheetId="0">TAX_INVOICE!$A$1:$K$64</definedName>
    <definedName name="_xlnm.Print_Area">#REF!</definedName>
    <definedName name="PRINT_AREA_MI" localSheetId="2">#REF!</definedName>
    <definedName name="PRINT_AREA_MI" localSheetId="5">#REF!</definedName>
    <definedName name="PRINT_AREA_MI" localSheetId="3">#REF!</definedName>
    <definedName name="PRINT_AREA_MI" localSheetId="4">#REF!</definedName>
    <definedName name="PRINT_AREA_MI">#REF!</definedName>
    <definedName name="_xlnm.Print_Titles" localSheetId="2">'BOQ March 2023'!$1:$11</definedName>
    <definedName name="_xlnm.Print_Titles" localSheetId="5">#REF!</definedName>
    <definedName name="_xlnm.Print_Titles" localSheetId="3">#REF!</definedName>
    <definedName name="_xlnm.Print_Titles" localSheetId="4">'Cumulative UCRETE Flooring'!$5:$6</definedName>
    <definedName name="_xlnm.Print_Titles" localSheetId="7">Stairs!$A:$B,Stairs!$1:$4</definedName>
    <definedName name="_xlnm.Print_Titles" localSheetId="1">#REF!</definedName>
    <definedName name="_xlnm.Print_Titles">#REF!</definedName>
    <definedName name="profit" localSheetId="2">#REF!</definedName>
    <definedName name="profit" localSheetId="5">#REF!</definedName>
    <definedName name="profit" localSheetId="3">#REF!</definedName>
    <definedName name="profit" localSheetId="4">#REF!</definedName>
    <definedName name="profit">#REF!</definedName>
    <definedName name="rebar" localSheetId="2">#REF!</definedName>
    <definedName name="rebar" localSheetId="4">#REF!</definedName>
    <definedName name="rebar">#REF!</definedName>
    <definedName name="Retention_percent1" localSheetId="2">#REF!</definedName>
    <definedName name="Retention_percent1">#REF!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2000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0</definedName>
    <definedName name="RiskStatFunctionsUpdateFreq">1</definedName>
    <definedName name="RiskTemplateSheetName">"myTemplate"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r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carce" localSheetId="5" hidden="1">{#N/A,#N/A,FALSE,"Summary";#N/A,#N/A,FALSE,"3TJ";#N/A,#N/A,FALSE,"3TN";#N/A,#N/A,FALSE,"3TP";#N/A,#N/A,FALSE,"3SJ";#N/A,#N/A,FALSE,"3CJ";#N/A,#N/A,FALSE,"3CN";#N/A,#N/A,FALSE,"3CP";#N/A,#N/A,FALSE,"3A"}</definedName>
    <definedName name="scarce" localSheetId="3" hidden="1">{#N/A,#N/A,FALSE,"Summary";#N/A,#N/A,FALSE,"3TJ";#N/A,#N/A,FALSE,"3TN";#N/A,#N/A,FALSE,"3TP";#N/A,#N/A,FALSE,"3SJ";#N/A,#N/A,FALSE,"3CJ";#N/A,#N/A,FALSE,"3CN";#N/A,#N/A,FALSE,"3CP";#N/A,#N/A,FALSE,"3A"}</definedName>
    <definedName name="scarce" localSheetId="4" hidden="1">{#N/A,#N/A,FALSE,"Summary";#N/A,#N/A,FALSE,"3TJ";#N/A,#N/A,FALSE,"3TN";#N/A,#N/A,FALSE,"3TP";#N/A,#N/A,FALSE,"3SJ";#N/A,#N/A,FALSE,"3CJ";#N/A,#N/A,FALSE,"3CN";#N/A,#N/A,FALSE,"3CP";#N/A,#N/A,FALSE,"3A"}</definedName>
    <definedName name="scarce" localSheetId="1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d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ervices2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ff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hhh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s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ummary" localSheetId="2">#REF!</definedName>
    <definedName name="summary" localSheetId="5">#REF!</definedName>
    <definedName name="summary" localSheetId="3">#REF!</definedName>
    <definedName name="summary" localSheetId="4">#REF!</definedName>
    <definedName name="summary">#REF!</definedName>
    <definedName name="swvp" localSheetId="2">#REF!</definedName>
    <definedName name="swvp" localSheetId="3">#REF!</definedName>
    <definedName name="swvp" localSheetId="4">#REF!</definedName>
    <definedName name="swvp">#REF!</definedName>
    <definedName name="TABLE1" localSheetId="2">#REF!</definedName>
    <definedName name="TABLE1" localSheetId="3">#REF!</definedName>
    <definedName name="TABLE1" localSheetId="4">#REF!</definedName>
    <definedName name="TABLE1">#REF!</definedName>
    <definedName name="test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ITLE1" localSheetId="2">#REF!</definedName>
    <definedName name="TITLE1" localSheetId="5">#REF!</definedName>
    <definedName name="TITLE1" localSheetId="3">#REF!</definedName>
    <definedName name="TITLE1" localSheetId="4">#REF!</definedName>
    <definedName name="TITLE1">#REF!</definedName>
    <definedName name="TOTAL" localSheetId="2">#REF!</definedName>
    <definedName name="TOTAL" localSheetId="3">#REF!</definedName>
    <definedName name="TOTAL" localSheetId="4">#REF!</definedName>
    <definedName name="TOTAL">#REF!</definedName>
    <definedName name="TotalCost" localSheetId="2">#REF!</definedName>
    <definedName name="TotalCost" localSheetId="3">#REF!</definedName>
    <definedName name="TotalCost" localSheetId="4">#REF!</definedName>
    <definedName name="TotalCost">#REF!</definedName>
    <definedName name="TRADE" localSheetId="2">#REF!</definedName>
    <definedName name="TRADE">#REF!</definedName>
    <definedName name="trimming" localSheetId="2">#REF!</definedName>
    <definedName name="trimming">#REF!</definedName>
    <definedName name="ty" localSheetId="5" hidden="1">{#N/A,#N/A,TRUE,"Cover";#N/A,#N/A,TRUE,"Conts";#N/A,#N/A,TRUE,"VOS";#N/A,#N/A,TRUE,"Warrington";#N/A,#N/A,TRUE,"Widnes"}</definedName>
    <definedName name="ty" localSheetId="3" hidden="1">{#N/A,#N/A,TRUE,"Cover";#N/A,#N/A,TRUE,"Conts";#N/A,#N/A,TRUE,"VOS";#N/A,#N/A,TRUE,"Warrington";#N/A,#N/A,TRUE,"Widnes"}</definedName>
    <definedName name="ty" localSheetId="4" hidden="1">{#N/A,#N/A,TRUE,"Cover";#N/A,#N/A,TRUE,"Conts";#N/A,#N/A,TRUE,"VOS";#N/A,#N/A,TRUE,"Warrington";#N/A,#N/A,TRUE,"Widnes"}</definedName>
    <definedName name="ty" localSheetId="1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uj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v" localSheetId="5" hidden="1">{#N/A,#N/A,TRUE,"Cover";#N/A,#N/A,TRUE,"Conts";#N/A,#N/A,TRUE,"VOS";#N/A,#N/A,TRUE,"Warrington";#N/A,#N/A,TRUE,"Widnes"}</definedName>
    <definedName name="v" localSheetId="3" hidden="1">{#N/A,#N/A,TRUE,"Cover";#N/A,#N/A,TRUE,"Conts";#N/A,#N/A,TRUE,"VOS";#N/A,#N/A,TRUE,"Warrington";#N/A,#N/A,TRUE,"Widnes"}</definedName>
    <definedName name="v" localSheetId="4" hidden="1">{#N/A,#N/A,TRUE,"Cover";#N/A,#N/A,TRUE,"Conts";#N/A,#N/A,TRUE,"VOS";#N/A,#N/A,TRUE,"Warrington";#N/A,#N/A,TRUE,"Widnes"}</definedName>
    <definedName name="v" localSheetId="1" hidden="1">{#N/A,#N/A,TRUE,"Cover";#N/A,#N/A,TRUE,"Conts";#N/A,#N/A,TRUE,"VOS";#N/A,#N/A,TRUE,"Warrington";#N/A,#N/A,TRUE,"Widnes"}</definedName>
    <definedName name="v" hidden="1">{#N/A,#N/A,TRUE,"Cover";#N/A,#N/A,TRUE,"Conts";#N/A,#N/A,TRUE,"VOS";#N/A,#N/A,TRUE,"Warrington";#N/A,#N/A,TRUE,"Widnes"}</definedName>
    <definedName name="Variation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ALL" localSheetId="2">#REF!</definedName>
    <definedName name="WALL" localSheetId="5">#REF!</definedName>
    <definedName name="WALL" localSheetId="3">#REF!</definedName>
    <definedName name="WALL" localSheetId="4">#REF!</definedName>
    <definedName name="WALL">#REF!</definedName>
    <definedName name="weq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all.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lines." localSheetId="5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3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4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1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Barbara._.Modular._.Indirects." localSheetId="5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3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1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CHIEF._.REVIEW." localSheetId="5" hidden="1">{#N/A,#N/A,FALSE,"Q&amp;AE";#N/A,#N/A,FALSE,"Params";#N/A,#N/A,FALSE,"ReconE";#N/A,#N/A,FALSE,"CostCompE";#N/A,#N/A,FALSE,"SummaryE";#N/A,#N/A,FALSE,"Detail";#N/A,#N/A,FALSE,"PayItem"}</definedName>
    <definedName name="wrn.CHIEF._.REVIEW." localSheetId="3" hidden="1">{#N/A,#N/A,FALSE,"Q&amp;AE";#N/A,#N/A,FALSE,"Params";#N/A,#N/A,FALSE,"ReconE";#N/A,#N/A,FALSE,"CostCompE";#N/A,#N/A,FALSE,"SummaryE";#N/A,#N/A,FALSE,"Detail";#N/A,#N/A,FALSE,"PayItem"}</definedName>
    <definedName name="wrn.CHIEF._.REVIEW." localSheetId="4" hidden="1">{#N/A,#N/A,FALSE,"Q&amp;AE";#N/A,#N/A,FALSE,"Params";#N/A,#N/A,FALSE,"ReconE";#N/A,#N/A,FALSE,"CostCompE";#N/A,#N/A,FALSE,"SummaryE";#N/A,#N/A,FALSE,"Detail";#N/A,#N/A,FALSE,"PayItem"}</definedName>
    <definedName name="wrn.CHIEF._.REVIEW." localSheetId="1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5" hidden="1">{"DBANK",#N/A,FALSE,"PriceE";"CKTS",#N/A,FALSE,"PriceE"}</definedName>
    <definedName name="wrn.CIRCUITS." localSheetId="3" hidden="1">{"DBANK",#N/A,FALSE,"PriceE";"CKTS",#N/A,FALSE,"PriceE"}</definedName>
    <definedName name="wrn.CIRCUITS." localSheetId="4" hidden="1">{"DBANK",#N/A,FALSE,"PriceE";"CKTS",#N/A,FALSE,"PriceE"}</definedName>
    <definedName name="wrn.CIRCUITS." localSheetId="1" hidden="1">{"DBANK",#N/A,FALSE,"PriceE";"CKTS",#N/A,FALSE,"PriceE"}</definedName>
    <definedName name="wrn.CIRCUITS." hidden="1">{"DBANK",#N/A,FALSE,"PriceE";"CKTS",#N/A,FALSE,"PriceE"}</definedName>
    <definedName name="wrn.COST_SHEETS." localSheetId="5" hidden="1">{#N/A,#N/A,FALSE,"WBS 1.06";#N/A,#N/A,FALSE,"WBS 1.14";#N/A,#N/A,FALSE,"WBS 1.17";#N/A,#N/A,FALSE,"WBS 1.18"}</definedName>
    <definedName name="wrn.COST_SHEETS." localSheetId="3" hidden="1">{#N/A,#N/A,FALSE,"WBS 1.06";#N/A,#N/A,FALSE,"WBS 1.14";#N/A,#N/A,FALSE,"WBS 1.17";#N/A,#N/A,FALSE,"WBS 1.18"}</definedName>
    <definedName name="wrn.COST_SHEETS." localSheetId="4" hidden="1">{#N/A,#N/A,FALSE,"WBS 1.06";#N/A,#N/A,FALSE,"WBS 1.14";#N/A,#N/A,FALSE,"WBS 1.17";#N/A,#N/A,FALSE,"WBS 1.18"}</definedName>
    <definedName name="wrn.COST_SHEETS." localSheetId="1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FINAL._.ESTIMATE." localSheetId="5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3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1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uel._.oil._.option." localSheetId="5" hidden="1">{"FUEL OIL",#N/A,FALSE,"Option"}</definedName>
    <definedName name="wrn.Fuel._.oil._.option." localSheetId="3" hidden="1">{"FUEL OIL",#N/A,FALSE,"Option"}</definedName>
    <definedName name="wrn.Fuel._.oil._.option." localSheetId="4" hidden="1">{"FUEL OIL",#N/A,FALSE,"Option"}</definedName>
    <definedName name="wrn.Fuel._.oil._.option." localSheetId="1" hidden="1">{"FUEL OIL",#N/A,FALSE,"Option"}</definedName>
    <definedName name="wrn.Fuel._.oil._.option." hidden="1">{"FUEL OIL",#N/A,FALSE,"Option"}</definedName>
    <definedName name="wrn.PrintallD.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Redundant._.Equipment._.Option." localSheetId="5" hidden="1">{"pumps",#N/A,FALSE,"Option"}</definedName>
    <definedName name="wrn.Redundant._.Equipment._.Option." localSheetId="3" hidden="1">{"pumps",#N/A,FALSE,"Option"}</definedName>
    <definedName name="wrn.Redundant._.Equipment._.Option." localSheetId="4" hidden="1">{"pumps",#N/A,FALSE,"Option"}</definedName>
    <definedName name="wrn.Redundant._.Equipment._.Option." localSheetId="1" hidden="1">{"pumps",#N/A,FALSE,"Option"}</definedName>
    <definedName name="wrn.Redundant._.Equipment._.Option." hidden="1">{"pumps",#N/A,FALSE,"Option"}</definedName>
    <definedName name="wrn.Residential." localSheetId="5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3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4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1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STG._.BLDG._.ENCLOSURE." localSheetId="5" hidden="1">{"turbine",#N/A,FALSE,"Option"}</definedName>
    <definedName name="wrn.STG._.BLDG._.ENCLOSURE." localSheetId="3" hidden="1">{"turbine",#N/A,FALSE,"Option"}</definedName>
    <definedName name="wrn.STG._.BLDG._.ENCLOSURE." localSheetId="4" hidden="1">{"turbine",#N/A,FALSE,"Option"}</definedName>
    <definedName name="wrn.STG._.BLDG._.ENCLOSURE." localSheetId="1" hidden="1">{"turbine",#N/A,FALSE,"Option"}</definedName>
    <definedName name="wrn.STG._.BLDG._.ENCLOSURE." hidden="1">{"turbine",#N/A,FALSE,"Option"}</definedName>
    <definedName name="wrn.struckgi." localSheetId="5" hidden="1">{#N/A,#N/A,TRUE,"arnitower";#N/A,#N/A,TRUE,"arnigarage "}</definedName>
    <definedName name="wrn.struckgi." localSheetId="3" hidden="1">{#N/A,#N/A,TRUE,"arnitower";#N/A,#N/A,TRUE,"arnigarage "}</definedName>
    <definedName name="wrn.struckgi." localSheetId="4" hidden="1">{#N/A,#N/A,TRUE,"arnitower";#N/A,#N/A,TRUE,"arnigarage "}</definedName>
    <definedName name="wrn.struckgi." localSheetId="1" hidden="1">{#N/A,#N/A,TRUE,"arnitower";#N/A,#N/A,TRUE,"arnigarage "}</definedName>
    <definedName name="wrn.struckgi." hidden="1">{#N/A,#N/A,TRUE,"arnitower";#N/A,#N/A,TRUE,"arnigarage "}</definedName>
    <definedName name="wrn.Warrington._.Widnes._.QS._.Costs." localSheetId="5" hidden="1">{#N/A,#N/A,TRUE,"Cover";#N/A,#N/A,TRUE,"Conts";#N/A,#N/A,TRUE,"VOS";#N/A,#N/A,TRUE,"Warrington";#N/A,#N/A,TRUE,"Widnes"}</definedName>
    <definedName name="wrn.Warrington._.Widnes._.QS._.Costs." localSheetId="3" hidden="1">{#N/A,#N/A,TRUE,"Cover";#N/A,#N/A,TRUE,"Conts";#N/A,#N/A,TRUE,"VOS";#N/A,#N/A,TRUE,"Warrington";#N/A,#N/A,TRUE,"Widnes"}</definedName>
    <definedName name="wrn.Warrington._.Widnes._.QS._.Costs." localSheetId="4" hidden="1">{#N/A,#N/A,TRUE,"Cover";#N/A,#N/A,TRUE,"Conts";#N/A,#N/A,TRUE,"VOS";#N/A,#N/A,TRUE,"Warrington";#N/A,#N/A,TRUE,"Widnes"}</definedName>
    <definedName name="wrn.Warrington._.Widnes._.QS._.Costs." localSheetId="1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5" hidden="1">{"WESTINGHOUSE",#N/A,FALSE,"Option"}</definedName>
    <definedName name="wrn.WHOUSE._.CT." localSheetId="3" hidden="1">{"WESTINGHOUSE",#N/A,FALSE,"Option"}</definedName>
    <definedName name="wrn.WHOUSE._.CT." localSheetId="4" hidden="1">{"WESTINGHOUSE",#N/A,FALSE,"Option"}</definedName>
    <definedName name="wrn.WHOUSE._.CT." localSheetId="1" hidden="1">{"WESTINGHOUSE",#N/A,FALSE,"Option"}</definedName>
    <definedName name="wrn.WHOUSE._.CT." hidden="1">{"WESTINGHOUSE",#N/A,FALSE,"Option"}</definedName>
    <definedName name="X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se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空調労務割掛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2" l="1"/>
  <c r="D12" i="12"/>
  <c r="E12" i="12"/>
  <c r="D10" i="12"/>
  <c r="E10" i="12"/>
  <c r="C10" i="12"/>
  <c r="K122" i="2" l="1"/>
  <c r="C3" i="12"/>
  <c r="F56" i="2"/>
  <c r="D9" i="12"/>
  <c r="E9" i="12"/>
  <c r="C9" i="12"/>
  <c r="D8" i="12"/>
  <c r="E8" i="12"/>
  <c r="C8" i="12"/>
  <c r="D3" i="12"/>
  <c r="E3" i="12"/>
  <c r="D2" i="12"/>
  <c r="E2" i="12"/>
  <c r="C2" i="12"/>
  <c r="D4" i="12"/>
  <c r="E4" i="12"/>
  <c r="C4" i="12"/>
  <c r="I114" i="2"/>
  <c r="I116" i="2"/>
  <c r="H116" i="2" s="1"/>
  <c r="K116" i="2"/>
  <c r="F116" i="2"/>
  <c r="H108" i="2"/>
  <c r="H106" i="2"/>
  <c r="H102" i="2"/>
  <c r="H93" i="2"/>
  <c r="I91" i="2"/>
  <c r="H87" i="2"/>
  <c r="I84" i="2"/>
  <c r="H84" i="2"/>
  <c r="AH99" i="9"/>
  <c r="AG99" i="9"/>
  <c r="AH98" i="9"/>
  <c r="AG98" i="9"/>
  <c r="H70" i="2"/>
  <c r="I70" i="2"/>
  <c r="H64" i="2"/>
  <c r="I64" i="2" s="1"/>
  <c r="H60" i="2"/>
  <c r="L322" i="11"/>
  <c r="K322" i="11"/>
  <c r="L321" i="11"/>
  <c r="K321" i="11"/>
  <c r="N245" i="11"/>
  <c r="M245" i="11"/>
  <c r="M233" i="11"/>
  <c r="N233" i="11"/>
  <c r="L16" i="11"/>
  <c r="H10" i="8"/>
  <c r="AH81" i="9"/>
  <c r="AG81" i="9"/>
  <c r="AH78" i="9"/>
  <c r="AG78" i="9"/>
  <c r="AH76" i="9"/>
  <c r="AG76" i="9"/>
  <c r="AH73" i="9"/>
  <c r="AG73" i="9"/>
  <c r="AH38" i="9"/>
  <c r="AG38" i="9"/>
  <c r="AH28" i="9"/>
  <c r="AG28" i="9"/>
  <c r="L283" i="11"/>
  <c r="K283" i="11"/>
  <c r="L306" i="11"/>
  <c r="K306" i="11"/>
  <c r="C5" i="12" l="1"/>
  <c r="E5" i="12"/>
  <c r="D5" i="12"/>
  <c r="L116" i="2"/>
  <c r="M116" i="2" s="1"/>
  <c r="J116" i="2"/>
  <c r="M271" i="11" l="1"/>
  <c r="N271" i="11"/>
  <c r="N318" i="11" s="1"/>
  <c r="M272" i="11"/>
  <c r="N272" i="11"/>
  <c r="M273" i="11"/>
  <c r="N273" i="11"/>
  <c r="M274" i="11"/>
  <c r="N274" i="11"/>
  <c r="M275" i="11"/>
  <c r="N275" i="11"/>
  <c r="M276" i="11"/>
  <c r="N276" i="11"/>
  <c r="M277" i="11"/>
  <c r="N277" i="11"/>
  <c r="M278" i="11"/>
  <c r="N278" i="11"/>
  <c r="L273" i="11"/>
  <c r="K273" i="11"/>
  <c r="L188" i="11"/>
  <c r="K188" i="11"/>
  <c r="L184" i="11"/>
  <c r="K184" i="11"/>
  <c r="L180" i="11"/>
  <c r="K180" i="11"/>
  <c r="L176" i="11"/>
  <c r="K176" i="11"/>
  <c r="L171" i="11"/>
  <c r="K171" i="11"/>
  <c r="L163" i="11"/>
  <c r="K163" i="11"/>
  <c r="L157" i="11"/>
  <c r="K157" i="11"/>
  <c r="L48" i="11"/>
  <c r="K48" i="11"/>
  <c r="L46" i="11"/>
  <c r="K46" i="11"/>
  <c r="L45" i="11"/>
  <c r="K45" i="11"/>
  <c r="K16" i="11"/>
  <c r="G47" i="10"/>
  <c r="G39" i="7"/>
  <c r="I69" i="2" l="1"/>
  <c r="L8" i="7" l="1"/>
  <c r="L7" i="7"/>
  <c r="I16" i="8"/>
  <c r="H109" i="11"/>
  <c r="L109" i="11" s="1"/>
  <c r="N109" i="11" s="1"/>
  <c r="G109" i="11"/>
  <c r="K109" i="11" s="1"/>
  <c r="M109" i="11" s="1"/>
  <c r="H16" i="11"/>
  <c r="N16" i="11" s="1"/>
  <c r="G16" i="11"/>
  <c r="M16" i="11" s="1"/>
  <c r="H15" i="11"/>
  <c r="L15" i="11" s="1"/>
  <c r="N15" i="11" s="1"/>
  <c r="G15" i="11"/>
  <c r="K15" i="11" s="1"/>
  <c r="M15" i="11" s="1"/>
  <c r="N14" i="11"/>
  <c r="M14" i="11"/>
  <c r="M7" i="11"/>
  <c r="AG97" i="9"/>
  <c r="AI97" i="9" s="1"/>
  <c r="AH97" i="9"/>
  <c r="AJ97" i="9" s="1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J86" i="9"/>
  <c r="AJ87" i="9"/>
  <c r="AJ88" i="9"/>
  <c r="AJ89" i="9"/>
  <c r="AJ90" i="9"/>
  <c r="AJ91" i="9"/>
  <c r="AJ92" i="9"/>
  <c r="AJ93" i="9"/>
  <c r="AJ94" i="9"/>
  <c r="AJ95" i="9"/>
  <c r="AJ96" i="9"/>
  <c r="AJ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8" i="9"/>
  <c r="C18" i="12" l="1"/>
  <c r="O229" i="11" l="1"/>
  <c r="P229" i="11"/>
  <c r="O230" i="11"/>
  <c r="P230" i="11"/>
  <c r="O231" i="11"/>
  <c r="P231" i="11"/>
  <c r="N317" i="11" l="1"/>
  <c r="P317" i="11" s="1"/>
  <c r="G317" i="11"/>
  <c r="N316" i="11"/>
  <c r="P316" i="11" s="1"/>
  <c r="G316" i="11"/>
  <c r="N315" i="11"/>
  <c r="P315" i="11" s="1"/>
  <c r="G315" i="11"/>
  <c r="N314" i="11"/>
  <c r="P314" i="11" s="1"/>
  <c r="M314" i="11"/>
  <c r="H313" i="11"/>
  <c r="G313" i="11"/>
  <c r="N312" i="11"/>
  <c r="M312" i="11"/>
  <c r="H312" i="11"/>
  <c r="G312" i="11"/>
  <c r="N311" i="11"/>
  <c r="M311" i="11"/>
  <c r="H311" i="11"/>
  <c r="G311" i="11"/>
  <c r="N310" i="11"/>
  <c r="M310" i="11"/>
  <c r="H310" i="11"/>
  <c r="G310" i="11"/>
  <c r="N309" i="11"/>
  <c r="P309" i="11" s="1"/>
  <c r="M309" i="11"/>
  <c r="N308" i="11"/>
  <c r="P308" i="11" s="1"/>
  <c r="M308" i="11"/>
  <c r="N307" i="11"/>
  <c r="M307" i="11"/>
  <c r="H307" i="11"/>
  <c r="G307" i="11"/>
  <c r="N305" i="11"/>
  <c r="M305" i="11"/>
  <c r="H305" i="11"/>
  <c r="G305" i="11"/>
  <c r="N304" i="11"/>
  <c r="P304" i="11" s="1"/>
  <c r="M304" i="11"/>
  <c r="M303" i="11"/>
  <c r="H303" i="11"/>
  <c r="P303" i="11" s="1"/>
  <c r="G303" i="11"/>
  <c r="N302" i="11"/>
  <c r="P302" i="11" s="1"/>
  <c r="M302" i="11"/>
  <c r="N301" i="11"/>
  <c r="P301" i="11" s="1"/>
  <c r="M301" i="11"/>
  <c r="N300" i="11"/>
  <c r="P300" i="11" s="1"/>
  <c r="M300" i="11"/>
  <c r="N299" i="11"/>
  <c r="P299" i="11" s="1"/>
  <c r="M299" i="11"/>
  <c r="N298" i="11"/>
  <c r="M298" i="11"/>
  <c r="H298" i="11"/>
  <c r="G298" i="11"/>
  <c r="N297" i="11"/>
  <c r="P297" i="11" s="1"/>
  <c r="M297" i="11"/>
  <c r="N296" i="11"/>
  <c r="P296" i="11" s="1"/>
  <c r="M296" i="11"/>
  <c r="N295" i="11"/>
  <c r="P295" i="11" s="1"/>
  <c r="M295" i="11"/>
  <c r="N294" i="11"/>
  <c r="P294" i="11" s="1"/>
  <c r="M294" i="11"/>
  <c r="N293" i="11"/>
  <c r="M293" i="11"/>
  <c r="H293" i="11"/>
  <c r="G293" i="11"/>
  <c r="N292" i="11"/>
  <c r="P292" i="11" s="1"/>
  <c r="M292" i="11"/>
  <c r="N291" i="11"/>
  <c r="P291" i="11" s="1"/>
  <c r="M291" i="11"/>
  <c r="N290" i="11"/>
  <c r="P290" i="11" s="1"/>
  <c r="M290" i="11"/>
  <c r="N289" i="11"/>
  <c r="M289" i="11"/>
  <c r="H289" i="11"/>
  <c r="G289" i="11"/>
  <c r="N288" i="11"/>
  <c r="P288" i="11" s="1"/>
  <c r="M288" i="11"/>
  <c r="N287" i="11"/>
  <c r="P287" i="11" s="1"/>
  <c r="M287" i="11"/>
  <c r="N286" i="11"/>
  <c r="P286" i="11" s="1"/>
  <c r="M286" i="11"/>
  <c r="H285" i="11"/>
  <c r="P285" i="11" s="1"/>
  <c r="G285" i="11"/>
  <c r="N284" i="11"/>
  <c r="P284" i="11" s="1"/>
  <c r="M284" i="11"/>
  <c r="H283" i="11"/>
  <c r="G283" i="11"/>
  <c r="N282" i="11"/>
  <c r="P282" i="11" s="1"/>
  <c r="M282" i="11"/>
  <c r="H281" i="11"/>
  <c r="P281" i="11" s="1"/>
  <c r="G281" i="11"/>
  <c r="N280" i="11"/>
  <c r="P280" i="11" s="1"/>
  <c r="M280" i="11"/>
  <c r="N279" i="11"/>
  <c r="P279" i="11" s="1"/>
  <c r="M279" i="11"/>
  <c r="H278" i="11"/>
  <c r="G278" i="11"/>
  <c r="H277" i="11"/>
  <c r="P277" i="11" s="1"/>
  <c r="G277" i="11"/>
  <c r="H276" i="11"/>
  <c r="G276" i="11"/>
  <c r="H275" i="11"/>
  <c r="P275" i="11" s="1"/>
  <c r="G275" i="11"/>
  <c r="H274" i="11"/>
  <c r="P274" i="11" s="1"/>
  <c r="G274" i="11"/>
  <c r="H273" i="11"/>
  <c r="P273" i="11" s="1"/>
  <c r="G273" i="11"/>
  <c r="P272" i="11"/>
  <c r="H271" i="11"/>
  <c r="P271" i="11" s="1"/>
  <c r="G271" i="11"/>
  <c r="N270" i="11"/>
  <c r="P270" i="11" s="1"/>
  <c r="G270" i="11"/>
  <c r="H269" i="11"/>
  <c r="P269" i="11" s="1"/>
  <c r="G269" i="11"/>
  <c r="H268" i="11"/>
  <c r="P268" i="11" s="1"/>
  <c r="G268" i="11"/>
  <c r="H267" i="11"/>
  <c r="P267" i="11" s="1"/>
  <c r="G267" i="11"/>
  <c r="H266" i="11"/>
  <c r="P266" i="11" s="1"/>
  <c r="G266" i="11"/>
  <c r="H265" i="11"/>
  <c r="P265" i="11" s="1"/>
  <c r="G265" i="11"/>
  <c r="H264" i="11"/>
  <c r="P264" i="11" s="1"/>
  <c r="G264" i="11"/>
  <c r="H263" i="11"/>
  <c r="P263" i="11" s="1"/>
  <c r="G263" i="11"/>
  <c r="H262" i="11"/>
  <c r="P262" i="11" s="1"/>
  <c r="G262" i="11"/>
  <c r="H261" i="11"/>
  <c r="P261" i="11" s="1"/>
  <c r="G261" i="11"/>
  <c r="H260" i="11"/>
  <c r="P260" i="11" s="1"/>
  <c r="G260" i="11"/>
  <c r="H259" i="11"/>
  <c r="P259" i="11" s="1"/>
  <c r="G259" i="11"/>
  <c r="H258" i="11"/>
  <c r="P258" i="11" s="1"/>
  <c r="G258" i="11"/>
  <c r="H257" i="11"/>
  <c r="P257" i="11" s="1"/>
  <c r="G257" i="11"/>
  <c r="H256" i="11"/>
  <c r="P256" i="11" s="1"/>
  <c r="G256" i="11"/>
  <c r="H255" i="11"/>
  <c r="P255" i="11" s="1"/>
  <c r="G255" i="11"/>
  <c r="H254" i="11"/>
  <c r="P254" i="11" s="1"/>
  <c r="G254" i="11"/>
  <c r="H253" i="11"/>
  <c r="P253" i="11" s="1"/>
  <c r="G253" i="11"/>
  <c r="H252" i="11"/>
  <c r="P252" i="11" s="1"/>
  <c r="G252" i="11"/>
  <c r="H251" i="11"/>
  <c r="P251" i="11" s="1"/>
  <c r="G251" i="11"/>
  <c r="H250" i="11"/>
  <c r="P250" i="11" s="1"/>
  <c r="G250" i="11"/>
  <c r="H249" i="11"/>
  <c r="P249" i="11" s="1"/>
  <c r="G249" i="11"/>
  <c r="H248" i="11"/>
  <c r="P248" i="11" s="1"/>
  <c r="G248" i="11"/>
  <c r="H247" i="11"/>
  <c r="P247" i="11" s="1"/>
  <c r="G247" i="11"/>
  <c r="H246" i="11"/>
  <c r="P246" i="11" s="1"/>
  <c r="G246" i="11"/>
  <c r="H245" i="11"/>
  <c r="P245" i="11" s="1"/>
  <c r="G245" i="11"/>
  <c r="H244" i="11"/>
  <c r="P244" i="11" s="1"/>
  <c r="G244" i="11"/>
  <c r="H243" i="11"/>
  <c r="P243" i="11" s="1"/>
  <c r="G243" i="11"/>
  <c r="H242" i="11"/>
  <c r="P242" i="11" s="1"/>
  <c r="G242" i="11"/>
  <c r="H241" i="11"/>
  <c r="P241" i="11" s="1"/>
  <c r="G241" i="11"/>
  <c r="H240" i="11"/>
  <c r="P240" i="11" s="1"/>
  <c r="G240" i="11"/>
  <c r="H239" i="11"/>
  <c r="P239" i="11" s="1"/>
  <c r="G239" i="11"/>
  <c r="M238" i="11"/>
  <c r="H238" i="11"/>
  <c r="P238" i="11" s="1"/>
  <c r="G238" i="11"/>
  <c r="H237" i="11"/>
  <c r="P237" i="11" s="1"/>
  <c r="G237" i="11"/>
  <c r="N236" i="11"/>
  <c r="M236" i="11"/>
  <c r="H236" i="11"/>
  <c r="G236" i="11"/>
  <c r="M235" i="11"/>
  <c r="H234" i="11"/>
  <c r="G234" i="11"/>
  <c r="H232" i="11"/>
  <c r="P232" i="11" s="1"/>
  <c r="G232" i="11"/>
  <c r="N227" i="11"/>
  <c r="M227" i="11"/>
  <c r="H227" i="11"/>
  <c r="G227" i="11"/>
  <c r="N226" i="11"/>
  <c r="M226" i="11"/>
  <c r="H226" i="11"/>
  <c r="G226" i="11"/>
  <c r="N225" i="11"/>
  <c r="M225" i="11"/>
  <c r="H225" i="11"/>
  <c r="G225" i="11"/>
  <c r="N224" i="11"/>
  <c r="M224" i="11"/>
  <c r="H224" i="11"/>
  <c r="G224" i="11"/>
  <c r="N223" i="11"/>
  <c r="M223" i="11"/>
  <c r="H223" i="11"/>
  <c r="G223" i="11"/>
  <c r="N222" i="11"/>
  <c r="M222" i="11"/>
  <c r="H222" i="11"/>
  <c r="G222" i="11"/>
  <c r="H221" i="11"/>
  <c r="P221" i="11" s="1"/>
  <c r="G221" i="11"/>
  <c r="N220" i="11"/>
  <c r="M220" i="11"/>
  <c r="H220" i="11"/>
  <c r="G220" i="11"/>
  <c r="N219" i="11"/>
  <c r="M219" i="11"/>
  <c r="H219" i="11"/>
  <c r="G219" i="11"/>
  <c r="N218" i="11"/>
  <c r="M218" i="11"/>
  <c r="H218" i="11"/>
  <c r="G218" i="11"/>
  <c r="N217" i="11"/>
  <c r="M217" i="11"/>
  <c r="H217" i="11"/>
  <c r="G217" i="11"/>
  <c r="N216" i="11"/>
  <c r="M216" i="11"/>
  <c r="H216" i="11"/>
  <c r="G216" i="11"/>
  <c r="N215" i="11"/>
  <c r="M215" i="11"/>
  <c r="H215" i="11"/>
  <c r="G215" i="11"/>
  <c r="N214" i="11"/>
  <c r="M214" i="11"/>
  <c r="H214" i="11"/>
  <c r="G214" i="11"/>
  <c r="N213" i="11"/>
  <c r="M213" i="11"/>
  <c r="H213" i="11"/>
  <c r="G213" i="11"/>
  <c r="N212" i="11"/>
  <c r="M212" i="11"/>
  <c r="H212" i="11"/>
  <c r="G212" i="11"/>
  <c r="N211" i="11"/>
  <c r="M211" i="11"/>
  <c r="H211" i="11"/>
  <c r="G211" i="11"/>
  <c r="N210" i="11"/>
  <c r="M210" i="11"/>
  <c r="H210" i="11"/>
  <c r="G210" i="11"/>
  <c r="N209" i="11"/>
  <c r="M209" i="11"/>
  <c r="H209" i="11"/>
  <c r="G209" i="11"/>
  <c r="N208" i="11"/>
  <c r="M208" i="11"/>
  <c r="H208" i="11"/>
  <c r="G208" i="11"/>
  <c r="N207" i="11"/>
  <c r="M207" i="11"/>
  <c r="H207" i="11"/>
  <c r="G207" i="11"/>
  <c r="N206" i="11"/>
  <c r="M206" i="11"/>
  <c r="H206" i="11"/>
  <c r="G206" i="11"/>
  <c r="N205" i="11"/>
  <c r="M205" i="11"/>
  <c r="H205" i="11"/>
  <c r="G205" i="11"/>
  <c r="N204" i="11"/>
  <c r="M204" i="11"/>
  <c r="H204" i="11"/>
  <c r="G204" i="11"/>
  <c r="N203" i="11"/>
  <c r="M203" i="11"/>
  <c r="H203" i="11"/>
  <c r="G203" i="11"/>
  <c r="N202" i="11"/>
  <c r="M202" i="11"/>
  <c r="H202" i="11"/>
  <c r="G202" i="11"/>
  <c r="N201" i="11"/>
  <c r="M201" i="11"/>
  <c r="H201" i="11"/>
  <c r="G201" i="11"/>
  <c r="N200" i="11"/>
  <c r="M200" i="11"/>
  <c r="H200" i="11"/>
  <c r="G200" i="11"/>
  <c r="N199" i="11"/>
  <c r="M199" i="11"/>
  <c r="H199" i="11"/>
  <c r="G199" i="11"/>
  <c r="N198" i="11"/>
  <c r="M198" i="11"/>
  <c r="H198" i="11"/>
  <c r="G198" i="11"/>
  <c r="N197" i="11"/>
  <c r="M197" i="11"/>
  <c r="H197" i="11"/>
  <c r="G197" i="11"/>
  <c r="N196" i="11"/>
  <c r="M196" i="11"/>
  <c r="H196" i="11"/>
  <c r="G196" i="11"/>
  <c r="N195" i="11"/>
  <c r="M195" i="11"/>
  <c r="H195" i="11"/>
  <c r="G195" i="11"/>
  <c r="N194" i="11"/>
  <c r="M194" i="11"/>
  <c r="H194" i="11"/>
  <c r="G194" i="11"/>
  <c r="N193" i="11"/>
  <c r="M193" i="11"/>
  <c r="H193" i="11"/>
  <c r="G193" i="11"/>
  <c r="N192" i="11"/>
  <c r="M192" i="11"/>
  <c r="H192" i="11"/>
  <c r="G192" i="11"/>
  <c r="N191" i="11"/>
  <c r="M191" i="11"/>
  <c r="H191" i="11"/>
  <c r="G191" i="11"/>
  <c r="N190" i="11"/>
  <c r="M190" i="11"/>
  <c r="H190" i="11"/>
  <c r="G190" i="11"/>
  <c r="N189" i="11"/>
  <c r="M189" i="11"/>
  <c r="H189" i="11"/>
  <c r="G189" i="11"/>
  <c r="N188" i="11"/>
  <c r="M188" i="11"/>
  <c r="H188" i="11"/>
  <c r="G188" i="11"/>
  <c r="N187" i="11"/>
  <c r="M187" i="11"/>
  <c r="H187" i="11"/>
  <c r="G187" i="11"/>
  <c r="N186" i="11"/>
  <c r="M186" i="11"/>
  <c r="H186" i="11"/>
  <c r="G186" i="11"/>
  <c r="N185" i="11"/>
  <c r="M185" i="11"/>
  <c r="H185" i="11"/>
  <c r="G185" i="11"/>
  <c r="N184" i="11"/>
  <c r="M184" i="11"/>
  <c r="H184" i="11"/>
  <c r="G184" i="11"/>
  <c r="N183" i="11"/>
  <c r="M183" i="11"/>
  <c r="H183" i="11"/>
  <c r="G183" i="11"/>
  <c r="N182" i="11"/>
  <c r="M182" i="11"/>
  <c r="H182" i="11"/>
  <c r="G182" i="11"/>
  <c r="N181" i="11"/>
  <c r="M181" i="11"/>
  <c r="H181" i="11"/>
  <c r="G181" i="11"/>
  <c r="N180" i="11"/>
  <c r="M180" i="11"/>
  <c r="H180" i="11"/>
  <c r="G180" i="11"/>
  <c r="N179" i="11"/>
  <c r="M179" i="11"/>
  <c r="H179" i="11"/>
  <c r="G179" i="11"/>
  <c r="N178" i="11"/>
  <c r="M178" i="11"/>
  <c r="H178" i="11"/>
  <c r="G178" i="11"/>
  <c r="N177" i="11"/>
  <c r="M177" i="11"/>
  <c r="H177" i="11"/>
  <c r="G177" i="11"/>
  <c r="N176" i="11"/>
  <c r="M176" i="11"/>
  <c r="H176" i="11"/>
  <c r="G176" i="11"/>
  <c r="N175" i="11"/>
  <c r="M175" i="11"/>
  <c r="H175" i="11"/>
  <c r="G175" i="11"/>
  <c r="N174" i="11"/>
  <c r="M174" i="11"/>
  <c r="H174" i="11"/>
  <c r="G174" i="11"/>
  <c r="N173" i="11"/>
  <c r="M173" i="11"/>
  <c r="H173" i="11"/>
  <c r="G173" i="11"/>
  <c r="H172" i="11"/>
  <c r="G172" i="11"/>
  <c r="M172" i="11" s="1"/>
  <c r="N171" i="11"/>
  <c r="M171" i="11"/>
  <c r="H171" i="11"/>
  <c r="G171" i="11"/>
  <c r="M170" i="11"/>
  <c r="H170" i="11"/>
  <c r="M169" i="11"/>
  <c r="H169" i="11"/>
  <c r="H168" i="11"/>
  <c r="G168" i="11"/>
  <c r="M168" i="11" s="1"/>
  <c r="H167" i="11"/>
  <c r="P167" i="11" s="1"/>
  <c r="G167" i="11"/>
  <c r="N166" i="11"/>
  <c r="M166" i="11"/>
  <c r="H166" i="11"/>
  <c r="G166" i="11"/>
  <c r="N165" i="11"/>
  <c r="M165" i="11"/>
  <c r="H165" i="11"/>
  <c r="G165" i="11"/>
  <c r="H164" i="11"/>
  <c r="P164" i="11" s="1"/>
  <c r="G164" i="11"/>
  <c r="N163" i="11"/>
  <c r="M163" i="11"/>
  <c r="H163" i="11"/>
  <c r="G163" i="11"/>
  <c r="N162" i="11"/>
  <c r="M162" i="11"/>
  <c r="H162" i="11"/>
  <c r="G162" i="11"/>
  <c r="N161" i="11"/>
  <c r="M161" i="11"/>
  <c r="H161" i="11"/>
  <c r="G161" i="11"/>
  <c r="N160" i="11"/>
  <c r="M160" i="11"/>
  <c r="H160" i="11"/>
  <c r="G160" i="11"/>
  <c r="N159" i="11"/>
  <c r="M159" i="11"/>
  <c r="H159" i="11"/>
  <c r="G159" i="11"/>
  <c r="N158" i="11"/>
  <c r="M158" i="11"/>
  <c r="H158" i="11"/>
  <c r="G158" i="11"/>
  <c r="N157" i="11"/>
  <c r="M157" i="11"/>
  <c r="H157" i="11"/>
  <c r="G157" i="11"/>
  <c r="N156" i="11"/>
  <c r="M156" i="11"/>
  <c r="H156" i="11"/>
  <c r="G156" i="11"/>
  <c r="H155" i="11"/>
  <c r="G155" i="11"/>
  <c r="H154" i="11"/>
  <c r="G154" i="11"/>
  <c r="H153" i="11"/>
  <c r="G153" i="11"/>
  <c r="H152" i="11"/>
  <c r="G152" i="11"/>
  <c r="H151" i="11"/>
  <c r="G151" i="11"/>
  <c r="H150" i="11"/>
  <c r="G150" i="11"/>
  <c r="M150" i="11" s="1"/>
  <c r="H149" i="11"/>
  <c r="G149" i="11"/>
  <c r="H148" i="11"/>
  <c r="G148" i="11"/>
  <c r="H147" i="11"/>
  <c r="G147" i="11"/>
  <c r="H146" i="11"/>
  <c r="G146" i="11"/>
  <c r="H145" i="11"/>
  <c r="G145" i="11"/>
  <c r="H144" i="11"/>
  <c r="G144" i="11"/>
  <c r="H143" i="11"/>
  <c r="G143" i="11"/>
  <c r="H142" i="11"/>
  <c r="G142" i="11"/>
  <c r="H141" i="11"/>
  <c r="G141" i="11"/>
  <c r="H140" i="11"/>
  <c r="N140" i="11" s="1"/>
  <c r="G140" i="11"/>
  <c r="M140" i="11" s="1"/>
  <c r="H139" i="11"/>
  <c r="G139" i="11"/>
  <c r="H138" i="11"/>
  <c r="N138" i="11" s="1"/>
  <c r="G138" i="11"/>
  <c r="M138" i="11" s="1"/>
  <c r="H137" i="11"/>
  <c r="G137" i="11"/>
  <c r="H136" i="11"/>
  <c r="G136" i="11"/>
  <c r="H135" i="11"/>
  <c r="G135" i="11"/>
  <c r="H134" i="11"/>
  <c r="G134" i="11"/>
  <c r="H133" i="11"/>
  <c r="G133" i="11"/>
  <c r="H132" i="11"/>
  <c r="G132" i="11"/>
  <c r="H131" i="11"/>
  <c r="G131" i="11"/>
  <c r="H130" i="11"/>
  <c r="G130" i="11"/>
  <c r="H129" i="11"/>
  <c r="G129" i="11"/>
  <c r="H128" i="11"/>
  <c r="G128" i="11"/>
  <c r="H127" i="11"/>
  <c r="G127" i="11"/>
  <c r="H126" i="11"/>
  <c r="G126" i="11"/>
  <c r="H125" i="11"/>
  <c r="G125" i="11"/>
  <c r="H124" i="11"/>
  <c r="G124" i="11"/>
  <c r="M124" i="11" s="1"/>
  <c r="H123" i="11"/>
  <c r="G123" i="11"/>
  <c r="H122" i="11"/>
  <c r="G122" i="11"/>
  <c r="H121" i="11"/>
  <c r="G121" i="11"/>
  <c r="H120" i="11"/>
  <c r="G120" i="11"/>
  <c r="H119" i="11"/>
  <c r="G119" i="11"/>
  <c r="H118" i="11"/>
  <c r="N118" i="11" s="1"/>
  <c r="G118" i="11"/>
  <c r="M118" i="11" s="1"/>
  <c r="H117" i="11"/>
  <c r="G117" i="11"/>
  <c r="H116" i="11"/>
  <c r="G116" i="11"/>
  <c r="N115" i="11"/>
  <c r="P115" i="11" s="1"/>
  <c r="M115" i="11"/>
  <c r="N114" i="11"/>
  <c r="P114" i="11" s="1"/>
  <c r="M114" i="11"/>
  <c r="G114" i="11"/>
  <c r="N113" i="11"/>
  <c r="P113" i="11" s="1"/>
  <c r="M113" i="11"/>
  <c r="N112" i="11"/>
  <c r="M112" i="11"/>
  <c r="H112" i="11"/>
  <c r="G112" i="11"/>
  <c r="N111" i="11"/>
  <c r="P111" i="11" s="1"/>
  <c r="M111" i="11"/>
  <c r="N110" i="11"/>
  <c r="P110" i="11" s="1"/>
  <c r="G110" i="11"/>
  <c r="H108" i="11"/>
  <c r="G108" i="11"/>
  <c r="N107" i="11"/>
  <c r="P107" i="11" s="1"/>
  <c r="G107" i="11"/>
  <c r="M107" i="11" s="1"/>
  <c r="N106" i="11"/>
  <c r="M106" i="11"/>
  <c r="H106" i="11"/>
  <c r="G106" i="11"/>
  <c r="N105" i="11"/>
  <c r="M105" i="11"/>
  <c r="H105" i="11"/>
  <c r="G105" i="11"/>
  <c r="N104" i="11"/>
  <c r="P104" i="11" s="1"/>
  <c r="G104" i="11"/>
  <c r="N103" i="11"/>
  <c r="M103" i="11"/>
  <c r="H103" i="11"/>
  <c r="G103" i="11"/>
  <c r="N102" i="11"/>
  <c r="P102" i="11" s="1"/>
  <c r="M102" i="11"/>
  <c r="H101" i="11"/>
  <c r="G101" i="11"/>
  <c r="N100" i="11"/>
  <c r="P100" i="11" s="1"/>
  <c r="M100" i="11"/>
  <c r="N99" i="11"/>
  <c r="P99" i="11" s="1"/>
  <c r="M99" i="11"/>
  <c r="N98" i="11"/>
  <c r="P98" i="11" s="1"/>
  <c r="M98" i="11"/>
  <c r="G98" i="11"/>
  <c r="N97" i="11"/>
  <c r="M97" i="11"/>
  <c r="H97" i="11"/>
  <c r="G97" i="11"/>
  <c r="N96" i="11"/>
  <c r="M96" i="11"/>
  <c r="H96" i="11"/>
  <c r="G96" i="11"/>
  <c r="N95" i="11"/>
  <c r="M95" i="11"/>
  <c r="H95" i="11"/>
  <c r="G95" i="11"/>
  <c r="N94" i="11"/>
  <c r="M94" i="11"/>
  <c r="H94" i="11"/>
  <c r="G94" i="11"/>
  <c r="H93" i="11"/>
  <c r="G93" i="11"/>
  <c r="H92" i="11"/>
  <c r="G92" i="11"/>
  <c r="N91" i="11"/>
  <c r="P91" i="11" s="1"/>
  <c r="M91" i="11"/>
  <c r="N90" i="11"/>
  <c r="P90" i="11" s="1"/>
  <c r="M90" i="11"/>
  <c r="N89" i="11"/>
  <c r="M89" i="11"/>
  <c r="H89" i="11"/>
  <c r="G89" i="11"/>
  <c r="H88" i="11"/>
  <c r="G88" i="11"/>
  <c r="N87" i="11"/>
  <c r="M87" i="11"/>
  <c r="H87" i="11"/>
  <c r="G87" i="11"/>
  <c r="N86" i="11"/>
  <c r="M86" i="11"/>
  <c r="H86" i="11"/>
  <c r="G86" i="11"/>
  <c r="H85" i="11"/>
  <c r="G85" i="11"/>
  <c r="H84" i="11"/>
  <c r="G84" i="11"/>
  <c r="N83" i="11"/>
  <c r="P83" i="11" s="1"/>
  <c r="M83" i="11"/>
  <c r="N82" i="11"/>
  <c r="M82" i="11"/>
  <c r="H82" i="11"/>
  <c r="G82" i="11"/>
  <c r="H81" i="11"/>
  <c r="G81" i="11"/>
  <c r="N80" i="11"/>
  <c r="M80" i="11"/>
  <c r="H80" i="11"/>
  <c r="G80" i="11"/>
  <c r="N79" i="11"/>
  <c r="P79" i="11" s="1"/>
  <c r="M79" i="11"/>
  <c r="N78" i="11"/>
  <c r="P78" i="11" s="1"/>
  <c r="M78" i="11"/>
  <c r="N77" i="11"/>
  <c r="P77" i="11" s="1"/>
  <c r="M77" i="11"/>
  <c r="N76" i="11"/>
  <c r="M76" i="11"/>
  <c r="H76" i="11"/>
  <c r="G76" i="11"/>
  <c r="N75" i="11"/>
  <c r="M75" i="11"/>
  <c r="H75" i="11"/>
  <c r="G75" i="11"/>
  <c r="N74" i="11"/>
  <c r="M74" i="11"/>
  <c r="H74" i="11"/>
  <c r="G74" i="11"/>
  <c r="N73" i="11"/>
  <c r="M73" i="11"/>
  <c r="H73" i="11"/>
  <c r="G73" i="11"/>
  <c r="N72" i="11"/>
  <c r="P72" i="11" s="1"/>
  <c r="M72" i="11"/>
  <c r="N71" i="11"/>
  <c r="M71" i="11"/>
  <c r="H71" i="11"/>
  <c r="G71" i="11"/>
  <c r="N70" i="11"/>
  <c r="M70" i="11"/>
  <c r="H70" i="11"/>
  <c r="G70" i="11"/>
  <c r="N69" i="11"/>
  <c r="M69" i="11"/>
  <c r="H69" i="11"/>
  <c r="G69" i="11"/>
  <c r="N68" i="11"/>
  <c r="M68" i="11"/>
  <c r="H68" i="11"/>
  <c r="G68" i="11"/>
  <c r="H67" i="11"/>
  <c r="G67" i="11"/>
  <c r="H66" i="11"/>
  <c r="G66" i="11"/>
  <c r="N65" i="11"/>
  <c r="M65" i="11"/>
  <c r="H65" i="11"/>
  <c r="G65" i="11"/>
  <c r="N64" i="11"/>
  <c r="P64" i="11" s="1"/>
  <c r="G64" i="11"/>
  <c r="H63" i="11"/>
  <c r="P63" i="11" s="1"/>
  <c r="G63" i="11"/>
  <c r="N62" i="11"/>
  <c r="M62" i="11"/>
  <c r="H62" i="11"/>
  <c r="G62" i="11"/>
  <c r="N61" i="11"/>
  <c r="P61" i="11" s="1"/>
  <c r="M61" i="11"/>
  <c r="H60" i="11"/>
  <c r="G60" i="11"/>
  <c r="N59" i="11"/>
  <c r="M59" i="11"/>
  <c r="H59" i="11"/>
  <c r="G59" i="11"/>
  <c r="N58" i="11"/>
  <c r="M58" i="11"/>
  <c r="H58" i="11"/>
  <c r="G58" i="11"/>
  <c r="N57" i="11"/>
  <c r="M57" i="11"/>
  <c r="H57" i="11"/>
  <c r="G57" i="11"/>
  <c r="N56" i="11"/>
  <c r="M56" i="11"/>
  <c r="H56" i="11"/>
  <c r="G56" i="11"/>
  <c r="N55" i="11"/>
  <c r="M55" i="11"/>
  <c r="H55" i="11"/>
  <c r="G55" i="11"/>
  <c r="N54" i="11"/>
  <c r="M54" i="11"/>
  <c r="H54" i="11"/>
  <c r="G54" i="11"/>
  <c r="H53" i="11"/>
  <c r="G53" i="11"/>
  <c r="N52" i="11"/>
  <c r="M52" i="11"/>
  <c r="H52" i="11"/>
  <c r="G52" i="11"/>
  <c r="N51" i="11"/>
  <c r="P51" i="11" s="1"/>
  <c r="M51" i="11"/>
  <c r="N50" i="11"/>
  <c r="M50" i="11"/>
  <c r="H50" i="11"/>
  <c r="G50" i="11"/>
  <c r="N49" i="11"/>
  <c r="M49" i="11"/>
  <c r="H49" i="11"/>
  <c r="G49" i="11"/>
  <c r="N48" i="11"/>
  <c r="M48" i="11"/>
  <c r="H48" i="11"/>
  <c r="G48" i="11"/>
  <c r="N47" i="11"/>
  <c r="M47" i="11"/>
  <c r="H47" i="11"/>
  <c r="G47" i="11"/>
  <c r="N46" i="11"/>
  <c r="M46" i="11"/>
  <c r="H46" i="11"/>
  <c r="G46" i="11"/>
  <c r="N45" i="11"/>
  <c r="M45" i="11"/>
  <c r="H45" i="11"/>
  <c r="G45" i="11"/>
  <c r="N44" i="11"/>
  <c r="M44" i="11"/>
  <c r="H44" i="11"/>
  <c r="G44" i="11"/>
  <c r="N43" i="11"/>
  <c r="M43" i="11"/>
  <c r="H43" i="11"/>
  <c r="G43" i="11"/>
  <c r="H42" i="11"/>
  <c r="P42" i="11" s="1"/>
  <c r="G42" i="11"/>
  <c r="H41" i="11"/>
  <c r="P41" i="11" s="1"/>
  <c r="G41" i="11"/>
  <c r="N40" i="11"/>
  <c r="M40" i="11"/>
  <c r="H40" i="11"/>
  <c r="G40" i="11"/>
  <c r="N39" i="11"/>
  <c r="M39" i="11"/>
  <c r="H39" i="11"/>
  <c r="G39" i="11"/>
  <c r="N38" i="11"/>
  <c r="M38" i="11"/>
  <c r="H38" i="11"/>
  <c r="G38" i="11"/>
  <c r="N37" i="11"/>
  <c r="P37" i="11" s="1"/>
  <c r="M37" i="11"/>
  <c r="H36" i="11"/>
  <c r="G36" i="11"/>
  <c r="N35" i="11"/>
  <c r="M35" i="11"/>
  <c r="H35" i="11"/>
  <c r="G35" i="11"/>
  <c r="N34" i="11"/>
  <c r="M34" i="11"/>
  <c r="H34" i="11"/>
  <c r="G34" i="11"/>
  <c r="H33" i="11"/>
  <c r="G33" i="11"/>
  <c r="N32" i="11"/>
  <c r="M32" i="11"/>
  <c r="H32" i="11"/>
  <c r="G32" i="11"/>
  <c r="N31" i="11"/>
  <c r="M31" i="11"/>
  <c r="H31" i="11"/>
  <c r="G31" i="11"/>
  <c r="N30" i="11"/>
  <c r="M30" i="11"/>
  <c r="H30" i="11"/>
  <c r="G30" i="11"/>
  <c r="N29" i="11"/>
  <c r="M29" i="11"/>
  <c r="H29" i="11"/>
  <c r="G29" i="11"/>
  <c r="N28" i="11"/>
  <c r="M28" i="11"/>
  <c r="H28" i="11"/>
  <c r="G28" i="11"/>
  <c r="N27" i="11"/>
  <c r="M27" i="11"/>
  <c r="H27" i="11"/>
  <c r="G27" i="11"/>
  <c r="N26" i="11"/>
  <c r="M26" i="11"/>
  <c r="H26" i="11"/>
  <c r="G26" i="11"/>
  <c r="N25" i="11"/>
  <c r="M25" i="11"/>
  <c r="H25" i="11"/>
  <c r="G25" i="11"/>
  <c r="H24" i="11"/>
  <c r="G24" i="11"/>
  <c r="N23" i="11"/>
  <c r="M23" i="11"/>
  <c r="H23" i="11"/>
  <c r="G23" i="11"/>
  <c r="N22" i="11"/>
  <c r="M22" i="11"/>
  <c r="H22" i="11"/>
  <c r="G22" i="11"/>
  <c r="H21" i="11"/>
  <c r="G21" i="11"/>
  <c r="H20" i="11"/>
  <c r="G20" i="11"/>
  <c r="M20" i="11" s="1"/>
  <c r="N19" i="11"/>
  <c r="M19" i="11"/>
  <c r="H19" i="11"/>
  <c r="G19" i="11"/>
  <c r="H18" i="11"/>
  <c r="G18" i="11"/>
  <c r="H17" i="11"/>
  <c r="G17" i="11"/>
  <c r="H14" i="11"/>
  <c r="G14" i="11"/>
  <c r="H13" i="11"/>
  <c r="N13" i="11" s="1"/>
  <c r="G13" i="11"/>
  <c r="H12" i="11"/>
  <c r="G12" i="11"/>
  <c r="H11" i="11"/>
  <c r="G11" i="11"/>
  <c r="H10" i="11"/>
  <c r="G10" i="11"/>
  <c r="N9" i="11"/>
  <c r="P9" i="11" s="1"/>
  <c r="M9" i="11"/>
  <c r="H8" i="11"/>
  <c r="N8" i="11" s="1"/>
  <c r="G8" i="11"/>
  <c r="H7" i="11"/>
  <c r="G7" i="11"/>
  <c r="P283" i="11" l="1"/>
  <c r="P289" i="11"/>
  <c r="P198" i="11"/>
  <c r="P202" i="11"/>
  <c r="P206" i="11"/>
  <c r="P210" i="11"/>
  <c r="P214" i="11"/>
  <c r="P178" i="11"/>
  <c r="P182" i="11"/>
  <c r="P186" i="11"/>
  <c r="P190" i="11"/>
  <c r="P194" i="11"/>
  <c r="P218" i="11"/>
  <c r="P73" i="11"/>
  <c r="P95" i="11"/>
  <c r="P158" i="11"/>
  <c r="P162" i="11"/>
  <c r="P157" i="11"/>
  <c r="P159" i="11"/>
  <c r="P161" i="11"/>
  <c r="P112" i="11"/>
  <c r="P163" i="11"/>
  <c r="P174" i="11"/>
  <c r="P298" i="11"/>
  <c r="P305" i="11"/>
  <c r="P311" i="11"/>
  <c r="P173" i="11"/>
  <c r="P177" i="11"/>
  <c r="P181" i="11"/>
  <c r="P185" i="11"/>
  <c r="P189" i="11"/>
  <c r="P193" i="11"/>
  <c r="P197" i="11"/>
  <c r="P201" i="11"/>
  <c r="P205" i="11"/>
  <c r="P209" i="11"/>
  <c r="P213" i="11"/>
  <c r="P217" i="11"/>
  <c r="P14" i="11"/>
  <c r="P34" i="11"/>
  <c r="P39" i="11"/>
  <c r="P44" i="11"/>
  <c r="P48" i="11"/>
  <c r="P57" i="11"/>
  <c r="P62" i="11"/>
  <c r="P65" i="11"/>
  <c r="P68" i="11"/>
  <c r="P70" i="11"/>
  <c r="P80" i="11"/>
  <c r="P86" i="11"/>
  <c r="P223" i="11"/>
  <c r="P225" i="11"/>
  <c r="P227" i="11"/>
  <c r="P35" i="11"/>
  <c r="P29" i="11"/>
  <c r="P27" i="11"/>
  <c r="P31" i="11"/>
  <c r="P25" i="11"/>
  <c r="P38" i="11"/>
  <c r="P43" i="11"/>
  <c r="P47" i="11"/>
  <c r="P87" i="11"/>
  <c r="P236" i="11"/>
  <c r="P310" i="11"/>
  <c r="P52" i="11"/>
  <c r="P76" i="11"/>
  <c r="P82" i="11"/>
  <c r="P224" i="11"/>
  <c r="P293" i="11"/>
  <c r="P19" i="11"/>
  <c r="P75" i="11"/>
  <c r="P97" i="11"/>
  <c r="P103" i="11"/>
  <c r="P222" i="11"/>
  <c r="P226" i="11"/>
  <c r="P171" i="11"/>
  <c r="P23" i="11"/>
  <c r="P28" i="11"/>
  <c r="P40" i="11"/>
  <c r="P45" i="11"/>
  <c r="P49" i="11"/>
  <c r="P54" i="11"/>
  <c r="P58" i="11"/>
  <c r="P32" i="11"/>
  <c r="M12" i="11"/>
  <c r="M144" i="11"/>
  <c r="M33" i="11"/>
  <c r="M60" i="11"/>
  <c r="N144" i="11"/>
  <c r="P144" i="11" s="1"/>
  <c r="M234" i="11"/>
  <c r="N313" i="11"/>
  <c r="P313" i="11" s="1"/>
  <c r="M13" i="11"/>
  <c r="N33" i="11"/>
  <c r="P33" i="11" s="1"/>
  <c r="P56" i="11"/>
  <c r="N60" i="11"/>
  <c r="P60" i="11" s="1"/>
  <c r="M66" i="11"/>
  <c r="M81" i="11"/>
  <c r="N101" i="11"/>
  <c r="P101" i="11" s="1"/>
  <c r="P106" i="11"/>
  <c r="M119" i="11"/>
  <c r="N125" i="11"/>
  <c r="P125" i="11" s="1"/>
  <c r="N131" i="11"/>
  <c r="P131" i="11" s="1"/>
  <c r="M145" i="11"/>
  <c r="M152" i="11"/>
  <c r="P166" i="11"/>
  <c r="P176" i="11"/>
  <c r="P180" i="11"/>
  <c r="P184" i="11"/>
  <c r="P188" i="11"/>
  <c r="P192" i="11"/>
  <c r="P196" i="11"/>
  <c r="P200" i="11"/>
  <c r="P204" i="11"/>
  <c r="P208" i="11"/>
  <c r="P212" i="11"/>
  <c r="P216" i="11"/>
  <c r="P220" i="11"/>
  <c r="N234" i="11"/>
  <c r="P234" i="11" s="1"/>
  <c r="P13" i="11"/>
  <c r="N20" i="11"/>
  <c r="P20" i="11" s="1"/>
  <c r="N66" i="11"/>
  <c r="P66" i="11" s="1"/>
  <c r="P71" i="11"/>
  <c r="N81" i="11"/>
  <c r="P81" i="11" s="1"/>
  <c r="P96" i="11"/>
  <c r="N119" i="11"/>
  <c r="P119" i="11" s="1"/>
  <c r="M132" i="11"/>
  <c r="N145" i="11"/>
  <c r="P145" i="11" s="1"/>
  <c r="N152" i="11"/>
  <c r="P152" i="11" s="1"/>
  <c r="N172" i="11"/>
  <c r="P172" i="11" s="1"/>
  <c r="N11" i="11"/>
  <c r="P11" i="11" s="1"/>
  <c r="M151" i="11"/>
  <c r="N12" i="11"/>
  <c r="P12" i="11" s="1"/>
  <c r="M67" i="11"/>
  <c r="M92" i="11"/>
  <c r="M126" i="11"/>
  <c r="N147" i="11"/>
  <c r="P147" i="11" s="1"/>
  <c r="N143" i="11"/>
  <c r="P143" i="11" s="1"/>
  <c r="P138" i="11"/>
  <c r="M120" i="11"/>
  <c r="M146" i="11"/>
  <c r="N67" i="11"/>
  <c r="P67" i="11" s="1"/>
  <c r="N153" i="11"/>
  <c r="P153" i="11" s="1"/>
  <c r="M8" i="11"/>
  <c r="M127" i="11"/>
  <c r="M154" i="11"/>
  <c r="N127" i="11"/>
  <c r="P127" i="11" s="1"/>
  <c r="N154" i="11"/>
  <c r="P154" i="11" s="1"/>
  <c r="P26" i="11"/>
  <c r="P30" i="11"/>
  <c r="N53" i="11"/>
  <c r="P53" i="11" s="1"/>
  <c r="M93" i="11"/>
  <c r="M108" i="11"/>
  <c r="N121" i="11"/>
  <c r="P121" i="11" s="1"/>
  <c r="M134" i="11"/>
  <c r="M155" i="11"/>
  <c r="N168" i="11"/>
  <c r="P168" i="11" s="1"/>
  <c r="N24" i="11"/>
  <c r="P24" i="11" s="1"/>
  <c r="N93" i="11"/>
  <c r="P93" i="11" s="1"/>
  <c r="N108" i="11"/>
  <c r="P108" i="11" s="1"/>
  <c r="M122" i="11"/>
  <c r="N134" i="11"/>
  <c r="P134" i="11" s="1"/>
  <c r="N148" i="11"/>
  <c r="P148" i="11" s="1"/>
  <c r="N155" i="11"/>
  <c r="P155" i="11" s="1"/>
  <c r="M139" i="11"/>
  <c r="N146" i="11"/>
  <c r="P146" i="11" s="1"/>
  <c r="M121" i="11"/>
  <c r="N17" i="11"/>
  <c r="P17" i="11" s="1"/>
  <c r="P22" i="11"/>
  <c r="M88" i="11"/>
  <c r="M110" i="11"/>
  <c r="M116" i="11"/>
  <c r="N122" i="11"/>
  <c r="P122" i="11" s="1"/>
  <c r="M128" i="11"/>
  <c r="M135" i="11"/>
  <c r="M141" i="11"/>
  <c r="M148" i="11"/>
  <c r="N169" i="11"/>
  <c r="P169" i="11" s="1"/>
  <c r="P276" i="11"/>
  <c r="M317" i="11"/>
  <c r="M131" i="11"/>
  <c r="N132" i="11"/>
  <c r="P132" i="11" s="1"/>
  <c r="N139" i="11"/>
  <c r="P139" i="11" s="1"/>
  <c r="M17" i="11"/>
  <c r="M36" i="11"/>
  <c r="P69" i="11"/>
  <c r="N88" i="11"/>
  <c r="P88" i="11" s="1"/>
  <c r="P94" i="11"/>
  <c r="M104" i="11"/>
  <c r="N116" i="11"/>
  <c r="P116" i="11" s="1"/>
  <c r="M123" i="11"/>
  <c r="N128" i="11"/>
  <c r="P128" i="11" s="1"/>
  <c r="N135" i="11"/>
  <c r="P135" i="11" s="1"/>
  <c r="N141" i="11"/>
  <c r="P141" i="11" s="1"/>
  <c r="M149" i="11"/>
  <c r="N124" i="11"/>
  <c r="P124" i="11" s="1"/>
  <c r="M147" i="11"/>
  <c r="P8" i="11"/>
  <c r="M316" i="11"/>
  <c r="N10" i="11"/>
  <c r="P10" i="11" s="1"/>
  <c r="M18" i="11"/>
  <c r="N36" i="11"/>
  <c r="P36" i="11" s="1"/>
  <c r="M64" i="11"/>
  <c r="M84" i="11"/>
  <c r="M117" i="11"/>
  <c r="N123" i="11"/>
  <c r="P123" i="11" s="1"/>
  <c r="M129" i="11"/>
  <c r="M136" i="11"/>
  <c r="M142" i="11"/>
  <c r="N149" i="11"/>
  <c r="P149" i="11" s="1"/>
  <c r="P156" i="11"/>
  <c r="P160" i="11"/>
  <c r="N170" i="11"/>
  <c r="P170" i="11" s="1"/>
  <c r="N137" i="11"/>
  <c r="P137" i="11" s="1"/>
  <c r="N151" i="11"/>
  <c r="P151" i="11" s="1"/>
  <c r="M153" i="11"/>
  <c r="N126" i="11"/>
  <c r="P126" i="11" s="1"/>
  <c r="N133" i="11"/>
  <c r="P133" i="11" s="1"/>
  <c r="M53" i="11"/>
  <c r="M10" i="11"/>
  <c r="N18" i="11"/>
  <c r="P18" i="11" s="1"/>
  <c r="P46" i="11"/>
  <c r="P50" i="11"/>
  <c r="P74" i="11"/>
  <c r="N84" i="11"/>
  <c r="P84" i="11" s="1"/>
  <c r="P89" i="11"/>
  <c r="N117" i="11"/>
  <c r="P117" i="11" s="1"/>
  <c r="N129" i="11"/>
  <c r="P129" i="11" s="1"/>
  <c r="N136" i="11"/>
  <c r="P136" i="11" s="1"/>
  <c r="N142" i="11"/>
  <c r="P142" i="11" s="1"/>
  <c r="M270" i="11"/>
  <c r="P307" i="11"/>
  <c r="P312" i="11"/>
  <c r="M24" i="11"/>
  <c r="N85" i="11"/>
  <c r="P85" i="11" s="1"/>
  <c r="P118" i="11"/>
  <c r="N130" i="11"/>
  <c r="P130" i="11" s="1"/>
  <c r="M313" i="11"/>
  <c r="M101" i="11"/>
  <c r="M125" i="11"/>
  <c r="M315" i="11"/>
  <c r="M21" i="11"/>
  <c r="N92" i="11"/>
  <c r="P92" i="11" s="1"/>
  <c r="M133" i="11"/>
  <c r="N21" i="11"/>
  <c r="P21" i="11" s="1"/>
  <c r="N120" i="11"/>
  <c r="P120" i="11" s="1"/>
  <c r="P140" i="11"/>
  <c r="M11" i="11"/>
  <c r="P55" i="11"/>
  <c r="P59" i="11"/>
  <c r="M85" i="11"/>
  <c r="P105" i="11"/>
  <c r="M130" i="11"/>
  <c r="M137" i="11"/>
  <c r="M143" i="11"/>
  <c r="N150" i="11"/>
  <c r="P150" i="11" s="1"/>
  <c r="P165" i="11"/>
  <c r="P175" i="11"/>
  <c r="P179" i="11"/>
  <c r="P183" i="11"/>
  <c r="P187" i="11"/>
  <c r="P191" i="11"/>
  <c r="P195" i="11"/>
  <c r="P199" i="11"/>
  <c r="P203" i="11"/>
  <c r="P207" i="11"/>
  <c r="P211" i="11"/>
  <c r="P215" i="11"/>
  <c r="P219" i="11"/>
  <c r="P278" i="11"/>
  <c r="H228" i="11"/>
  <c r="G318" i="11"/>
  <c r="G228" i="11"/>
  <c r="H318" i="11"/>
  <c r="N235" i="11"/>
  <c r="P235" i="11" s="1"/>
  <c r="M228" i="11" l="1"/>
  <c r="O228" i="11" s="1"/>
  <c r="L318" i="11"/>
  <c r="M318" i="11"/>
  <c r="I228" i="11"/>
  <c r="H320" i="11"/>
  <c r="I318" i="11"/>
  <c r="K228" i="11"/>
  <c r="L228" i="11"/>
  <c r="J318" i="11"/>
  <c r="K318" i="11"/>
  <c r="G320" i="11"/>
  <c r="J228" i="11"/>
  <c r="N7" i="11"/>
  <c r="L320" i="11" l="1"/>
  <c r="K320" i="11"/>
  <c r="J320" i="11"/>
  <c r="I320" i="11"/>
  <c r="N228" i="11"/>
  <c r="P228" i="11" s="1"/>
  <c r="P7" i="11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N320" i="11" l="1"/>
  <c r="M320" i="11"/>
  <c r="T97" i="9" l="1"/>
  <c r="S97" i="9"/>
  <c r="R97" i="9"/>
  <c r="Q97" i="9"/>
  <c r="P97" i="9"/>
  <c r="O97" i="9"/>
  <c r="N96" i="9"/>
  <c r="AL96" i="9" s="1"/>
  <c r="M96" i="9"/>
  <c r="N95" i="9"/>
  <c r="AL95" i="9" s="1"/>
  <c r="M95" i="9"/>
  <c r="N94" i="9"/>
  <c r="AL94" i="9" s="1"/>
  <c r="M94" i="9"/>
  <c r="N93" i="9"/>
  <c r="AL93" i="9" s="1"/>
  <c r="M93" i="9"/>
  <c r="N92" i="9"/>
  <c r="AL92" i="9" s="1"/>
  <c r="M92" i="9"/>
  <c r="L92" i="9"/>
  <c r="K92" i="9"/>
  <c r="N91" i="9"/>
  <c r="AL91" i="9" s="1"/>
  <c r="M91" i="9"/>
  <c r="N90" i="9"/>
  <c r="AL90" i="9" s="1"/>
  <c r="M90" i="9"/>
  <c r="N89" i="9"/>
  <c r="AL89" i="9" s="1"/>
  <c r="M89" i="9"/>
  <c r="L89" i="9"/>
  <c r="K89" i="9"/>
  <c r="N88" i="9"/>
  <c r="AL88" i="9" s="1"/>
  <c r="M88" i="9"/>
  <c r="N87" i="9"/>
  <c r="AL87" i="9" s="1"/>
  <c r="M87" i="9"/>
  <c r="Z86" i="9"/>
  <c r="AL86" i="9" s="1"/>
  <c r="Y86" i="9"/>
  <c r="N85" i="9"/>
  <c r="AL85" i="9" s="1"/>
  <c r="M85" i="9"/>
  <c r="Z84" i="9"/>
  <c r="Y84" i="9"/>
  <c r="N83" i="9"/>
  <c r="AL83" i="9" s="1"/>
  <c r="M83" i="9"/>
  <c r="Z82" i="9"/>
  <c r="AL82" i="9" s="1"/>
  <c r="Y82" i="9"/>
  <c r="N81" i="9"/>
  <c r="AL81" i="9" s="1"/>
  <c r="M81" i="9"/>
  <c r="Z80" i="9"/>
  <c r="Y80" i="9"/>
  <c r="Z79" i="9"/>
  <c r="Y79" i="9"/>
  <c r="N78" i="9"/>
  <c r="AL78" i="9" s="1"/>
  <c r="M78" i="9"/>
  <c r="Z77" i="9"/>
  <c r="Y77" i="9"/>
  <c r="N76" i="9"/>
  <c r="AL76" i="9" s="1"/>
  <c r="M76" i="9"/>
  <c r="Z75" i="9"/>
  <c r="Y75" i="9"/>
  <c r="Z74" i="9"/>
  <c r="AL74" i="9" s="1"/>
  <c r="Y74" i="9"/>
  <c r="N73" i="9"/>
  <c r="AL73" i="9" s="1"/>
  <c r="M73" i="9"/>
  <c r="Z72" i="9"/>
  <c r="Y72" i="9"/>
  <c r="Z71" i="9"/>
  <c r="AL71" i="9" s="1"/>
  <c r="Y71" i="9"/>
  <c r="N70" i="9"/>
  <c r="AL70" i="9" s="1"/>
  <c r="M70" i="9"/>
  <c r="Z69" i="9"/>
  <c r="AL69" i="9" s="1"/>
  <c r="Y69" i="9"/>
  <c r="N68" i="9"/>
  <c r="AL68" i="9" s="1"/>
  <c r="M68" i="9"/>
  <c r="Z67" i="9"/>
  <c r="AL67" i="9" s="1"/>
  <c r="Y67" i="9"/>
  <c r="N66" i="9"/>
  <c r="AL66" i="9" s="1"/>
  <c r="M66" i="9"/>
  <c r="Y65" i="9"/>
  <c r="X65" i="9"/>
  <c r="Y64" i="9"/>
  <c r="X64" i="9"/>
  <c r="AL64" i="9" s="1"/>
  <c r="N63" i="9"/>
  <c r="AL63" i="9" s="1"/>
  <c r="M63" i="9"/>
  <c r="Y62" i="9"/>
  <c r="X62" i="9"/>
  <c r="AL62" i="9" s="1"/>
  <c r="N61" i="9"/>
  <c r="AL61" i="9" s="1"/>
  <c r="M61" i="9"/>
  <c r="Y60" i="9"/>
  <c r="X60" i="9"/>
  <c r="AL60" i="9" s="1"/>
  <c r="Y59" i="9"/>
  <c r="X59" i="9"/>
  <c r="M59" i="9"/>
  <c r="N58" i="9"/>
  <c r="AL58" i="9" s="1"/>
  <c r="M58" i="9"/>
  <c r="Y57" i="9"/>
  <c r="X57" i="9"/>
  <c r="Y56" i="9"/>
  <c r="X56" i="9"/>
  <c r="AL56" i="9" s="1"/>
  <c r="AF55" i="9"/>
  <c r="AL55" i="9" s="1"/>
  <c r="AE55" i="9"/>
  <c r="N55" i="9"/>
  <c r="M55" i="9"/>
  <c r="Y54" i="9"/>
  <c r="X54" i="9"/>
  <c r="AL54" i="9" s="1"/>
  <c r="AF53" i="9"/>
  <c r="AL53" i="9" s="1"/>
  <c r="AE53" i="9"/>
  <c r="N53" i="9"/>
  <c r="M53" i="9"/>
  <c r="Y52" i="9"/>
  <c r="X52" i="9"/>
  <c r="AL52" i="9" s="1"/>
  <c r="N51" i="9"/>
  <c r="AL51" i="9" s="1"/>
  <c r="M51" i="9"/>
  <c r="Y50" i="9"/>
  <c r="X50" i="9"/>
  <c r="AL50" i="9" s="1"/>
  <c r="X49" i="9"/>
  <c r="AL49" i="9" s="1"/>
  <c r="W49" i="9"/>
  <c r="AF48" i="9"/>
  <c r="AL48" i="9" s="1"/>
  <c r="AE48" i="9"/>
  <c r="N48" i="9"/>
  <c r="M48" i="9"/>
  <c r="X47" i="9"/>
  <c r="W47" i="9"/>
  <c r="AF46" i="9"/>
  <c r="AL46" i="9" s="1"/>
  <c r="AE46" i="9"/>
  <c r="N46" i="9"/>
  <c r="M46" i="9"/>
  <c r="X45" i="9"/>
  <c r="AL45" i="9" s="1"/>
  <c r="W45" i="9"/>
  <c r="X44" i="9"/>
  <c r="AL44" i="9" s="1"/>
  <c r="W44" i="9"/>
  <c r="AF43" i="9"/>
  <c r="AE43" i="9"/>
  <c r="N43" i="9"/>
  <c r="M43" i="9"/>
  <c r="X42" i="9"/>
  <c r="AL42" i="9" s="1"/>
  <c r="W42" i="9"/>
  <c r="N41" i="9"/>
  <c r="AL41" i="9" s="1"/>
  <c r="M41" i="9"/>
  <c r="N40" i="9"/>
  <c r="AL40" i="9" s="1"/>
  <c r="M40" i="9"/>
  <c r="N39" i="9"/>
  <c r="AL39" i="9" s="1"/>
  <c r="M39" i="9"/>
  <c r="N38" i="9"/>
  <c r="AL38" i="9" s="1"/>
  <c r="M38" i="9"/>
  <c r="N37" i="9"/>
  <c r="AL37" i="9" s="1"/>
  <c r="M37" i="9"/>
  <c r="L37" i="9"/>
  <c r="K37" i="9"/>
  <c r="N36" i="9"/>
  <c r="AL36" i="9" s="1"/>
  <c r="M36" i="9"/>
  <c r="L36" i="9"/>
  <c r="AB35" i="9"/>
  <c r="AL35" i="9" s="1"/>
  <c r="AA35" i="9"/>
  <c r="L34" i="9"/>
  <c r="AB34" i="9" s="1"/>
  <c r="AL34" i="9" s="1"/>
  <c r="K34" i="9"/>
  <c r="AA34" i="9" s="1"/>
  <c r="AA33" i="9"/>
  <c r="L33" i="9"/>
  <c r="AB33" i="9" s="1"/>
  <c r="L32" i="9"/>
  <c r="AB32" i="9" s="1"/>
  <c r="K32" i="9"/>
  <c r="AA32" i="9" s="1"/>
  <c r="L31" i="9"/>
  <c r="AB31" i="9" s="1"/>
  <c r="AL31" i="9" s="1"/>
  <c r="K31" i="9"/>
  <c r="AA31" i="9" s="1"/>
  <c r="AB30" i="9"/>
  <c r="AL30" i="9" s="1"/>
  <c r="AA30" i="9"/>
  <c r="N29" i="9"/>
  <c r="AL29" i="9" s="1"/>
  <c r="M29" i="9"/>
  <c r="L29" i="9"/>
  <c r="N28" i="9"/>
  <c r="AL28" i="9" s="1"/>
  <c r="M28" i="9"/>
  <c r="N27" i="9"/>
  <c r="AL27" i="9" s="1"/>
  <c r="M27" i="9"/>
  <c r="L27" i="9"/>
  <c r="N26" i="9"/>
  <c r="AL26" i="9" s="1"/>
  <c r="M26" i="9"/>
  <c r="L26" i="9"/>
  <c r="K26" i="9"/>
  <c r="N25" i="9"/>
  <c r="AL25" i="9" s="1"/>
  <c r="M25" i="9"/>
  <c r="L25" i="9"/>
  <c r="K25" i="9"/>
  <c r="AD24" i="9"/>
  <c r="AC24" i="9"/>
  <c r="N24" i="9"/>
  <c r="M24" i="9"/>
  <c r="N23" i="9"/>
  <c r="AL23" i="9" s="1"/>
  <c r="M23" i="9"/>
  <c r="L23" i="9"/>
  <c r="L22" i="9"/>
  <c r="AB22" i="9" s="1"/>
  <c r="AL22" i="9" s="1"/>
  <c r="K22" i="9"/>
  <c r="AA22" i="9" s="1"/>
  <c r="L21" i="9"/>
  <c r="X21" i="9" s="1"/>
  <c r="K21" i="9"/>
  <c r="Y21" i="9" s="1"/>
  <c r="L20" i="9"/>
  <c r="Z20" i="9" s="1"/>
  <c r="K20" i="9"/>
  <c r="Y20" i="9" s="1"/>
  <c r="L19" i="9"/>
  <c r="AB19" i="9" s="1"/>
  <c r="AL19" i="9" s="1"/>
  <c r="K19" i="9"/>
  <c r="AA19" i="9" s="1"/>
  <c r="L18" i="9"/>
  <c r="AB18" i="9" s="1"/>
  <c r="AL18" i="9" s="1"/>
  <c r="K18" i="9"/>
  <c r="AA18" i="9" s="1"/>
  <c r="AB17" i="9"/>
  <c r="AL17" i="9" s="1"/>
  <c r="AA17" i="9"/>
  <c r="L16" i="9"/>
  <c r="V16" i="9" s="1"/>
  <c r="K16" i="9"/>
  <c r="U16" i="9" s="1"/>
  <c r="L15" i="9"/>
  <c r="X15" i="9" s="1"/>
  <c r="K15" i="9"/>
  <c r="W15" i="9" s="1"/>
  <c r="X14" i="9"/>
  <c r="W14" i="9"/>
  <c r="L13" i="9"/>
  <c r="X13" i="9" s="1"/>
  <c r="N13" i="9" s="1"/>
  <c r="K13" i="9"/>
  <c r="Y13" i="9" s="1"/>
  <c r="L12" i="9"/>
  <c r="AB12" i="9" s="1"/>
  <c r="K12" i="9"/>
  <c r="AA12" i="9" s="1"/>
  <c r="V11" i="9"/>
  <c r="U11" i="9"/>
  <c r="V10" i="9"/>
  <c r="U10" i="9"/>
  <c r="H10" i="9"/>
  <c r="G10" i="9"/>
  <c r="V9" i="9"/>
  <c r="U9" i="9"/>
  <c r="H9" i="9"/>
  <c r="G9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V8" i="9"/>
  <c r="N8" i="9" s="1"/>
  <c r="U8" i="9"/>
  <c r="M8" i="9" s="1"/>
  <c r="J8" i="9"/>
  <c r="I8" i="9"/>
  <c r="AJ7" i="9"/>
  <c r="AI7" i="9"/>
  <c r="L7" i="9"/>
  <c r="K7" i="9"/>
  <c r="M47" i="9" l="1"/>
  <c r="M45" i="9"/>
  <c r="M30" i="9"/>
  <c r="N67" i="9"/>
  <c r="M44" i="9"/>
  <c r="N69" i="9"/>
  <c r="N56" i="9"/>
  <c r="M71" i="9"/>
  <c r="M86" i="9"/>
  <c r="N52" i="9"/>
  <c r="N71" i="9"/>
  <c r="N86" i="9"/>
  <c r="N30" i="9"/>
  <c r="M60" i="9"/>
  <c r="N82" i="9"/>
  <c r="N49" i="9"/>
  <c r="M64" i="9"/>
  <c r="N64" i="9"/>
  <c r="M9" i="9"/>
  <c r="N44" i="9"/>
  <c r="M65" i="9"/>
  <c r="M54" i="9"/>
  <c r="N45" i="9"/>
  <c r="M80" i="9"/>
  <c r="N50" i="9"/>
  <c r="M11" i="9"/>
  <c r="N34" i="9"/>
  <c r="N62" i="9"/>
  <c r="N74" i="9"/>
  <c r="M19" i="9"/>
  <c r="M20" i="9"/>
  <c r="Z97" i="9"/>
  <c r="AL20" i="9"/>
  <c r="N20" i="9"/>
  <c r="AL21" i="9"/>
  <c r="N21" i="9"/>
  <c r="AA97" i="9"/>
  <c r="M31" i="9"/>
  <c r="N32" i="9"/>
  <c r="AL32" i="9"/>
  <c r="L97" i="9"/>
  <c r="N33" i="9"/>
  <c r="AL33" i="9"/>
  <c r="M49" i="9"/>
  <c r="N59" i="9"/>
  <c r="AL59" i="9"/>
  <c r="M77" i="9"/>
  <c r="N14" i="9"/>
  <c r="AL14" i="9"/>
  <c r="N54" i="9"/>
  <c r="N77" i="9"/>
  <c r="AL77" i="9"/>
  <c r="M84" i="9"/>
  <c r="N65" i="9"/>
  <c r="AL65" i="9"/>
  <c r="M10" i="9"/>
  <c r="AC97" i="9"/>
  <c r="AL24" i="9"/>
  <c r="AD97" i="9"/>
  <c r="N60" i="9"/>
  <c r="N84" i="9"/>
  <c r="AL84" i="9"/>
  <c r="W97" i="9"/>
  <c r="M79" i="9"/>
  <c r="N9" i="9"/>
  <c r="AL9" i="9"/>
  <c r="N15" i="9"/>
  <c r="AL15" i="9"/>
  <c r="M16" i="9"/>
  <c r="M21" i="9"/>
  <c r="M72" i="9"/>
  <c r="N79" i="9"/>
  <c r="AL79" i="9"/>
  <c r="M57" i="9"/>
  <c r="N11" i="9"/>
  <c r="AL11" i="9"/>
  <c r="N17" i="9"/>
  <c r="N42" i="9"/>
  <c r="M50" i="9"/>
  <c r="N72" i="9"/>
  <c r="AL72" i="9"/>
  <c r="U97" i="9"/>
  <c r="M42" i="9"/>
  <c r="M67" i="9"/>
  <c r="AF97" i="9"/>
  <c r="AL43" i="9"/>
  <c r="N75" i="9"/>
  <c r="AL75" i="9"/>
  <c r="AL8" i="9"/>
  <c r="V97" i="9"/>
  <c r="AB97" i="9"/>
  <c r="AL12" i="9"/>
  <c r="N80" i="9"/>
  <c r="AL80" i="9"/>
  <c r="M22" i="9"/>
  <c r="N10" i="9"/>
  <c r="AL10" i="9"/>
  <c r="N16" i="9"/>
  <c r="AL16" i="9"/>
  <c r="Y97" i="9"/>
  <c r="M56" i="9"/>
  <c r="M62" i="9"/>
  <c r="M74" i="9"/>
  <c r="M75" i="9"/>
  <c r="X97" i="9"/>
  <c r="X193" i="9" s="1"/>
  <c r="AL13" i="9"/>
  <c r="M15" i="9"/>
  <c r="M18" i="9"/>
  <c r="N22" i="9"/>
  <c r="N47" i="9"/>
  <c r="AL47" i="9"/>
  <c r="M52" i="9"/>
  <c r="N57" i="9"/>
  <c r="AL57" i="9"/>
  <c r="M69" i="9"/>
  <c r="M82" i="9"/>
  <c r="N12" i="9"/>
  <c r="M13" i="9"/>
  <c r="N31" i="9"/>
  <c r="M12" i="9"/>
  <c r="M14" i="9"/>
  <c r="M34" i="9"/>
  <c r="N35" i="9"/>
  <c r="N18" i="9"/>
  <c r="N19" i="9"/>
  <c r="M32" i="9"/>
  <c r="K97" i="9"/>
  <c r="M33" i="9"/>
  <c r="M17" i="9"/>
  <c r="M35" i="9"/>
  <c r="AE97" i="9"/>
  <c r="M97" i="9" l="1"/>
  <c r="H91" i="2"/>
  <c r="N97" i="9"/>
  <c r="L109" i="2"/>
  <c r="L110" i="2"/>
  <c r="L111" i="2"/>
  <c r="L112" i="2"/>
  <c r="M112" i="2" s="1"/>
  <c r="L113" i="2"/>
  <c r="K109" i="2"/>
  <c r="K110" i="2"/>
  <c r="K111" i="2"/>
  <c r="K112" i="2"/>
  <c r="K113" i="2"/>
  <c r="K114" i="2"/>
  <c r="K107" i="2"/>
  <c r="K108" i="2"/>
  <c r="G13" i="8"/>
  <c r="G12" i="8"/>
  <c r="G10" i="8"/>
  <c r="I17" i="8"/>
  <c r="H114" i="2" s="1"/>
  <c r="L114" i="2" s="1"/>
  <c r="I15" i="8"/>
  <c r="I14" i="8"/>
  <c r="F13" i="8"/>
  <c r="F12" i="8"/>
  <c r="I11" i="8"/>
  <c r="F10" i="8"/>
  <c r="M111" i="2" l="1"/>
  <c r="M110" i="2"/>
  <c r="M109" i="2"/>
  <c r="M113" i="2"/>
  <c r="M114" i="2"/>
  <c r="I13" i="8"/>
  <c r="I12" i="8"/>
  <c r="I10" i="8"/>
  <c r="J114" i="2" l="1"/>
  <c r="I112" i="2"/>
  <c r="J112" i="2" s="1"/>
  <c r="I110" i="2"/>
  <c r="J110" i="2" s="1"/>
  <c r="I106" i="2"/>
  <c r="J106" i="2" s="1"/>
  <c r="I104" i="2"/>
  <c r="I102" i="2"/>
  <c r="J102" i="2" s="1"/>
  <c r="K102" i="2"/>
  <c r="L102" i="2"/>
  <c r="F114" i="2"/>
  <c r="F112" i="2"/>
  <c r="F110" i="2"/>
  <c r="F108" i="2"/>
  <c r="F106" i="2"/>
  <c r="F104" i="2"/>
  <c r="F102" i="2"/>
  <c r="K104" i="2"/>
  <c r="L106" i="2"/>
  <c r="K106" i="2"/>
  <c r="F84" i="2"/>
  <c r="F87" i="2"/>
  <c r="F91" i="2"/>
  <c r="F95" i="2" s="1"/>
  <c r="F93" i="2"/>
  <c r="K84" i="2"/>
  <c r="K87" i="2"/>
  <c r="K91" i="2"/>
  <c r="K93" i="2"/>
  <c r="J87" i="2"/>
  <c r="F120" i="2"/>
  <c r="M120" i="2" s="1"/>
  <c r="K120" i="2"/>
  <c r="F60" i="2"/>
  <c r="F61" i="2"/>
  <c r="F64" i="2"/>
  <c r="F65" i="2"/>
  <c r="F69" i="2"/>
  <c r="F70" i="2"/>
  <c r="F71" i="2"/>
  <c r="F16" i="2"/>
  <c r="F17" i="2"/>
  <c r="F24" i="2"/>
  <c r="F25" i="2"/>
  <c r="F26" i="2"/>
  <c r="F28" i="2"/>
  <c r="F36" i="2"/>
  <c r="F40" i="2"/>
  <c r="F42" i="2"/>
  <c r="F44" i="2"/>
  <c r="F46" i="2"/>
  <c r="F48" i="2"/>
  <c r="F50" i="2"/>
  <c r="F54" i="2"/>
  <c r="K16" i="2"/>
  <c r="K18" i="2"/>
  <c r="M18" i="2" s="1"/>
  <c r="K20" i="2"/>
  <c r="M20" i="2" s="1"/>
  <c r="K24" i="2"/>
  <c r="M24" i="2" s="1"/>
  <c r="K26" i="2"/>
  <c r="M26" i="2" s="1"/>
  <c r="K28" i="2"/>
  <c r="M28" i="2" s="1"/>
  <c r="K32" i="2"/>
  <c r="K36" i="2"/>
  <c r="K40" i="2"/>
  <c r="K42" i="2"/>
  <c r="K44" i="2"/>
  <c r="M44" i="2" s="1"/>
  <c r="K46" i="2"/>
  <c r="M46" i="2" s="1"/>
  <c r="K48" i="2"/>
  <c r="M48" i="2" s="1"/>
  <c r="K50" i="2"/>
  <c r="M50" i="2" s="1"/>
  <c r="K54" i="2"/>
  <c r="K60" i="2"/>
  <c r="K61" i="2"/>
  <c r="K64" i="2"/>
  <c r="K65" i="2"/>
  <c r="M65" i="2" s="1"/>
  <c r="K69" i="2"/>
  <c r="K70" i="2"/>
  <c r="L16" i="2"/>
  <c r="M16" i="2" s="1"/>
  <c r="L18" i="2"/>
  <c r="L20" i="2"/>
  <c r="L24" i="2"/>
  <c r="L26" i="2"/>
  <c r="L28" i="2"/>
  <c r="L32" i="2"/>
  <c r="M32" i="2" s="1"/>
  <c r="L36" i="2"/>
  <c r="L40" i="2"/>
  <c r="M40" i="2" s="1"/>
  <c r="L42" i="2"/>
  <c r="L44" i="2"/>
  <c r="L46" i="2"/>
  <c r="L48" i="2"/>
  <c r="L54" i="2"/>
  <c r="M54" i="2" s="1"/>
  <c r="L61" i="2"/>
  <c r="J64" i="2"/>
  <c r="L65" i="2"/>
  <c r="L69" i="2"/>
  <c r="L70" i="2"/>
  <c r="J70" i="2"/>
  <c r="J93" i="2"/>
  <c r="I65" i="2"/>
  <c r="J65" i="2" s="1"/>
  <c r="J61" i="2"/>
  <c r="J69" i="2"/>
  <c r="I40" i="2"/>
  <c r="J40" i="2"/>
  <c r="I54" i="2"/>
  <c r="J54" i="2" s="1"/>
  <c r="J50" i="2"/>
  <c r="I48" i="2"/>
  <c r="J48" i="2"/>
  <c r="I46" i="2"/>
  <c r="J46" i="2"/>
  <c r="I44" i="2"/>
  <c r="J44" i="2"/>
  <c r="J42" i="2"/>
  <c r="J36" i="2"/>
  <c r="I32" i="2"/>
  <c r="J32" i="2"/>
  <c r="I28" i="2"/>
  <c r="J28" i="2"/>
  <c r="I26" i="2"/>
  <c r="I24" i="2"/>
  <c r="J24" i="2" s="1"/>
  <c r="I20" i="2"/>
  <c r="J20" i="2" s="1"/>
  <c r="I18" i="2"/>
  <c r="J18" i="2" s="1"/>
  <c r="I16" i="2"/>
  <c r="J16" i="2"/>
  <c r="M36" i="2"/>
  <c r="L93" i="2"/>
  <c r="L87" i="2"/>
  <c r="L104" i="2"/>
  <c r="L64" i="2"/>
  <c r="M64" i="2" s="1"/>
  <c r="L91" i="2"/>
  <c r="J91" i="2"/>
  <c r="L84" i="2"/>
  <c r="J84" i="2"/>
  <c r="J104" i="2"/>
  <c r="L56" i="2" l="1"/>
  <c r="K118" i="2"/>
  <c r="K56" i="2"/>
  <c r="M70" i="2"/>
  <c r="M61" i="2"/>
  <c r="F73" i="2"/>
  <c r="F122" i="2" s="1"/>
  <c r="M91" i="2"/>
  <c r="M42" i="2"/>
  <c r="F118" i="2"/>
  <c r="M93" i="2"/>
  <c r="M104" i="2"/>
  <c r="M87" i="2"/>
  <c r="M102" i="2"/>
  <c r="K73" i="2"/>
  <c r="M106" i="2"/>
  <c r="M69" i="2"/>
  <c r="L95" i="2"/>
  <c r="K95" i="2"/>
  <c r="M84" i="2"/>
  <c r="M56" i="2" l="1"/>
  <c r="M95" i="2"/>
  <c r="I29" i="6"/>
  <c r="I36" i="6" s="1"/>
  <c r="I39" i="6" s="1"/>
  <c r="I41" i="6" s="1"/>
  <c r="I42" i="6" s="1"/>
  <c r="I108" i="2"/>
  <c r="J108" i="2" s="1"/>
  <c r="L108" i="2"/>
  <c r="M108" i="2" l="1"/>
  <c r="M118" i="2" s="1"/>
  <c r="L118" i="2"/>
  <c r="L60" i="2"/>
  <c r="M60" i="2" s="1"/>
  <c r="I60" i="2"/>
  <c r="J60" i="2" s="1"/>
  <c r="L73" i="2" l="1"/>
  <c r="M73" i="2" l="1"/>
  <c r="L122" i="2"/>
  <c r="M122" i="2" l="1"/>
  <c r="J29" i="6"/>
  <c r="D18" i="12" l="1"/>
  <c r="E18" i="12"/>
  <c r="K29" i="6"/>
  <c r="J36" i="6"/>
  <c r="K36" i="6" s="1"/>
  <c r="K39" i="6" l="1"/>
  <c r="J39" i="6"/>
  <c r="J41" i="6" s="1"/>
  <c r="K41" i="6" s="1"/>
  <c r="J42" i="6" l="1"/>
  <c r="K42" i="6" s="1"/>
  <c r="K43" i="6" s="1"/>
  <c r="K4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I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`</t>
        </r>
      </text>
    </comment>
    <comment ref="K1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<sst xmlns="http://schemas.openxmlformats.org/spreadsheetml/2006/main" count="1917" uniqueCount="793">
  <si>
    <t xml:space="preserve"> </t>
  </si>
  <si>
    <t>Item</t>
  </si>
  <si>
    <t xml:space="preserve">ITEM DESCRIPTION </t>
  </si>
  <si>
    <t xml:space="preserve">SUBCONTRACT SUM </t>
  </si>
  <si>
    <t>TWIC INVOICE</t>
  </si>
  <si>
    <t>TOTAL QUANTITY</t>
  </si>
  <si>
    <t>work
done 
(%)</t>
  </si>
  <si>
    <t>AMOUNT (AED)</t>
  </si>
  <si>
    <t>BOQ QTY</t>
  </si>
  <si>
    <t>Unit</t>
  </si>
  <si>
    <t>Cost Rate (AED)</t>
  </si>
  <si>
    <t>Amount (AED)</t>
  </si>
  <si>
    <t>Previous</t>
  </si>
  <si>
    <t xml:space="preserve">Total </t>
  </si>
  <si>
    <t>Total</t>
  </si>
  <si>
    <t xml:space="preserve">EPOXY, RESIN AND DUST SEALER FLOORING 
SYSTEM </t>
  </si>
  <si>
    <t>M²</t>
  </si>
  <si>
    <t>Skirting</t>
  </si>
  <si>
    <t xml:space="preserve">Anti Static Epoxy Skirting, in Electrical rooms (PA06) </t>
  </si>
  <si>
    <t>Mtr.</t>
  </si>
  <si>
    <t>EPOXY, RESIN AND DUST SEALER FLOORING 
SYSTEM   (CONT'D)</t>
  </si>
  <si>
    <t>GROUND LEVEL TO ROOF LEVEL</t>
  </si>
  <si>
    <t>2A</t>
  </si>
  <si>
    <t>2B</t>
  </si>
  <si>
    <t>2C</t>
  </si>
  <si>
    <t>D</t>
  </si>
  <si>
    <t>2D</t>
  </si>
  <si>
    <t>2E</t>
  </si>
  <si>
    <t>2F</t>
  </si>
  <si>
    <t>EPOXY, RESIN AND DUST SEALER FLOORING (CONT'D)</t>
  </si>
  <si>
    <t xml:space="preserve">Staircase Finishes </t>
  </si>
  <si>
    <t>3A</t>
  </si>
  <si>
    <t xml:space="preserve">Car Parking Finishes </t>
  </si>
  <si>
    <t>3B</t>
  </si>
  <si>
    <t xml:space="preserve">Car Park Markings </t>
  </si>
  <si>
    <t>3C</t>
  </si>
  <si>
    <t>3D</t>
  </si>
  <si>
    <t>Ditto, in single head directional arrows</t>
  </si>
  <si>
    <t>Nos</t>
  </si>
  <si>
    <t>3E</t>
  </si>
  <si>
    <t xml:space="preserve">Ditto, in double head directional arrows </t>
  </si>
  <si>
    <t>3F</t>
  </si>
  <si>
    <t>3G</t>
  </si>
  <si>
    <t xml:space="preserve">Ditto, in handicap sign to floor </t>
  </si>
  <si>
    <t>3H</t>
  </si>
  <si>
    <t xml:space="preserve">Curb Paint </t>
  </si>
  <si>
    <t>3J</t>
  </si>
  <si>
    <t xml:space="preserve">Curb paint (M60/182) </t>
  </si>
  <si>
    <t xml:space="preserve">RESIN FLOORING </t>
  </si>
  <si>
    <t>Anti Static Epoxy floor paint, in Electrical rooms (PA06)</t>
  </si>
  <si>
    <t>Dust sealer applied direct to power float concrete floor 
finish within all car park areas (PA.01)</t>
  </si>
  <si>
    <t xml:space="preserve">Hot applied Rommco thermosetting plastic traffic coating 
system in car parking lines to engineer and authority 
approval </t>
  </si>
  <si>
    <t xml:space="preserve">Ditto, in car park numbering comprising up to 3 digits 
painted on floors </t>
  </si>
  <si>
    <t xml:space="preserve">Ditto, in road marking stripe (buffer zones) 
Curb Paint </t>
  </si>
  <si>
    <t>Fondue Scope (KITCHEN AREAS)</t>
  </si>
  <si>
    <t>Total Amount for Original Scope of Works in AED</t>
  </si>
  <si>
    <t xml:space="preserve">Heavy duty solvent free Dust Sealer floor paint directly on 
concrete finish, in all Staircase (PA.03)                                                        </t>
  </si>
  <si>
    <t xml:space="preserve">Heavy duty solvent free Dust Sealer floor paint directly on 
concrete finish, in Plant rooms &amp; Store (PA03)                                                      </t>
  </si>
  <si>
    <t xml:space="preserve">Heavy duty solvent free Dust Sealer Skirting, in Plant 
rooms &amp; Store (PA03)                                                                                    </t>
  </si>
  <si>
    <t xml:space="preserve">Heavy duty solvent free Dust Sealer floor paint directly on 
concrete finish, in IT/Telecom rooms (PA03)                                                 </t>
  </si>
  <si>
    <t>6B</t>
  </si>
  <si>
    <t>7A</t>
  </si>
  <si>
    <t>6D</t>
  </si>
  <si>
    <t>Combined Total Amount in AED</t>
  </si>
  <si>
    <t>1 COAT</t>
  </si>
  <si>
    <t>B2 TO ROOF LEVEL</t>
  </si>
  <si>
    <t>ONE COAT</t>
  </si>
  <si>
    <t>RETOUCH</t>
  </si>
  <si>
    <t>Current</t>
  </si>
  <si>
    <t xml:space="preserve">For:   TWIC INSULATION MATERIALS SUPPLY LLC </t>
  </si>
  <si>
    <t>IBAN : AE81 0400 0002 4296 2063 001</t>
  </si>
  <si>
    <t>Swift Address: NRAKAEAK</t>
  </si>
  <si>
    <t>Account No. 0024 529591 001</t>
  </si>
  <si>
    <t>Account Currency :AED</t>
  </si>
  <si>
    <t>Bank address : MAKTOUM STREET, DUBAI</t>
  </si>
  <si>
    <t>Bank Name : RAKBANK</t>
  </si>
  <si>
    <t>Bank Transfer to:</t>
  </si>
  <si>
    <t>TWIC INSULATION MATERIALS SUPPLY LLC</t>
  </si>
  <si>
    <t>Cheque Payable to:</t>
  </si>
  <si>
    <t>Email : projects@triconconstruction.ae / twic@eim.ae</t>
  </si>
  <si>
    <t>PO BOX 20496, Dubai , United Arab Emirates, Phone : +971-4-5807877</t>
  </si>
  <si>
    <t>TWIC Insulation Materials Supply LLC</t>
  </si>
  <si>
    <t>Total Payable (AED) Inclusive of VAT</t>
  </si>
  <si>
    <t>Total Previously released</t>
  </si>
  <si>
    <t>Payment Due (Incl. VAT)</t>
  </si>
  <si>
    <t>Rate</t>
  </si>
  <si>
    <t>VAT Amount</t>
  </si>
  <si>
    <t>Net Certified (Excl. VAT)</t>
  </si>
  <si>
    <t xml:space="preserve">Less : Retention </t>
  </si>
  <si>
    <t>Total (Net of Advances Recovery)</t>
  </si>
  <si>
    <t>Less: Advance Recovery</t>
  </si>
  <si>
    <t>Work Done To Date (A)</t>
  </si>
  <si>
    <t>Value of Work Done - Dorchester Hotel &amp; Residences at Plot 18</t>
  </si>
  <si>
    <t>Total Claimed AED</t>
  </si>
  <si>
    <t>Certified Previous AED</t>
  </si>
  <si>
    <t>Contract Amount</t>
  </si>
  <si>
    <t>Particulars</t>
  </si>
  <si>
    <t>Epoxy Resin and Dust Sealer</t>
  </si>
  <si>
    <t>Nature of Work</t>
  </si>
  <si>
    <t>'100315259000003</t>
  </si>
  <si>
    <t>TWIC  VAT TRN</t>
  </si>
  <si>
    <t>100240059400003</t>
  </si>
  <si>
    <t>CLIENT (KCE) VAT TRN</t>
  </si>
  <si>
    <t xml:space="preserve">        '100240059400003</t>
  </si>
  <si>
    <t xml:space="preserve">VAT TRN </t>
  </si>
  <si>
    <t>LOI 201A22002/SW/ARM/163</t>
  </si>
  <si>
    <t xml:space="preserve">Contract </t>
  </si>
  <si>
    <t>Phone : +9714-6057200</t>
  </si>
  <si>
    <t>Valuation Month</t>
  </si>
  <si>
    <t>UNITED ARAB EMIRATES</t>
  </si>
  <si>
    <t>Certificate  #</t>
  </si>
  <si>
    <t xml:space="preserve">P.O. BOX 2716, Dubai </t>
  </si>
  <si>
    <t>Due Date</t>
  </si>
  <si>
    <t>AL RASHIDIYA</t>
  </si>
  <si>
    <t xml:space="preserve">Invoice Date </t>
  </si>
  <si>
    <t>M/s KHANSAHEB CIVIL ENGINEERING L.L.C.</t>
  </si>
  <si>
    <t>Invoice #</t>
  </si>
  <si>
    <t>To,</t>
  </si>
  <si>
    <t>PROGRESS CLAIM - PROFORMA INVOICE</t>
  </si>
  <si>
    <t>M/s TWIC INSULATION MATERIALS SUPPLY LLC</t>
  </si>
  <si>
    <t>INSULATION MATERIALS SUPPLY</t>
  </si>
  <si>
    <t>TWIC</t>
  </si>
  <si>
    <t>8C</t>
  </si>
  <si>
    <t>Supply and application of Nitocote HT120 epoxy floor coating to floor areas</t>
  </si>
  <si>
    <t>8E</t>
  </si>
  <si>
    <t>Supply and application of Nitocote HT120 skirting to 100mm high where Nitocote HT120 used at floor areas</t>
  </si>
  <si>
    <t>Total Amount for Kitchen related flooring Works in AED</t>
  </si>
  <si>
    <t xml:space="preserve">Subject                     :   EPOXY, RESIN AND DUST SEALER FLOORING SYSTEM </t>
  </si>
  <si>
    <t>Sub Contractor       :   TWIC INSULATION</t>
  </si>
  <si>
    <t>Main Contractor      :   KHANSAHEB</t>
  </si>
  <si>
    <t>PROJECT                 :   DORCHESTER PLOT BB.B03.018, BUSINESS BAY, DUBAI - UAE</t>
  </si>
  <si>
    <t>PROJECT BOQ SUMMARY SHEET</t>
  </si>
  <si>
    <t>8B</t>
  </si>
  <si>
    <t>8D</t>
  </si>
  <si>
    <t>ADDITIONAL WORKS:  EI 11 K129 SK dm 204 from 201A22002 Kitchen Scope Floor Finishes</t>
  </si>
  <si>
    <t>LS</t>
  </si>
  <si>
    <t>Historical debts from Roberts JV as agreed with OMNIYAT</t>
  </si>
  <si>
    <r>
      <t xml:space="preserve">Supply and application of Mastertop 1205 epoxy floor coating at Plant rooms &amp; Store
</t>
    </r>
    <r>
      <rPr>
        <sz val="12"/>
        <color rgb="FFFF0000"/>
        <rFont val="Arial"/>
        <family val="2"/>
      </rPr>
      <t>Based on SI-000243</t>
    </r>
  </si>
  <si>
    <r>
      <t xml:space="preserve">Supply and application of Mastertop 1205 epoxy floor coating to concrete finish, in all Staircase                                                        </t>
    </r>
    <r>
      <rPr>
        <sz val="12"/>
        <color rgb="FFFF0000"/>
        <rFont val="Arial"/>
        <family val="2"/>
      </rPr>
      <t>Based on SI-000145</t>
    </r>
  </si>
  <si>
    <r>
      <t>Fully sealed, seamless self - levelling resin system; 
including 100mm seamless cove to all surrounding wall 
faces.</t>
    </r>
    <r>
      <rPr>
        <sz val="12"/>
        <color rgb="FFFF0000"/>
        <rFont val="Arial"/>
        <family val="2"/>
      </rPr>
      <t xml:space="preserve"> (UCRETE MF 4MM THICK)</t>
    </r>
  </si>
  <si>
    <r>
      <t xml:space="preserve">Supply and application of 100mm high skirting at areas where Ucrete flooring is applied at floor areas </t>
    </r>
    <r>
      <rPr>
        <sz val="12"/>
        <color rgb="FFFF0000"/>
        <rFont val="Arial"/>
        <family val="2"/>
      </rPr>
      <t>(UCRETE RG 4MM THICK)</t>
    </r>
  </si>
  <si>
    <t xml:space="preserve">Heavy duty solvent free Dust Sealer Skirting, in IT/Telecom rooms (PA03)                                                                                              </t>
  </si>
  <si>
    <t>Total Amount for Carpark Traffic Coating Works in AED</t>
  </si>
  <si>
    <t xml:space="preserve">ADDITIONAL WORKS:  E11-K129-SK-AK-575 - Carpark Traffic Deck Coating &amp; Floor Marking </t>
  </si>
  <si>
    <t>Carpark Traffic Coating &amp; Floor Marking</t>
  </si>
  <si>
    <t xml:space="preserve">Carpark floor grinding &amp; filling works </t>
  </si>
  <si>
    <t>Levelling works using heavy duty grinder and partial filling to remove undulations and provides mooth level surface</t>
  </si>
  <si>
    <t>Internal Driveways: Supply &amp; Application of Flowcoat SF150 Epoxy colour RAL 7042 Rough to driveways</t>
  </si>
  <si>
    <t>Internal Parking Bays: Supply &amp; Application of Flowcoat SF150 Epoxy colour RAL 7012 Rough to parking bays</t>
  </si>
  <si>
    <t>Internal Ramps: Supply &amp; Application of Flowcoat SF150 Epoxy colour RAL 7042 Rough to internal ramps</t>
  </si>
  <si>
    <t>Exposed ramps: Supply &amp; Application of DECKSHIELD ED Polyurethane colour RAL 7042 Rough to external / exposed to sunlight ramps</t>
  </si>
  <si>
    <t>Supply and application of Parking space line marking &amp; numbering, driveway arrows, hatching, all in white colour</t>
  </si>
  <si>
    <t>9A</t>
  </si>
  <si>
    <t>9B</t>
  </si>
  <si>
    <t>9C</t>
  </si>
  <si>
    <t>9D</t>
  </si>
  <si>
    <t>9E</t>
  </si>
  <si>
    <t>9F</t>
  </si>
  <si>
    <t>9G</t>
  </si>
  <si>
    <t>PERIOD                    :  FEBRUARY 2023</t>
  </si>
  <si>
    <t>Claimed Current AED       (February 2023)</t>
  </si>
  <si>
    <t>PROJECT NAME:- Plot 18 by Dorchester Collection plot 3466829 Dubai, UAE</t>
  </si>
  <si>
    <t>Head Contractor : Khansaheb Civil Engineering LLC</t>
  </si>
  <si>
    <t>Sub Contractor : TWIC Insulation</t>
  </si>
  <si>
    <t>Scope : CARPARK TRAFFIC DECK COATING &amp; FLOOR MARKING CALCULATION - FEBRUARY 2023</t>
  </si>
  <si>
    <t xml:space="preserve"> BASEMENT LEVEL CARPARK TRAFFIC DECK COATING &amp; FLOOR MARKING CALCULATION - FEBRUARY 2023</t>
  </si>
  <si>
    <t>Qty</t>
  </si>
  <si>
    <t>SI</t>
  </si>
  <si>
    <t>GRID LINE</t>
  </si>
  <si>
    <t xml:space="preserve">LEVEL </t>
  </si>
  <si>
    <t xml:space="preserve"> NAME </t>
  </si>
  <si>
    <t>AREA (MM2)</t>
  </si>
  <si>
    <t>SKIRTING  (MM)</t>
  </si>
  <si>
    <t>AREA (M²)</t>
  </si>
  <si>
    <t>15-18/A-T+</t>
  </si>
  <si>
    <t>B2</t>
  </si>
  <si>
    <t xml:space="preserve">FLOWCOAT SF150 ROUGH RAL 7042 DRIVEWAYS 
</t>
  </si>
  <si>
    <t xml:space="preserve">FLOWCOAT SF150 ROUGH RAL 7012 CARPARK BAYS
</t>
  </si>
  <si>
    <t>HATCHING</t>
  </si>
  <si>
    <t>Lumpsum</t>
  </si>
  <si>
    <t>DECKSHIELD LINEMARKER (CARPARK BAYS)</t>
  </si>
  <si>
    <t>18-21/U-Z+</t>
  </si>
  <si>
    <t>20-24/A-Z</t>
  </si>
  <si>
    <t>FLOWCOAT SF150 ROUGH RAL 7042 OUTSIDE DRIVEAYS AT HATCHING AREAS</t>
  </si>
  <si>
    <t>FEBRUARY 2023 - TOTAL QUANTITY CARPARK TRAFFIC DECK COATING &amp; FLOOR MARKING - BASEMENT LEVEL</t>
  </si>
  <si>
    <t>PROJECT NAME: Dorchester Collection,  Plot BB. B03.018, Dubai</t>
  </si>
  <si>
    <t>S/L</t>
  </si>
  <si>
    <t>SUBCONTRACT QUANTITY</t>
  </si>
  <si>
    <t>TWIC PROGRESS CLAIM</t>
  </si>
  <si>
    <t>QUANTITY</t>
  </si>
  <si>
    <t>QTY</t>
  </si>
  <si>
    <t xml:space="preserve">Previous </t>
  </si>
  <si>
    <t>Cumulative Total</t>
  </si>
  <si>
    <t>m²</t>
  </si>
  <si>
    <t>Scope : E11-K129-SK-AK-575 - Carpark Traffic Deck Coating &amp; Floor Marking (Febuary 2023)</t>
  </si>
  <si>
    <t>ALL LEVELS BOH KITCHEN FLOORING - UCRETE MF &amp; RG SKIRTING</t>
  </si>
  <si>
    <t>4mm thick UCRETE MF at BOH kitchen areas</t>
  </si>
  <si>
    <t xml:space="preserve">4mm thick UCRETE RG skirting </t>
  </si>
  <si>
    <t>PREVIOUSLY COMPLETED</t>
  </si>
  <si>
    <t>Dec. 2022</t>
  </si>
  <si>
    <t>Jan. 2023</t>
  </si>
  <si>
    <t>CUMULATIVE COMPLETION</t>
  </si>
  <si>
    <t>SI.</t>
  </si>
  <si>
    <t xml:space="preserve">ROOM </t>
  </si>
  <si>
    <t xml:space="preserve">NAME </t>
  </si>
  <si>
    <t>AREA</t>
  </si>
  <si>
    <t xml:space="preserve">SKIRTING </t>
  </si>
  <si>
    <t>P-B2-048</t>
  </si>
  <si>
    <t>LAUNDRY COLLECTION</t>
  </si>
  <si>
    <t>B1</t>
  </si>
  <si>
    <t>18-24/S-T</t>
  </si>
  <si>
    <t>CORRIDOR NEAR FOOD PREPARATION</t>
  </si>
  <si>
    <t>17-24/U-V</t>
  </si>
  <si>
    <t>CORRIDOR NEAR LIFT CORE</t>
  </si>
  <si>
    <t>18-19/Q-T</t>
  </si>
  <si>
    <t>CORRIDOR NEAR RAW WASH ROOM</t>
  </si>
  <si>
    <t>22-23/Q-V</t>
  </si>
  <si>
    <t>CORRIDOR NEAR EXEC. CHEF OFFICE</t>
  </si>
  <si>
    <t>23-24/U-T</t>
  </si>
  <si>
    <t>PANTRY ROOM NEAR STAFF DINNING</t>
  </si>
  <si>
    <t>P-B1-064</t>
  </si>
  <si>
    <t>HOUSEKEEPING &amp; GUEST VALET</t>
  </si>
  <si>
    <t>P-B1-075</t>
  </si>
  <si>
    <t>STORE CONTROL OFFICE</t>
  </si>
  <si>
    <t>P-B1-077</t>
  </si>
  <si>
    <t>UNIFORM DISTRIBUTION</t>
  </si>
  <si>
    <t>P-B1-089</t>
  </si>
  <si>
    <t>ROOM SERVICE SUPPORT AREA</t>
  </si>
  <si>
    <t>P-B1-091</t>
  </si>
  <si>
    <t>WASTE ROUTE</t>
  </si>
  <si>
    <t>P-B1-092</t>
  </si>
  <si>
    <t>BOH Store</t>
  </si>
  <si>
    <t>P-B1-095</t>
  </si>
  <si>
    <t>HOUSEKEEPING LOBBY</t>
  </si>
  <si>
    <t>P-B1-117</t>
  </si>
  <si>
    <t>BIN STORE</t>
  </si>
  <si>
    <t>P-B1-144</t>
  </si>
  <si>
    <t>COMPRESSOR &amp; LOCAL STEAM BOILER</t>
  </si>
  <si>
    <t>P-03-055</t>
  </si>
  <si>
    <t>FLOWER ROOM</t>
  </si>
  <si>
    <t>G</t>
  </si>
  <si>
    <t>P-GF-043</t>
  </si>
  <si>
    <t>P-GF-053</t>
  </si>
  <si>
    <t>HOUSE KEEPING LOBBY</t>
  </si>
  <si>
    <t>P-GF-058</t>
  </si>
  <si>
    <t>BOH STORE</t>
  </si>
  <si>
    <t>NEAR FOOD STORAGE ROOM</t>
  </si>
  <si>
    <t>L1</t>
  </si>
  <si>
    <t>P-01-004</t>
  </si>
  <si>
    <t>P-01-020</t>
  </si>
  <si>
    <t>L2</t>
  </si>
  <si>
    <t>P-02-015</t>
  </si>
  <si>
    <t>P-02-040</t>
  </si>
  <si>
    <t>P-02-041</t>
  </si>
  <si>
    <t>P-02-098</t>
  </si>
  <si>
    <t>BOH CORRIDOR</t>
  </si>
  <si>
    <t>L3</t>
  </si>
  <si>
    <t>P-03-025</t>
  </si>
  <si>
    <t xml:space="preserve"> STORAGE SUPPORT ROOM</t>
  </si>
  <si>
    <t>L4</t>
  </si>
  <si>
    <t>P-04-004</t>
  </si>
  <si>
    <t>P-04-018</t>
  </si>
  <si>
    <t>L5</t>
  </si>
  <si>
    <t>HOUSE KEEPING LOBBY &amp; LINEN ROOM</t>
  </si>
  <si>
    <t>L6</t>
  </si>
  <si>
    <t>L7</t>
  </si>
  <si>
    <t>JANITOR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</si>
  <si>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</si>
  <si>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</si>
  <si>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</si>
  <si>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</si>
  <si>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</si>
  <si>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</si>
  <si>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</si>
  <si>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</si>
  <si>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</si>
  <si>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</si>
  <si>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</si>
  <si>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</si>
  <si>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</si>
  <si>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</si>
  <si>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</si>
  <si>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</si>
  <si>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</si>
  <si>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</si>
  <si>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</si>
  <si>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</si>
  <si>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</si>
  <si>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 xml:space="preserve">TOTAL QUANTITY UCRETE FLOORING </t>
  </si>
  <si>
    <r>
      <t xml:space="preserve">Scope : UCRETE MF - FONDUE BOH Kitchen  flooring system </t>
    </r>
    <r>
      <rPr>
        <b/>
        <sz val="12"/>
        <rFont val="Calibri"/>
        <family val="2"/>
        <scheme val="minor"/>
      </rPr>
      <t>(February 2023)</t>
    </r>
  </si>
  <si>
    <t>Scope : EPOXY FLOOR COATING - FEBRUARY 2023</t>
  </si>
  <si>
    <t>Sn. No.</t>
  </si>
  <si>
    <t xml:space="preserve">Level </t>
  </si>
  <si>
    <t>Stair No.</t>
  </si>
  <si>
    <t>FEBRUARY 2023 - Quantity</t>
  </si>
  <si>
    <t>TOTAL QUANTITY (m²)</t>
  </si>
  <si>
    <t>RISER  AREA</t>
  </si>
  <si>
    <t>TREAD AREA</t>
  </si>
  <si>
    <t>LANDING
HORIZONTAL AREA (m²)</t>
  </si>
  <si>
    <t>GROUND</t>
  </si>
  <si>
    <t>STAIR 2</t>
  </si>
  <si>
    <t>second coat</t>
  </si>
  <si>
    <t>LEVEL 1</t>
  </si>
  <si>
    <t>LEVEL 2</t>
  </si>
  <si>
    <t>LEVEL 3</t>
  </si>
  <si>
    <t>LEVEL 4</t>
  </si>
  <si>
    <t>LEVEL 7</t>
  </si>
  <si>
    <t xml:space="preserve">STAIR 3 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</si>
  <si>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</si>
  <si>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</si>
  <si>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</si>
  <si>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</si>
  <si>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</si>
  <si>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</si>
  <si>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</si>
  <si>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</si>
  <si>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</si>
  <si>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</si>
  <si>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</si>
  <si>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</si>
  <si>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</si>
  <si>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LEVEL 21</t>
  </si>
  <si>
    <t>LEVEL 22</t>
  </si>
  <si>
    <t>LEVEL 23</t>
  </si>
  <si>
    <t>LEVEL 24</t>
  </si>
  <si>
    <t>FEBRUARY 2023  - Total Quantity - Mastertop 1205 Epoxy floor coating at Staircases</t>
  </si>
  <si>
    <t>FINAL COAT TOTAL (i.e. second coat)</t>
  </si>
  <si>
    <t>PROJECT NAME: DORCHESTER COLLECTION AT Plot 18, Plot BB. B03.018, Dubai</t>
  </si>
  <si>
    <t>Head Contractor : KHANSAHEB CIVIL ENGINEERING</t>
  </si>
  <si>
    <t>Sub Contractor : TWIC INSULATION</t>
  </si>
  <si>
    <t>FINAL COAT DONE UNDER KCE</t>
  </si>
  <si>
    <t>Scope : EPOXY FLOOR COATING AT BOH ROOMS</t>
  </si>
  <si>
    <t xml:space="preserve">HOTEL EPOXY FLOOR COATING TO BOH ROOMS </t>
  </si>
  <si>
    <t xml:space="preserve">TOTAL </t>
  </si>
  <si>
    <t xml:space="preserve">PREVIOUSLY COMPLETED </t>
  </si>
  <si>
    <t xml:space="preserve"> FEB. 2023                      Current month</t>
  </si>
  <si>
    <t>AREA (m2)</t>
  </si>
  <si>
    <t>SKIRTING (m)</t>
  </si>
  <si>
    <t>P-B2-032</t>
  </si>
  <si>
    <t>STAIR-1 CORRIDOR</t>
  </si>
  <si>
    <t>P-B1-007</t>
  </si>
  <si>
    <t xml:space="preserve">GREASE TRAP </t>
  </si>
  <si>
    <t>P-B1-008</t>
  </si>
  <si>
    <t>LIFT LOBBY</t>
  </si>
  <si>
    <t>P-B1-010</t>
  </si>
  <si>
    <t>CEFROOM 5</t>
  </si>
  <si>
    <t>P-B1-012</t>
  </si>
  <si>
    <t xml:space="preserve">FRESH AIR PLENUM </t>
  </si>
  <si>
    <t>P-B1-013</t>
  </si>
  <si>
    <t>WATER FILTRATION PUMP ROOM</t>
  </si>
  <si>
    <t>P-B1-011</t>
  </si>
  <si>
    <t>VENTILATION SHAFT</t>
  </si>
  <si>
    <t>P-B1-088</t>
  </si>
  <si>
    <t xml:space="preserve">FF LOBBY </t>
  </si>
  <si>
    <t>P-B1-090</t>
  </si>
  <si>
    <t>MECH ROOM</t>
  </si>
  <si>
    <t>P-B1-093</t>
  </si>
  <si>
    <t>ELECTRICAL ROOM</t>
  </si>
  <si>
    <t>P-B1-094</t>
  </si>
  <si>
    <t>FTR</t>
  </si>
  <si>
    <t>LOADING BAY</t>
  </si>
  <si>
    <t>P-B1-098</t>
  </si>
  <si>
    <t>GENERATOR ROOM</t>
  </si>
  <si>
    <t>P-B1-099</t>
  </si>
  <si>
    <t xml:space="preserve">EA PLENUM ROOM </t>
  </si>
  <si>
    <t>P-B1-100</t>
  </si>
  <si>
    <t>FAN PUMP ROOM</t>
  </si>
  <si>
    <t>P-B1-101</t>
  </si>
  <si>
    <t>FUEL TANK</t>
  </si>
  <si>
    <t>P-B1-104</t>
  </si>
  <si>
    <t>BOILER ROOM</t>
  </si>
  <si>
    <t>P-B1-106</t>
  </si>
  <si>
    <t xml:space="preserve">CEF ROOM 6 </t>
  </si>
  <si>
    <t>P-B1-110</t>
  </si>
  <si>
    <t>PUMB ROOM  W.F</t>
  </si>
  <si>
    <t>P-B1-113</t>
  </si>
  <si>
    <t>IRRIGATION TANK &amp; PUMP ROOM</t>
  </si>
  <si>
    <t>P-B1-115</t>
  </si>
  <si>
    <t>CEF ROOM 4</t>
  </si>
  <si>
    <t>P-B1-116</t>
  </si>
  <si>
    <t>EA PLENUM ROOM 3</t>
  </si>
  <si>
    <t>P-B1-120</t>
  </si>
  <si>
    <t>WM</t>
  </si>
  <si>
    <t>P-B1-123</t>
  </si>
  <si>
    <t>P-B1-135</t>
  </si>
  <si>
    <t>P-B1-138</t>
  </si>
  <si>
    <t>P-B1-143</t>
  </si>
  <si>
    <t>BALANCING TANK</t>
  </si>
  <si>
    <t>STAIR  2 CORRIDOR AND RAMP</t>
  </si>
  <si>
    <t>RECYCLING  CORRIDOR AND RAMP</t>
  </si>
  <si>
    <t>STAIR 5  CORRIDOR AND RAMP</t>
  </si>
  <si>
    <t>STAIR 6  CORRIDOR AND RAMP</t>
  </si>
  <si>
    <t>FAN ROOM  CORRIDOR AND RAMP</t>
  </si>
  <si>
    <t>RECEVING RAMP</t>
  </si>
  <si>
    <t>WASTE ROUTE  CORRIDOR AND RAMP</t>
  </si>
  <si>
    <t>P-GF-001</t>
  </si>
  <si>
    <t>SECURITY &amp; EQUIPMENT ROOM</t>
  </si>
  <si>
    <t>P-GF-002</t>
  </si>
  <si>
    <t>CORRIDOR</t>
  </si>
  <si>
    <t>P-GF-003</t>
  </si>
  <si>
    <t>ETS ROOM</t>
  </si>
  <si>
    <t>P-GF-004</t>
  </si>
  <si>
    <t>BOH CIRCULATION</t>
  </si>
  <si>
    <t>P-GF-005</t>
  </si>
  <si>
    <t xml:space="preserve">ETS CONTROL </t>
  </si>
  <si>
    <t>P-GF-006</t>
  </si>
  <si>
    <t>PRESSURE</t>
  </si>
  <si>
    <t>P-GF-014</t>
  </si>
  <si>
    <t xml:space="preserve">WM ROOM </t>
  </si>
  <si>
    <t>P-GF-015</t>
  </si>
  <si>
    <t>FF LOBBY</t>
  </si>
  <si>
    <t>P-GF-017</t>
  </si>
  <si>
    <t>SERVICE CORR / HOUSEKEEPING LOBBY</t>
  </si>
  <si>
    <t>P-GF-018</t>
  </si>
  <si>
    <t>P-GF-021</t>
  </si>
  <si>
    <t>GSM / KITCHEN EXTRACT</t>
  </si>
  <si>
    <t>P-GF-022</t>
  </si>
  <si>
    <t>P-GF-037</t>
  </si>
  <si>
    <t>SUBSTATION</t>
  </si>
  <si>
    <t xml:space="preserve">P-GF-041 </t>
  </si>
  <si>
    <t>EGRESS CIRCULATION</t>
  </si>
  <si>
    <t>P-GF-042</t>
  </si>
  <si>
    <t>LV ROOM APARTMENT</t>
  </si>
  <si>
    <t>P-GF-054</t>
  </si>
  <si>
    <t>LV ROOM HOTEL</t>
  </si>
  <si>
    <t>P-GF-055</t>
  </si>
  <si>
    <t>P-GF-071</t>
  </si>
  <si>
    <t>BREECHING INLET</t>
  </si>
  <si>
    <t>P-GF-056</t>
  </si>
  <si>
    <t>FTR ROOM</t>
  </si>
  <si>
    <t>P-GF-057</t>
  </si>
  <si>
    <t>P-GF-072</t>
  </si>
  <si>
    <t>FIRE COMMAND CENTER</t>
  </si>
  <si>
    <t>P-GF-080</t>
  </si>
  <si>
    <t xml:space="preserve">FTR </t>
  </si>
  <si>
    <t>P-01-002</t>
  </si>
  <si>
    <t>PLANT</t>
  </si>
  <si>
    <t>P-01-003</t>
  </si>
  <si>
    <t>P-01-006</t>
  </si>
  <si>
    <t>P-01-010</t>
  </si>
  <si>
    <t>P-01-013</t>
  </si>
  <si>
    <t xml:space="preserve">PR CORRIDOR </t>
  </si>
  <si>
    <t>P-01-016</t>
  </si>
  <si>
    <t>DIMMER ROOM</t>
  </si>
  <si>
    <t>P-01-018</t>
  </si>
  <si>
    <t>PLANT ROOM</t>
  </si>
  <si>
    <t>P-01-021</t>
  </si>
  <si>
    <t>P-01-022</t>
  </si>
  <si>
    <t>P-01-024</t>
  </si>
  <si>
    <t>STORE</t>
  </si>
  <si>
    <t>P-02-004</t>
  </si>
  <si>
    <t>P-02-005</t>
  </si>
  <si>
    <t>WM ROOM</t>
  </si>
  <si>
    <t>P-02-006</t>
  </si>
  <si>
    <t>P-02-066</t>
  </si>
  <si>
    <t>TELECOM ROOM</t>
  </si>
  <si>
    <t>P-02-009</t>
  </si>
  <si>
    <t>P-02-013</t>
  </si>
  <si>
    <t>FF ROOM</t>
  </si>
  <si>
    <t>P-02-016</t>
  </si>
  <si>
    <t>P-02-039</t>
  </si>
  <si>
    <t>P-02-043</t>
  </si>
  <si>
    <t>P-02-027</t>
  </si>
  <si>
    <t>P-03-001</t>
  </si>
  <si>
    <t>MEP CORRIDOR</t>
  </si>
  <si>
    <t>P-03-002</t>
  </si>
  <si>
    <t>POOL PLANT</t>
  </si>
  <si>
    <t>P-03-006</t>
  </si>
  <si>
    <t>AHU FOR RETAIL / F&amp;B UNITS &amp; ADJACENT ROOM</t>
  </si>
  <si>
    <t>P-03-008</t>
  </si>
  <si>
    <t>P-03-009</t>
  </si>
  <si>
    <t>P-03-023</t>
  </si>
  <si>
    <t>P-03-024</t>
  </si>
  <si>
    <t>P-03-027</t>
  </si>
  <si>
    <t>PLANT SPACE</t>
  </si>
  <si>
    <t>P-03-028</t>
  </si>
  <si>
    <t>P-03-030</t>
  </si>
  <si>
    <t>MEP</t>
  </si>
  <si>
    <t>P-03-115</t>
  </si>
  <si>
    <t>P-04-003</t>
  </si>
  <si>
    <t>P-04-005</t>
  </si>
  <si>
    <t>P-04-007</t>
  </si>
  <si>
    <t>P-04-008</t>
  </si>
  <si>
    <t>P-04-011</t>
  </si>
  <si>
    <t>STO.</t>
  </si>
  <si>
    <t>P-04-016</t>
  </si>
  <si>
    <t>P-04-039</t>
  </si>
  <si>
    <t>P-05-007</t>
  </si>
  <si>
    <t>P-05-008</t>
  </si>
  <si>
    <t>P-05-001</t>
  </si>
  <si>
    <t>P-05-004</t>
  </si>
  <si>
    <t>P-05-011</t>
  </si>
  <si>
    <t>LIFT LOBBY (INSIDE RT CORE)</t>
  </si>
  <si>
    <t>P-05-002</t>
  </si>
  <si>
    <t>P-05-013</t>
  </si>
  <si>
    <t>P-05-019</t>
  </si>
  <si>
    <t>P-05-017</t>
  </si>
  <si>
    <t>SERVICE CORR.</t>
  </si>
  <si>
    <t>P-05-020</t>
  </si>
  <si>
    <t>H-08-003</t>
  </si>
  <si>
    <t>H-09-003</t>
  </si>
  <si>
    <t>H-10-003</t>
  </si>
  <si>
    <t>H-11-003</t>
  </si>
  <si>
    <t>H-12-003</t>
  </si>
  <si>
    <t>H-13-003</t>
  </si>
  <si>
    <t>H-14-003</t>
  </si>
  <si>
    <t>H-15-003</t>
  </si>
  <si>
    <t>H-16-003</t>
  </si>
  <si>
    <t>L17 (OME L18)</t>
  </si>
  <si>
    <t>H-17-001</t>
  </si>
  <si>
    <t>H-17-003</t>
  </si>
  <si>
    <t>H-17-007</t>
  </si>
  <si>
    <t>H-17-008</t>
  </si>
  <si>
    <t>H-17-021</t>
  </si>
  <si>
    <t xml:space="preserve">MEP PLANT ROOM </t>
  </si>
  <si>
    <t>H-17-025</t>
  </si>
  <si>
    <t>L18  (OME L19)</t>
  </si>
  <si>
    <t>H-18-001</t>
  </si>
  <si>
    <t>H-18-003</t>
  </si>
  <si>
    <t>H-18-004</t>
  </si>
  <si>
    <t>H-18-006</t>
  </si>
  <si>
    <t>H-18-007</t>
  </si>
  <si>
    <t>H-18-009</t>
  </si>
  <si>
    <t xml:space="preserve">CORRIDOR </t>
  </si>
  <si>
    <t>H-18-010</t>
  </si>
  <si>
    <t xml:space="preserve">AHU FOR F&amp;B HX ROOM </t>
  </si>
  <si>
    <t>H-18-011</t>
  </si>
  <si>
    <t xml:space="preserve">FIRE PUMP ROOM </t>
  </si>
  <si>
    <t>H-18-012</t>
  </si>
  <si>
    <t>FIRE PUMP TANK</t>
  </si>
  <si>
    <t>H-18-013</t>
  </si>
  <si>
    <t>H-18-014</t>
  </si>
  <si>
    <t>AUH ROOM-BAR</t>
  </si>
  <si>
    <t>H-19-003</t>
  </si>
  <si>
    <t>H-19-001</t>
  </si>
  <si>
    <t>H-19-007</t>
  </si>
  <si>
    <t>H-19-006</t>
  </si>
  <si>
    <t>H-20-001</t>
  </si>
  <si>
    <t>H-20-003</t>
  </si>
  <si>
    <t>H-20-007</t>
  </si>
  <si>
    <t>H-20-006</t>
  </si>
  <si>
    <t>H-21-001</t>
  </si>
  <si>
    <t>H-21-003</t>
  </si>
  <si>
    <t>H-21-007</t>
  </si>
  <si>
    <t>H-21-006</t>
  </si>
  <si>
    <t>H-22-001</t>
  </si>
  <si>
    <t>H-22-003</t>
  </si>
  <si>
    <t>H-22-007</t>
  </si>
  <si>
    <t>H-22-006</t>
  </si>
  <si>
    <t>H-23-003</t>
  </si>
  <si>
    <t>H-23-001</t>
  </si>
  <si>
    <t>H-23-007</t>
  </si>
  <si>
    <t>H-23-006</t>
  </si>
  <si>
    <t>H-24-003</t>
  </si>
  <si>
    <t>H-24-001</t>
  </si>
  <si>
    <t>H-24-007</t>
  </si>
  <si>
    <t>H-24-006</t>
  </si>
  <si>
    <t>H-25-003</t>
  </si>
  <si>
    <t>H-25-001</t>
  </si>
  <si>
    <t>H-25-007</t>
  </si>
  <si>
    <t>H-25-006</t>
  </si>
  <si>
    <t>H-26-003</t>
  </si>
  <si>
    <t>H-26-001</t>
  </si>
  <si>
    <t>H-26-007</t>
  </si>
  <si>
    <t>H-26-006</t>
  </si>
  <si>
    <t>H-27-003</t>
  </si>
  <si>
    <t>H-27-001</t>
  </si>
  <si>
    <t>H-27-007</t>
  </si>
  <si>
    <t>H-27-006</t>
  </si>
  <si>
    <t>L28 (OME L29)</t>
  </si>
  <si>
    <t>H-29-003</t>
  </si>
  <si>
    <t>H-29-001</t>
  </si>
  <si>
    <t>H-29-006</t>
  </si>
  <si>
    <t>H-29-007</t>
  </si>
  <si>
    <t>H-29-011</t>
  </si>
  <si>
    <t>MECH PLANT FOR GYM&amp;SPA</t>
  </si>
  <si>
    <t>H-29-012</t>
  </si>
  <si>
    <t xml:space="preserve">POOL PLANT </t>
  </si>
  <si>
    <t>H-29-039</t>
  </si>
  <si>
    <t>ESCAPE CORRIDOR (STAIR 6 -CORRIDOR )</t>
  </si>
  <si>
    <t>STAIR 8 - CORRIDOR</t>
  </si>
  <si>
    <t>H-29-040</t>
  </si>
  <si>
    <t xml:space="preserve">GSM </t>
  </si>
  <si>
    <t>H-29-041</t>
  </si>
  <si>
    <t>L 29 (OME L30)</t>
  </si>
  <si>
    <t>H-30-001</t>
  </si>
  <si>
    <t>H-30-006</t>
  </si>
  <si>
    <t>LIFT LOBBY (NEAR LIFT 16)</t>
  </si>
  <si>
    <t>H-30-013</t>
  </si>
  <si>
    <t>L 30 (OME L31)</t>
  </si>
  <si>
    <t>H-31-001</t>
  </si>
  <si>
    <t>MEP ROOF PLANT</t>
  </si>
  <si>
    <t>L 31(OME L32)</t>
  </si>
  <si>
    <t>H-32-001</t>
  </si>
  <si>
    <t xml:space="preserve">LIFT MACHINE ROOM </t>
  </si>
  <si>
    <t>H-32-002</t>
  </si>
  <si>
    <t>H-32-003</t>
  </si>
  <si>
    <t>L31(OME L32)</t>
  </si>
  <si>
    <t>HOTEL EPOXY FLOOR COATING TO BOH ROOMS</t>
  </si>
  <si>
    <t>RESIDENCE SERVICED APARTMENTS  EPOXY FLOOR COATING TO BOH ROOMS</t>
  </si>
  <si>
    <t>TOTAL</t>
  </si>
  <si>
    <t>SKIRTING  (M)</t>
  </si>
  <si>
    <t>L 6</t>
  </si>
  <si>
    <t>R-06-002</t>
  </si>
  <si>
    <t>R-06-007</t>
  </si>
  <si>
    <t>R-06-008</t>
  </si>
  <si>
    <t xml:space="preserve">HOUSE KEEPING LOBBY </t>
  </si>
  <si>
    <t>R-06-013</t>
  </si>
  <si>
    <t>EMPOWER METER</t>
  </si>
  <si>
    <t>L 7</t>
  </si>
  <si>
    <t>R-07-002</t>
  </si>
  <si>
    <t>R-07-013</t>
  </si>
  <si>
    <t>L 8</t>
  </si>
  <si>
    <t>R-08-002</t>
  </si>
  <si>
    <t>R-08-013</t>
  </si>
  <si>
    <t>L 9</t>
  </si>
  <si>
    <t>R-09-002</t>
  </si>
  <si>
    <t>R-09-013</t>
  </si>
  <si>
    <t>L 10</t>
  </si>
  <si>
    <t>R-10-002</t>
  </si>
  <si>
    <t>R-10-013</t>
  </si>
  <si>
    <t>R-10-014</t>
  </si>
  <si>
    <t>BMU EXTERNAL STORAGE</t>
  </si>
  <si>
    <t>L 11</t>
  </si>
  <si>
    <t>R-11-002</t>
  </si>
  <si>
    <t>R-11-013</t>
  </si>
  <si>
    <t>L 12</t>
  </si>
  <si>
    <t>R-12-002</t>
  </si>
  <si>
    <t>R-12-013</t>
  </si>
  <si>
    <t>L 13</t>
  </si>
  <si>
    <t>R-13-002</t>
  </si>
  <si>
    <t>R-13-013</t>
  </si>
  <si>
    <t>L 14</t>
  </si>
  <si>
    <t>R-14-002</t>
  </si>
  <si>
    <t>R-14-013</t>
  </si>
  <si>
    <t>L 15</t>
  </si>
  <si>
    <t>R-15-002</t>
  </si>
  <si>
    <t>R-15-013</t>
  </si>
  <si>
    <t>L 16</t>
  </si>
  <si>
    <t>R-16-002</t>
  </si>
  <si>
    <t>R-16-013</t>
  </si>
  <si>
    <t>L 17</t>
  </si>
  <si>
    <t>R-17-002</t>
  </si>
  <si>
    <t>R-17-013</t>
  </si>
  <si>
    <t>L 18</t>
  </si>
  <si>
    <t>R-18-002</t>
  </si>
  <si>
    <t>R-18-013</t>
  </si>
  <si>
    <t>L 19</t>
  </si>
  <si>
    <t>R-19-002</t>
  </si>
  <si>
    <t>R-19-013</t>
  </si>
  <si>
    <t>L 20</t>
  </si>
  <si>
    <t>R-20-002</t>
  </si>
  <si>
    <t>R-20-013</t>
  </si>
  <si>
    <t>L 21</t>
  </si>
  <si>
    <t>R-21-002</t>
  </si>
  <si>
    <t>R-21-013</t>
  </si>
  <si>
    <t>L 22</t>
  </si>
  <si>
    <t>R-22-002</t>
  </si>
  <si>
    <t>R-22-013</t>
  </si>
  <si>
    <t>L23(OME L24)</t>
  </si>
  <si>
    <t>R-23-001</t>
  </si>
  <si>
    <t>R-23-002</t>
  </si>
  <si>
    <t>R-23-008</t>
  </si>
  <si>
    <t>R-23-009</t>
  </si>
  <si>
    <t>R-23-010</t>
  </si>
  <si>
    <t>TELECOM</t>
  </si>
  <si>
    <t>R-23-015</t>
  </si>
  <si>
    <t xml:space="preserve">PLANT ROOM </t>
  </si>
  <si>
    <t>R-23-016</t>
  </si>
  <si>
    <t>R-23-034</t>
  </si>
  <si>
    <t>LIFT 27 CORRIDOR</t>
  </si>
  <si>
    <t>R-23-035</t>
  </si>
  <si>
    <t>BMU STORAGE</t>
  </si>
  <si>
    <t>R-24-001</t>
  </si>
  <si>
    <t>R-24-002</t>
  </si>
  <si>
    <t>R-24-008</t>
  </si>
  <si>
    <t>R-24-013</t>
  </si>
  <si>
    <t>R-25-001</t>
  </si>
  <si>
    <t>R-25-002</t>
  </si>
  <si>
    <t>R-25-008</t>
  </si>
  <si>
    <t>R-25-013</t>
  </si>
  <si>
    <t>R-26-001</t>
  </si>
  <si>
    <t>R-26-002</t>
  </si>
  <si>
    <t>R-26-010</t>
  </si>
  <si>
    <t>R-26-013</t>
  </si>
  <si>
    <t>R-27-001</t>
  </si>
  <si>
    <t>R-27-002</t>
  </si>
  <si>
    <t>R-27-008</t>
  </si>
  <si>
    <t>R-27-010</t>
  </si>
  <si>
    <t>R-27-013</t>
  </si>
  <si>
    <t>R-28-001</t>
  </si>
  <si>
    <t>R-28-002</t>
  </si>
  <si>
    <t>R-28-008</t>
  </si>
  <si>
    <t>R-28-010</t>
  </si>
  <si>
    <t>R-28-013</t>
  </si>
  <si>
    <t>L29</t>
  </si>
  <si>
    <t>R-29-001</t>
  </si>
  <si>
    <t>R-29-002</t>
  </si>
  <si>
    <t>R-29-008</t>
  </si>
  <si>
    <t>R-29-013</t>
  </si>
  <si>
    <t>L30(OME L31)</t>
  </si>
  <si>
    <t>R-31-002</t>
  </si>
  <si>
    <t>R-31-008</t>
  </si>
  <si>
    <t>R-31-013</t>
  </si>
  <si>
    <t>LIFT MACHINE ROOM</t>
  </si>
  <si>
    <t>R-31-015</t>
  </si>
  <si>
    <t>R-32-006</t>
  </si>
  <si>
    <t>FIRE EXIT LOBBY</t>
  </si>
  <si>
    <t>R-32-007</t>
  </si>
  <si>
    <t>R-32-008</t>
  </si>
  <si>
    <t xml:space="preserve">MEP  PLANT ROOM </t>
  </si>
  <si>
    <t>R-32-009</t>
  </si>
  <si>
    <t>R-32-012</t>
  </si>
  <si>
    <t>GSM</t>
  </si>
  <si>
    <t>R-32-013</t>
  </si>
  <si>
    <t>R-32-016</t>
  </si>
  <si>
    <t xml:space="preserve">MEP SERVICE CORRIDOR </t>
  </si>
  <si>
    <t>RESIDENCE SERVICED APARTMENTS TOTAL                                                               EPOXY FLOOR COATING TO BOH ROOMS</t>
  </si>
  <si>
    <t>COMBINED HOTEL &amp; RESIDENCE SERVICED APARTMENTS TOTAL                          EPOXY FLOOR COATING TO BOH ROOMS</t>
  </si>
  <si>
    <t>UAE Dirhams One Hundred Forty Two Thousand Four Hundred Twenty Three and Sixty Five fils</t>
  </si>
  <si>
    <t>No</t>
  </si>
  <si>
    <t>Description</t>
  </si>
  <si>
    <t>Previous Amount</t>
  </si>
  <si>
    <t>This Month Amount</t>
  </si>
  <si>
    <t>Cumulative Amount</t>
  </si>
  <si>
    <t>KCE Claim</t>
  </si>
  <si>
    <t>Difference</t>
  </si>
  <si>
    <t xml:space="preserve">     (Feb. 2023)</t>
  </si>
  <si>
    <t>CURRENT MONTH     (Mar. 2023)</t>
  </si>
  <si>
    <t>P-B1-021</t>
  </si>
  <si>
    <t>CEF PLENUM</t>
  </si>
  <si>
    <t>P-B1-059</t>
  </si>
  <si>
    <t>STAFF DINING ROOM</t>
  </si>
  <si>
    <t>P-05-010</t>
  </si>
  <si>
    <t>ODF ROOM</t>
  </si>
  <si>
    <t>R-31-001</t>
  </si>
  <si>
    <t>Supply and application of paint to wheelstoppers - Deckshield Linemarker in white colour</t>
  </si>
  <si>
    <t>No.</t>
  </si>
  <si>
    <t>Current           (March 2023)</t>
  </si>
  <si>
    <t>9-18/A-V</t>
  </si>
  <si>
    <t>4-9/A-F</t>
  </si>
  <si>
    <t>6-7/E-F</t>
  </si>
  <si>
    <t xml:space="preserve">FLOWCOAT SF150 GREEN COLOUR RAL 6024 CARPARK BAYS
</t>
  </si>
  <si>
    <t>15-18/U-Z</t>
  </si>
  <si>
    <t>13-15/V-Z</t>
  </si>
  <si>
    <t>10-11/F-K</t>
  </si>
  <si>
    <t>WHEEL STOPPER</t>
  </si>
  <si>
    <t>178 Nos</t>
  </si>
  <si>
    <t>STAIR 8</t>
  </si>
  <si>
    <t>TW-AX-WR-ML-00659</t>
  </si>
  <si>
    <t>TW-AX-WR-ML-00655</t>
  </si>
  <si>
    <t>TW-AX-WR-ML-00624</t>
  </si>
  <si>
    <t>LEVEL 25</t>
  </si>
  <si>
    <t>LEVEL 26</t>
  </si>
  <si>
    <t>LEVEL 27</t>
  </si>
  <si>
    <t>LEVEL 28</t>
  </si>
  <si>
    <t>LEVEL 29</t>
  </si>
  <si>
    <t>IR Not ready</t>
  </si>
  <si>
    <t>TW-AX-WR-B1-00630</t>
  </si>
  <si>
    <t>TW-AX-WR-GF-00671</t>
  </si>
  <si>
    <t>TW-AX-WR-GF-00627</t>
  </si>
  <si>
    <t>TW-AX-WR-GF-00609</t>
  </si>
  <si>
    <t>TW-AX-WR-GF-00670</t>
  </si>
  <si>
    <t>TW-AX-WR-L5-00539</t>
  </si>
  <si>
    <t>TW-AX-WR-L5-00647</t>
  </si>
  <si>
    <t>TW-AX-WR-L5-00618</t>
  </si>
  <si>
    <t>TW-AX-WR-ML-00626</t>
  </si>
  <si>
    <t>TW-AX-WR-ML-00660</t>
  </si>
  <si>
    <t>TW-AX-WR-ML-00636</t>
  </si>
  <si>
    <t>TW-AX-WR-L28-00653</t>
  </si>
  <si>
    <t>TW-AX-WR-L28-00649</t>
  </si>
  <si>
    <t>TW-AX-WR-L6-00600</t>
  </si>
  <si>
    <t>TW-AX-WR-L10-00683</t>
  </si>
  <si>
    <t>TW-AX-WR-L23-00651</t>
  </si>
  <si>
    <t>TW-AX-WR-L4-00553</t>
  </si>
  <si>
    <t>TW-AX-WR-ML-00662</t>
  </si>
  <si>
    <t>TW-AX-WR-ML-00533</t>
  </si>
  <si>
    <t>TW-AX-WR-B2-00664 &amp; TW-AX-WR-B2-00642 &amp; TW-AX-WR-B2-00639</t>
  </si>
  <si>
    <t>TW-AX-WR-B2-00644  &amp; TW-AX-WR-B2-00641</t>
  </si>
  <si>
    <t>TW-AX-WR-B2-00644 &amp; TW-AX-WR-B2-00641</t>
  </si>
  <si>
    <t>IR Attached</t>
  </si>
  <si>
    <t>9H</t>
  </si>
  <si>
    <t>Supply and application of DECKSHIELD Linemarker white paint to wheelstoppers</t>
  </si>
  <si>
    <t>Variation</t>
  </si>
  <si>
    <t>Historical debts from Roberts JV</t>
  </si>
  <si>
    <t>ADDITIONAL WORKS:  Kitchen Scope Floor Finishes</t>
  </si>
  <si>
    <t xml:space="preserve">ADDITIONAL WORKS:Carpark Traffic Deck Coating &amp; Floor Marking </t>
  </si>
  <si>
    <t>VARIATION ITEMS (Original Scope)</t>
  </si>
  <si>
    <t>Original Scope - Item 1</t>
  </si>
  <si>
    <t>Original Scope - Item 2</t>
  </si>
  <si>
    <t>SubTotal Amount for of Works in AED</t>
  </si>
  <si>
    <t>Total of Variations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</si>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</sst>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_(* #,##0_);_(* \(#,##0\);_(* &quot;-&quot;??_);_(@_)"/>
    <numFmt numFmtId="167" formatCode="_ * #,##0.00_ ;_ * \-#,##0.00_ ;_ * &quot;-&quot;??_ ;_ @_ "/>
    <numFmt numFmtId="168" formatCode="hh:mm\ \a\.m\./\p\.m\._)"/>
    <numFmt numFmtId="169" formatCode="_ &quot;\&quot;* #,##0_ ;_ &quot;\&quot;* \-#,##0_ ;_ &quot;\&quot;* &quot;-&quot;_ ;_ @_ "/>
    <numFmt numFmtId="170" formatCode="_ &quot;\&quot;* #,##0.00_ ;_ &quot;\&quot;* \-#,##0.00_ ;_ &quot;\&quot;* &quot;-&quot;??_ ;_ @_ "/>
    <numFmt numFmtId="171" formatCode="_ * #,##0_ ;_ * \-#,##0_ ;_ * &quot;-&quot;_ ;_ @_ "/>
    <numFmt numFmtId="172" formatCode="&quot;$&quot;#,##0"/>
    <numFmt numFmtId="173" formatCode="0%;\(0%\)"/>
    <numFmt numFmtId="174" formatCode="&quot;$&quot;#,##0;[Red]\-&quot;$&quot;#,##0"/>
    <numFmt numFmtId="175" formatCode="&quot;$&quot;#,##0.00;\-&quot;$&quot;#,##0.00"/>
    <numFmt numFmtId="176" formatCode="&quot;\&quot;#,##0.00;[Red]&quot;\&quot;&quot;\&quot;\-#,##0.00"/>
    <numFmt numFmtId="177" formatCode="d\-mmm\-yy\ h:mm\ AM/PM"/>
    <numFmt numFmtId="178" formatCode="_-* #,##0.0000_-;\-* #,##0.0000_-;_-* &quot;-&quot;??_-;_-@_-"/>
    <numFmt numFmtId="179" formatCode="&quot;$&quot;#,##0\ ;\(&quot;$&quot;#,##0\)"/>
    <numFmt numFmtId="180" formatCode="\t#\ ?/?"/>
    <numFmt numFmtId="181" formatCode="\t#,##0_);\(\t#,##0\)"/>
    <numFmt numFmtId="182" formatCode="\t0.00E+00"/>
    <numFmt numFmtId="183" formatCode="_-[$€]* #,##0.00_-;\-[$€]* #,##0.00_-;_-[$€]* &quot;-&quot;??_-;_-@_-"/>
    <numFmt numFmtId="184" formatCode="#."/>
    <numFmt numFmtId="185" formatCode="#,##0\ &quot;F&quot;;[Red]\-#,##0\ &quot;F&quot;"/>
    <numFmt numFmtId="186" formatCode="#,##0.00\ &quot;F&quot;;[Red]\-#,##0.00\ &quot;F&quot;"/>
    <numFmt numFmtId="187" formatCode="\$#,##0_);\(\$#,##0\)\ "/>
    <numFmt numFmtId="188" formatCode="&quot;$&quot;#,##0.00"/>
    <numFmt numFmtId="189" formatCode="0.0%"/>
    <numFmt numFmtId="190" formatCode="&quot;\&quot;#,##0.00;&quot;\&quot;&quot;\&quot;\-#,##0.00"/>
    <numFmt numFmtId="191" formatCode="_ &quot;\&quot;* #,##0_ ;_ &quot;\&quot;* &quot;\&quot;\-#,##0_ ;_ &quot;\&quot;* &quot;-&quot;_ ;_ @_ 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(&quot;$&quot;* #,##0_);_(&quot;$&quot;* \(#,##0\);_(&quot;$&quot;* &quot;-&quot;??_);_(@_)"/>
    <numFmt numFmtId="195" formatCode="&quot;\&quot;#,##0;&quot;\&quot;&quot;\&quot;&quot;\&quot;&quot;\&quot;\-#,##0"/>
    <numFmt numFmtId="196" formatCode="#,##0;[Red]&quot;-&quot;#,##0"/>
    <numFmt numFmtId="197" formatCode="&quot;\&quot;#,##0;[Red]&quot;\&quot;&quot;\&quot;&quot;\&quot;&quot;\&quot;\-#,##0"/>
    <numFmt numFmtId="198" formatCode="_-* #,##0.00_-;&quot;\&quot;&quot;\&quot;\-* #,##0.00_-;_-* &quot;-&quot;??_-;_-@_-"/>
    <numFmt numFmtId="199" formatCode="_-&quot;\&quot;* #,##0.00_-;&quot;\&quot;&quot;\&quot;\-&quot;\&quot;* #,##0.00_-;_-&quot;\&quot;* &quot;-&quot;??_-;_-@_-"/>
    <numFmt numFmtId="200" formatCode="&quot;\&quot;#,##0.00;&quot;\&quot;&quot;\&quot;&quot;\&quot;&quot;\&quot;\-#,##0.00"/>
    <numFmt numFmtId="201" formatCode="_-* #,##0_-;\-* #,##0_-;_-* &quot;-&quot;??_-;_-@_-"/>
    <numFmt numFmtId="202" formatCode="[$-409]mmm\-yy;@"/>
    <numFmt numFmtId="203" formatCode="[$-409]d\-mmm\-yy;@"/>
    <numFmt numFmtId="204" formatCode="0.00\ &quot;m²&quot;;\-0;;"/>
    <numFmt numFmtId="205" formatCode="0.00\ &quot;m&quot;;\-0;;@"/>
    <numFmt numFmtId="206" formatCode="0.00\ &quot;m&quot;"/>
    <numFmt numFmtId="207" formatCode="0.000000"/>
    <numFmt numFmtId="208" formatCode="[$-F800]dddd\,\ mmmm\ dd\,\ yyyy"/>
    <numFmt numFmtId="209" formatCode="0.00\ &quot;m²&quot;;\-0;;@"/>
    <numFmt numFmtId="210" formatCode="0.00\ &quot;m²&quot;"/>
    <numFmt numFmtId="211" formatCode="0.00_);\(0.00\)"/>
    <numFmt numFmtId="212" formatCode="0.000_);\(0.000\)"/>
  </numFmts>
  <fonts count="1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 val="singleAccounting"/>
      <sz val="14"/>
      <name val="Arial"/>
      <family val="2"/>
    </font>
    <font>
      <b/>
      <u val="singleAccounting"/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u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굴림체"/>
      <family val="3"/>
      <charset val="255"/>
    </font>
    <font>
      <sz val="10"/>
      <name val="Helv"/>
      <family val="2"/>
    </font>
    <font>
      <sz val="14"/>
      <name val="‚l‚r –¾’©"/>
      <family val="3"/>
      <charset val="128"/>
    </font>
    <font>
      <sz val="11"/>
      <name val="??"/>
      <family val="3"/>
      <charset val="255"/>
    </font>
    <font>
      <sz val="12"/>
      <name val="???"/>
      <family val="1"/>
      <charset val="255"/>
    </font>
    <font>
      <sz val="12"/>
      <name val="바탕체"/>
      <family val="3"/>
      <charset val="129"/>
    </font>
    <font>
      <b/>
      <sz val="18"/>
      <name val="Helv"/>
      <family val="2"/>
    </font>
    <font>
      <sz val="14"/>
      <name val="Helv"/>
      <family val="2"/>
    </font>
    <font>
      <b/>
      <sz val="14"/>
      <name val="Helv"/>
      <family val="2"/>
    </font>
    <font>
      <sz val="9"/>
      <name val="Arial"/>
      <family val="2"/>
    </font>
    <font>
      <sz val="12"/>
      <name val="¹ÙÅÁÃ¼"/>
      <family val="3"/>
      <charset val="255"/>
    </font>
    <font>
      <sz val="11"/>
      <name val="μ¸¿o"/>
      <family val="3"/>
      <charset val="255"/>
    </font>
    <font>
      <b/>
      <sz val="11"/>
      <name val="Tahoma"/>
      <family val="2"/>
    </font>
    <font>
      <sz val="11"/>
      <name val="Tahoma"/>
      <family val="2"/>
    </font>
    <font>
      <sz val="8"/>
      <name val="MS Sans Serif"/>
      <family val="2"/>
    </font>
    <font>
      <sz val="8"/>
      <color indexed="12"/>
      <name val="MS Sans Serif"/>
      <family val="2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2"/>
      <name val="Helv"/>
      <family val="2"/>
    </font>
    <font>
      <sz val="12"/>
      <name val="µ¸¿òÃ¼"/>
      <family val="3"/>
      <charset val="255"/>
    </font>
    <font>
      <sz val="10"/>
      <name val="±¼¸²A¼"/>
      <family val="3"/>
      <charset val="255"/>
    </font>
    <font>
      <sz val="11"/>
      <name val="돋움"/>
      <family val="2"/>
    </font>
    <font>
      <sz val="11"/>
      <name val="ＭＳ Ｐゴシック"/>
      <family val="3"/>
      <charset val="128"/>
    </font>
    <font>
      <b/>
      <sz val="10"/>
      <name val="Helv"/>
      <family val="2"/>
    </font>
    <font>
      <sz val="10"/>
      <name val="Tms Rmn"/>
      <family val="1"/>
    </font>
    <font>
      <b/>
      <u/>
      <sz val="16"/>
      <color indexed="16"/>
      <name val="Courier New"/>
      <family val="3"/>
    </font>
    <font>
      <sz val="12"/>
      <name val="Helv"/>
      <family val="2"/>
    </font>
    <font>
      <sz val="10"/>
      <color indexed="8"/>
      <name val="Arial"/>
      <family val="2"/>
    </font>
    <font>
      <sz val="10"/>
      <name val="Geneva"/>
      <family val="2"/>
    </font>
    <font>
      <sz val="10"/>
      <name val="Times New Roman"/>
      <family val="1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4"/>
      <name val="MS Sans Serif"/>
      <family val="2"/>
    </font>
    <font>
      <b/>
      <sz val="1"/>
      <color indexed="8"/>
      <name val="Courier"/>
      <family val="3"/>
    </font>
    <font>
      <sz val="10"/>
      <name val="Univers (WN)"/>
      <family val="2"/>
    </font>
    <font>
      <u/>
      <sz val="9"/>
      <color indexed="12"/>
      <name val="Arial"/>
      <family val="2"/>
    </font>
    <font>
      <sz val="10"/>
      <name val="MS Sans Serif"/>
      <family val="2"/>
    </font>
    <font>
      <b/>
      <sz val="11"/>
      <name val="Helv"/>
      <family val="2"/>
    </font>
    <font>
      <strike/>
      <sz val="10"/>
      <name val="Arial"/>
      <family val="2"/>
    </font>
    <font>
      <sz val="10"/>
      <color indexed="8"/>
      <name val="MS Sans Serif"/>
      <family val="2"/>
    </font>
    <font>
      <sz val="12"/>
      <color indexed="8"/>
      <name val="Times New Roman"/>
      <family val="1"/>
    </font>
    <font>
      <sz val="11"/>
      <name val="ＭＳ 明朝"/>
      <family val="1"/>
      <charset val="128"/>
    </font>
    <font>
      <sz val="10"/>
      <name val="Palatino"/>
      <family val="1"/>
    </font>
    <font>
      <b/>
      <sz val="10"/>
      <name val="Arial CE"/>
      <family val="2"/>
      <charset val="238"/>
    </font>
    <font>
      <sz val="10"/>
      <color indexed="10"/>
      <name val="Times New Roman"/>
      <family val="1"/>
    </font>
    <font>
      <sz val="8"/>
      <color indexed="10"/>
      <name val="MS Sans Serif"/>
      <family val="2"/>
    </font>
    <font>
      <u/>
      <sz val="9"/>
      <color indexed="36"/>
      <name val="Arial"/>
      <family val="2"/>
    </font>
    <font>
      <b/>
      <sz val="10"/>
      <name val="MS Sans Serif"/>
      <family val="2"/>
    </font>
    <font>
      <b/>
      <sz val="8"/>
      <name val="MS Sans Serif"/>
      <family val="2"/>
    </font>
    <font>
      <u/>
      <sz val="10"/>
      <name val="Times New Roman"/>
      <family val="1"/>
    </font>
    <font>
      <sz val="11"/>
      <name val="明朝"/>
      <family val="1"/>
      <charset val="128"/>
    </font>
    <font>
      <u/>
      <sz val="8.5"/>
      <color indexed="36"/>
      <name val="Times New Roman"/>
      <family val="1"/>
    </font>
    <font>
      <sz val="14"/>
      <name val="뼻뮝"/>
      <family val="3"/>
      <charset val="255"/>
    </font>
    <font>
      <sz val="12"/>
      <name val="뼻뮝"/>
      <family val="1"/>
      <charset val="129"/>
    </font>
    <font>
      <b/>
      <sz val="12"/>
      <color indexed="16"/>
      <name val="굴림체"/>
      <family val="3"/>
    </font>
    <font>
      <sz val="10"/>
      <name val="명조"/>
      <family val="3"/>
      <charset val="255"/>
    </font>
    <font>
      <sz val="12"/>
      <color indexed="8"/>
      <name val="新細明體"/>
      <family val="1"/>
      <charset val="129"/>
    </font>
    <font>
      <sz val="12"/>
      <name val="宋体"/>
      <family val="1"/>
      <charset val="255"/>
    </font>
    <font>
      <sz val="14"/>
      <name val="ＭＳ 明朝"/>
      <family val="1"/>
      <charset val="128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3"/>
      <name val="Arial"/>
      <family val="2"/>
    </font>
    <font>
      <sz val="13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4"/>
      <name val="Verdana"/>
      <family val="2"/>
    </font>
    <font>
      <b/>
      <u/>
      <sz val="16"/>
      <name val="Arial"/>
      <family val="2"/>
    </font>
    <font>
      <b/>
      <u/>
      <sz val="16"/>
      <name val="Verdana"/>
      <family val="2"/>
    </font>
    <font>
      <b/>
      <sz val="20"/>
      <name val="Calibri"/>
      <family val="2"/>
      <scheme val="minor"/>
    </font>
    <font>
      <b/>
      <sz val="24"/>
      <name val="Times New Roman"/>
      <family val="1"/>
    </font>
    <font>
      <b/>
      <sz val="20"/>
      <name val="Times New Roman"/>
      <family val="1"/>
    </font>
    <font>
      <b/>
      <u/>
      <sz val="12"/>
      <name val="Arial"/>
      <family val="2"/>
    </font>
    <font>
      <sz val="12"/>
      <color theme="1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lightGray">
        <fgColor indexed="15"/>
      </patternFill>
    </fill>
    <fill>
      <patternFill patternType="solid">
        <fgColor indexed="9"/>
        <bgColor indexed="8"/>
      </patternFill>
    </fill>
    <fill>
      <patternFill patternType="lightGray">
        <fgColor indexed="11"/>
      </patternFill>
    </fill>
    <fill>
      <patternFill patternType="solid">
        <fgColor indexed="9"/>
        <bgColor indexed="64"/>
      </patternFill>
    </fill>
    <fill>
      <patternFill patternType="lightGray">
        <fgColor indexed="10"/>
      </patternFill>
    </fill>
    <fill>
      <patternFill patternType="solid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1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auto="1"/>
      </left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44">
    <xf numFmtId="0" fontId="0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167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0" fontId="20" fillId="0" borderId="0"/>
    <xf numFmtId="168" fontId="6" fillId="0" borderId="0" applyFont="0" applyFill="0" applyBorder="0" applyAlignment="0" applyProtection="0">
      <alignment horizontal="right"/>
    </xf>
    <xf numFmtId="0" fontId="9" fillId="0" borderId="0" applyNumberFormat="0" applyFont="0" applyBorder="0" applyAlignment="0">
      <alignment horizontal="left"/>
    </xf>
    <xf numFmtId="9" fontId="6" fillId="6" borderId="0"/>
    <xf numFmtId="0" fontId="20" fillId="0" borderId="15">
      <alignment horizontal="center"/>
    </xf>
    <xf numFmtId="37" fontId="21" fillId="0" borderId="0"/>
    <xf numFmtId="37" fontId="22" fillId="0" borderId="0"/>
    <xf numFmtId="37" fontId="23" fillId="0" borderId="0"/>
    <xf numFmtId="0" fontId="24" fillId="7" borderId="16" applyNumberFormat="0" applyFill="0" applyBorder="0" applyAlignment="0" applyProtection="0">
      <alignment horizontal="center" vertical="center"/>
    </xf>
    <xf numFmtId="169" fontId="25" fillId="0" borderId="0" applyFont="0" applyFill="0" applyBorder="0" applyAlignment="0" applyProtection="0"/>
    <xf numFmtId="169" fontId="26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9" fillId="8" borderId="17"/>
    <xf numFmtId="1" fontId="5" fillId="8" borderId="7">
      <alignment horizontal="center" wrapText="1"/>
    </xf>
    <xf numFmtId="172" fontId="27" fillId="8" borderId="7">
      <alignment horizontal="center" vertical="top" wrapText="1"/>
    </xf>
    <xf numFmtId="1" fontId="28" fillId="8" borderId="18">
      <alignment horizontal="center" vertical="top" wrapText="1"/>
    </xf>
    <xf numFmtId="0" fontId="28" fillId="8" borderId="7">
      <alignment horizontal="center" vertical="top" wrapText="1"/>
    </xf>
    <xf numFmtId="2" fontId="29" fillId="9" borderId="0" applyNumberFormat="0" applyFont="0" applyBorder="0" applyAlignment="0" applyProtection="0"/>
    <xf numFmtId="2" fontId="30" fillId="0" borderId="0" applyNumberFormat="0" applyFill="0" applyBorder="0" applyAlignment="0" applyProtection="0"/>
    <xf numFmtId="0" fontId="31" fillId="0" borderId="0" applyNumberFormat="0"/>
    <xf numFmtId="0" fontId="32" fillId="0" borderId="5"/>
    <xf numFmtId="0" fontId="33" fillId="0" borderId="0" applyNumberFormat="0"/>
    <xf numFmtId="37" fontId="34" fillId="0" borderId="19" applyNumberFormat="0" applyFont="0" applyFill="0" applyAlignment="0" applyProtection="0"/>
    <xf numFmtId="37" fontId="34" fillId="0" borderId="20" applyNumberFormat="0" applyFont="0" applyFill="0" applyAlignment="0" applyProtection="0"/>
    <xf numFmtId="0" fontId="35" fillId="0" borderId="0"/>
    <xf numFmtId="0" fontId="36" fillId="0" borderId="0"/>
    <xf numFmtId="0" fontId="37" fillId="0" borderId="0" applyFill="0" applyBorder="0" applyAlignment="0"/>
    <xf numFmtId="166" fontId="38" fillId="0" borderId="0" applyFill="0" applyBorder="0" applyAlignment="0"/>
    <xf numFmtId="173" fontId="38" fillId="0" borderId="0" applyFill="0" applyBorder="0" applyAlignment="0"/>
    <xf numFmtId="174" fontId="38" fillId="0" borderId="0" applyFill="0" applyBorder="0" applyAlignment="0"/>
    <xf numFmtId="175" fontId="38" fillId="0" borderId="0" applyFill="0" applyBorder="0" applyAlignment="0"/>
    <xf numFmtId="176" fontId="38" fillId="0" borderId="0" applyFill="0" applyBorder="0" applyAlignment="0"/>
    <xf numFmtId="177" fontId="38" fillId="0" borderId="0" applyFill="0" applyBorder="0" applyAlignment="0"/>
    <xf numFmtId="166" fontId="38" fillId="0" borderId="0" applyFill="0" applyBorder="0" applyAlignment="0"/>
    <xf numFmtId="3" fontId="6" fillId="0" borderId="0"/>
    <xf numFmtId="0" fontId="16" fillId="0" borderId="0"/>
    <xf numFmtId="0" fontId="39" fillId="0" borderId="0"/>
    <xf numFmtId="0" fontId="6" fillId="0" borderId="0">
      <alignment horizontal="center" vertical="center"/>
    </xf>
    <xf numFmtId="165" fontId="40" fillId="0" borderId="7">
      <alignment horizontal="center"/>
    </xf>
    <xf numFmtId="0" fontId="41" fillId="0" borderId="0">
      <alignment horizontal="centerContinuous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6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9" fontId="6" fillId="1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/>
    <xf numFmtId="3" fontId="6" fillId="10" borderId="0" applyFont="0" applyFill="0" applyBorder="0" applyAlignment="0" applyProtection="0"/>
    <xf numFmtId="0" fontId="40" fillId="0" borderId="0"/>
    <xf numFmtId="166" fontId="38" fillId="0" borderId="0" applyFont="0" applyFill="0" applyBorder="0" applyAlignment="0" applyProtection="0"/>
    <xf numFmtId="44" fontId="6" fillId="0" borderId="0" applyFont="0" applyFill="0" applyBorder="0" applyAlignment="0" applyProtection="0"/>
    <xf numFmtId="179" fontId="6" fillId="10" borderId="0" applyFont="0" applyFill="0" applyBorder="0" applyAlignment="0" applyProtection="0"/>
    <xf numFmtId="180" fontId="6" fillId="0" borderId="0"/>
    <xf numFmtId="0" fontId="6" fillId="10" borderId="0" applyFont="0" applyFill="0" applyBorder="0" applyAlignment="0" applyProtection="0"/>
    <xf numFmtId="14" fontId="43" fillId="0" borderId="0" applyFill="0" applyBorder="0" applyAlignment="0"/>
    <xf numFmtId="0" fontId="3" fillId="0" borderId="0" applyProtection="0"/>
    <xf numFmtId="0" fontId="24" fillId="0" borderId="21" applyProtection="0">
      <alignment horizontal="center" vertical="top" wrapText="1"/>
    </xf>
    <xf numFmtId="181" fontId="44" fillId="0" borderId="22">
      <alignment vertical="center"/>
    </xf>
    <xf numFmtId="0" fontId="45" fillId="0" borderId="3" applyNumberFormat="0" applyFill="0" applyProtection="0">
      <alignment horizontal="left" vertical="top" wrapText="1"/>
    </xf>
    <xf numFmtId="42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172" fontId="28" fillId="8" borderId="7">
      <alignment horizontal="center" vertical="top" wrapText="1"/>
    </xf>
    <xf numFmtId="182" fontId="6" fillId="0" borderId="0"/>
    <xf numFmtId="1" fontId="5" fillId="0" borderId="18">
      <alignment horizontal="right" wrapText="1"/>
    </xf>
    <xf numFmtId="1" fontId="5" fillId="8" borderId="17">
      <alignment horizontal="right" wrapText="1"/>
    </xf>
    <xf numFmtId="1" fontId="5" fillId="7" borderId="23">
      <alignment horizontal="right" wrapText="1"/>
    </xf>
    <xf numFmtId="1" fontId="10" fillId="7" borderId="23">
      <alignment horizontal="right" vertical="center" wrapText="1"/>
    </xf>
    <xf numFmtId="176" fontId="38" fillId="0" borderId="0" applyFill="0" applyBorder="0" applyAlignment="0"/>
    <xf numFmtId="166" fontId="38" fillId="0" borderId="0" applyFill="0" applyBorder="0" applyAlignment="0"/>
    <xf numFmtId="176" fontId="38" fillId="0" borderId="0" applyFill="0" applyBorder="0" applyAlignment="0"/>
    <xf numFmtId="177" fontId="38" fillId="0" borderId="0" applyFill="0" applyBorder="0" applyAlignment="0"/>
    <xf numFmtId="166" fontId="38" fillId="0" borderId="0" applyFill="0" applyBorder="0" applyAlignment="0"/>
    <xf numFmtId="183" fontId="6" fillId="0" borderId="0" applyFon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0" fontId="47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7" fillId="0" borderId="0">
      <protection locked="0"/>
    </xf>
    <xf numFmtId="2" fontId="6" fillId="10" borderId="0" applyFont="0" applyFill="0" applyBorder="0" applyAlignment="0" applyProtection="0"/>
    <xf numFmtId="0" fontId="6" fillId="0" borderId="0"/>
    <xf numFmtId="2" fontId="29" fillId="11" borderId="0" applyNumberFormat="0" applyFont="0" applyBorder="0" applyAlignment="0" applyProtection="0"/>
    <xf numFmtId="38" fontId="48" fillId="12" borderId="0" applyNumberFormat="0" applyBorder="0" applyAlignment="0" applyProtection="0"/>
    <xf numFmtId="0" fontId="34" fillId="0" borderId="0">
      <alignment horizontal="left"/>
    </xf>
    <xf numFmtId="0" fontId="4" fillId="0" borderId="24" applyNumberFormat="0" applyAlignment="0" applyProtection="0">
      <alignment horizontal="left" vertical="center"/>
    </xf>
    <xf numFmtId="0" fontId="4" fillId="0" borderId="2">
      <alignment horizontal="left" vertical="center"/>
    </xf>
    <xf numFmtId="2" fontId="49" fillId="0" borderId="0" applyNumberFormat="0" applyFill="0" applyBorder="0" applyAlignment="0" applyProtection="0"/>
    <xf numFmtId="184" fontId="50" fillId="0" borderId="0">
      <protection locked="0"/>
    </xf>
    <xf numFmtId="184" fontId="50" fillId="0" borderId="0">
      <protection locked="0"/>
    </xf>
    <xf numFmtId="37" fontId="39" fillId="0" borderId="0" applyNumberFormat="0" applyFill="0" applyBorder="0" applyAlignment="0" applyProtection="0"/>
    <xf numFmtId="37" fontId="34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10" fontId="48" fillId="12" borderId="7" applyNumberFormat="0" applyBorder="0" applyAlignment="0" applyProtection="0"/>
    <xf numFmtId="176" fontId="38" fillId="0" borderId="0" applyFill="0" applyBorder="0" applyAlignment="0"/>
    <xf numFmtId="166" fontId="38" fillId="0" borderId="0" applyFill="0" applyBorder="0" applyAlignment="0"/>
    <xf numFmtId="176" fontId="38" fillId="0" borderId="0" applyFill="0" applyBorder="0" applyAlignment="0"/>
    <xf numFmtId="177" fontId="38" fillId="0" borderId="0" applyFill="0" applyBorder="0" applyAlignment="0"/>
    <xf numFmtId="166" fontId="38" fillId="0" borderId="0" applyFill="0" applyBorder="0" applyAlignment="0"/>
    <xf numFmtId="44" fontId="6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0" fontId="54" fillId="0" borderId="19"/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187" fontId="37" fillId="0" borderId="0"/>
    <xf numFmtId="0" fontId="40" fillId="0" borderId="0"/>
    <xf numFmtId="0" fontId="2" fillId="0" borderId="0"/>
    <xf numFmtId="0" fontId="5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5" fillId="0" borderId="0"/>
    <xf numFmtId="0" fontId="55" fillId="0" borderId="0"/>
    <xf numFmtId="0" fontId="6" fillId="0" borderId="0"/>
    <xf numFmtId="0" fontId="2" fillId="0" borderId="0"/>
    <xf numFmtId="0" fontId="55" fillId="0" borderId="0"/>
    <xf numFmtId="0" fontId="6" fillId="0" borderId="0"/>
    <xf numFmtId="0" fontId="55" fillId="0" borderId="0"/>
    <xf numFmtId="0" fontId="6" fillId="0" borderId="0"/>
    <xf numFmtId="0" fontId="55" fillId="0" borderId="0"/>
    <xf numFmtId="0" fontId="6" fillId="0" borderId="0"/>
    <xf numFmtId="0" fontId="55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48" fillId="0" borderId="0"/>
    <xf numFmtId="0" fontId="6" fillId="0" borderId="0"/>
    <xf numFmtId="0" fontId="57" fillId="12" borderId="0"/>
    <xf numFmtId="175" fontId="38" fillId="0" borderId="0" applyFont="0" applyFill="0" applyBorder="0" applyAlignment="0" applyProtection="0"/>
    <xf numFmtId="188" fontId="58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189" fontId="5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0" fillId="0" borderId="0" applyFont="0"/>
    <xf numFmtId="176" fontId="38" fillId="0" borderId="0" applyFill="0" applyBorder="0" applyAlignment="0"/>
    <xf numFmtId="166" fontId="38" fillId="0" borderId="0" applyFill="0" applyBorder="0" applyAlignment="0"/>
    <xf numFmtId="176" fontId="38" fillId="0" borderId="0" applyFill="0" applyBorder="0" applyAlignment="0"/>
    <xf numFmtId="177" fontId="38" fillId="0" borderId="0" applyFill="0" applyBorder="0" applyAlignment="0"/>
    <xf numFmtId="166" fontId="38" fillId="0" borderId="0" applyFill="0" applyBorder="0" applyAlignment="0"/>
    <xf numFmtId="9" fontId="6" fillId="0" borderId="0" applyFont="0" applyFill="0" applyBorder="0" applyAlignment="0" applyProtection="0"/>
    <xf numFmtId="37" fontId="61" fillId="0" borderId="0" applyNumberFormat="0" applyFill="0" applyBorder="0" applyAlignment="0" applyProtection="0"/>
    <xf numFmtId="0" fontId="29" fillId="13" borderId="0" applyNumberFormat="0" applyFont="0" applyBorder="0" applyAlignment="0" applyProtection="0"/>
    <xf numFmtId="2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53" fillId="0" borderId="0"/>
    <xf numFmtId="0" fontId="53" fillId="0" borderId="0"/>
    <xf numFmtId="2" fontId="64" fillId="0" borderId="0" applyNumberFormat="0" applyFill="0" applyBorder="0" applyAlignment="0" applyProtection="0"/>
    <xf numFmtId="2" fontId="65" fillId="0" borderId="2" applyNumberFormat="0" applyFill="0" applyAlignment="0" applyProtection="0"/>
    <xf numFmtId="0" fontId="66" fillId="0" borderId="3" applyNumberFormat="0" applyFill="0" applyProtection="0">
      <alignment vertical="center"/>
    </xf>
    <xf numFmtId="0" fontId="54" fillId="0" borderId="0"/>
    <xf numFmtId="0" fontId="3" fillId="14" borderId="0"/>
    <xf numFmtId="2" fontId="29" fillId="0" borderId="16" applyNumberFormat="0" applyFont="0" applyFill="0" applyAlignment="0" applyProtection="0"/>
    <xf numFmtId="49" fontId="43" fillId="0" borderId="0" applyFill="0" applyBorder="0" applyAlignment="0"/>
    <xf numFmtId="188" fontId="67" fillId="0" borderId="0" applyFill="0" applyBorder="0" applyAlignment="0"/>
    <xf numFmtId="166" fontId="67" fillId="0" borderId="0" applyFill="0" applyBorder="0" applyAlignment="0"/>
    <xf numFmtId="2" fontId="64" fillId="0" borderId="25" applyNumberFormat="0" applyFill="0" applyAlignment="0" applyProtection="0"/>
    <xf numFmtId="1" fontId="45" fillId="0" borderId="3" applyFill="0" applyProtection="0">
      <alignment horizontal="center" vertical="top"/>
    </xf>
    <xf numFmtId="190" fontId="38" fillId="0" borderId="0" applyFont="0" applyFill="0" applyBorder="0" applyAlignment="0" applyProtection="0"/>
    <xf numFmtId="191" fontId="38" fillId="0" borderId="0" applyFont="0" applyFill="0" applyBorder="0" applyAlignment="0" applyProtection="0"/>
    <xf numFmtId="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2" fontId="29" fillId="0" borderId="0" applyNumberFormat="0" applyFont="0" applyFill="0" applyBorder="0" applyProtection="0">
      <alignment horizontal="left" vertical="top" wrapText="1"/>
    </xf>
    <xf numFmtId="194" fontId="27" fillId="7" borderId="23">
      <alignment horizontal="center" vertical="top" wrapText="1"/>
    </xf>
    <xf numFmtId="0" fontId="29" fillId="15" borderId="0" applyNumberFormat="0" applyFont="0" applyBorder="0" applyAlignment="0" applyProtection="0"/>
    <xf numFmtId="195" fontId="20" fillId="0" borderId="0">
      <protection locked="0"/>
    </xf>
    <xf numFmtId="0" fontId="50" fillId="0" borderId="0">
      <protection locked="0"/>
    </xf>
    <xf numFmtId="0" fontId="50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40" fontId="69" fillId="0" borderId="0" applyFont="0" applyFill="0" applyBorder="0" applyAlignment="0" applyProtection="0"/>
    <xf numFmtId="38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196" fontId="71" fillId="0" borderId="0">
      <alignment vertical="center"/>
    </xf>
    <xf numFmtId="41" fontId="6" fillId="0" borderId="0" applyFont="0" applyFill="0" applyBorder="0" applyAlignment="0" applyProtection="0"/>
    <xf numFmtId="0" fontId="72" fillId="0" borderId="26"/>
    <xf numFmtId="4" fontId="46" fillId="0" borderId="0">
      <protection locked="0"/>
    </xf>
    <xf numFmtId="197" fontId="20" fillId="0" borderId="0">
      <protection locked="0"/>
    </xf>
    <xf numFmtId="0" fontId="2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98" fontId="20" fillId="0" borderId="0">
      <protection locked="0"/>
    </xf>
    <xf numFmtId="0" fontId="55" fillId="0" borderId="0"/>
    <xf numFmtId="0" fontId="15" fillId="0" borderId="0"/>
    <xf numFmtId="0" fontId="46" fillId="0" borderId="1">
      <protection locked="0"/>
    </xf>
    <xf numFmtId="199" fontId="20" fillId="0" borderId="0">
      <protection locked="0"/>
    </xf>
    <xf numFmtId="200" fontId="20" fillId="0" borderId="0">
      <protection locked="0"/>
    </xf>
    <xf numFmtId="166" fontId="67" fillId="0" borderId="0" applyFont="0" applyFill="0" applyBorder="0" applyAlignment="0" applyProtection="0"/>
    <xf numFmtId="188" fontId="67" fillId="0" borderId="0" applyFont="0" applyFill="0" applyBorder="0" applyAlignment="0" applyProtection="0"/>
    <xf numFmtId="0" fontId="16" fillId="0" borderId="0"/>
    <xf numFmtId="171" fontId="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73" fillId="0" borderId="0"/>
    <xf numFmtId="167" fontId="74" fillId="0" borderId="0" applyFont="0" applyFill="0" applyBorder="0" applyAlignment="0" applyProtection="0"/>
    <xf numFmtId="171" fontId="74" fillId="0" borderId="0" applyFont="0" applyFill="0" applyBorder="0" applyAlignment="0" applyProtection="0"/>
    <xf numFmtId="0" fontId="74" fillId="0" borderId="0"/>
    <xf numFmtId="0" fontId="75" fillId="0" borderId="0"/>
    <xf numFmtId="164" fontId="6" fillId="0" borderId="0" applyFont="0" applyFill="0" applyBorder="0" applyAlignment="0" applyProtection="0"/>
    <xf numFmtId="170" fontId="74" fillId="0" borderId="0" applyFont="0" applyFill="0" applyBorder="0" applyAlignment="0" applyProtection="0"/>
    <xf numFmtId="169" fontId="7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17" borderId="90" applyNumberFormat="0" applyAlignment="0" applyProtection="0"/>
  </cellStyleXfs>
  <cellXfs count="1056">
    <xf numFmtId="0" fontId="0" fillId="0" borderId="0" xfId="0"/>
    <xf numFmtId="0" fontId="5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43" fontId="5" fillId="0" borderId="0" xfId="3" applyFont="1" applyAlignment="1">
      <alignment vertical="center"/>
    </xf>
    <xf numFmtId="43" fontId="6" fillId="0" borderId="0" xfId="3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center"/>
    </xf>
    <xf numFmtId="43" fontId="7" fillId="0" borderId="0" xfId="3" applyFont="1" applyAlignment="1"/>
    <xf numFmtId="43" fontId="8" fillId="0" borderId="0" xfId="3" applyFont="1" applyAlignment="1"/>
    <xf numFmtId="0" fontId="5" fillId="0" borderId="0" xfId="0" applyFont="1" applyAlignment="1">
      <alignment horizontal="left" indent="1"/>
    </xf>
    <xf numFmtId="43" fontId="5" fillId="0" borderId="0" xfId="3" applyFont="1"/>
    <xf numFmtId="43" fontId="6" fillId="0" borderId="0" xfId="3" applyFont="1"/>
    <xf numFmtId="0" fontId="11" fillId="3" borderId="0" xfId="0" applyFont="1" applyFill="1"/>
    <xf numFmtId="0" fontId="5" fillId="3" borderId="0" xfId="0" applyFont="1" applyFill="1"/>
    <xf numFmtId="0" fontId="5" fillId="3" borderId="2" xfId="0" applyFont="1" applyFill="1" applyBorder="1"/>
    <xf numFmtId="0" fontId="5" fillId="4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3" fontId="10" fillId="0" borderId="0" xfId="3" applyFont="1" applyAlignment="1">
      <alignment vertical="center"/>
    </xf>
    <xf numFmtId="43" fontId="9" fillId="0" borderId="0" xfId="3" applyFont="1" applyAlignment="1">
      <alignment vertical="center"/>
    </xf>
    <xf numFmtId="0" fontId="77" fillId="0" borderId="0" xfId="0" applyFont="1"/>
    <xf numFmtId="0" fontId="77" fillId="0" borderId="0" xfId="0" applyFont="1" applyAlignment="1">
      <alignment horizontal="left"/>
    </xf>
    <xf numFmtId="0" fontId="78" fillId="0" borderId="0" xfId="0" applyFont="1"/>
    <xf numFmtId="0" fontId="79" fillId="0" borderId="0" xfId="0" applyFont="1"/>
    <xf numFmtId="164" fontId="78" fillId="0" borderId="0" xfId="0" applyNumberFormat="1" applyFont="1"/>
    <xf numFmtId="201" fontId="76" fillId="0" borderId="0" xfId="0" applyNumberFormat="1" applyFont="1"/>
    <xf numFmtId="0" fontId="80" fillId="0" borderId="0" xfId="0" applyFont="1"/>
    <xf numFmtId="0" fontId="10" fillId="0" borderId="0" xfId="0" applyFont="1"/>
    <xf numFmtId="0" fontId="81" fillId="0" borderId="0" xfId="0" applyFont="1"/>
    <xf numFmtId="0" fontId="76" fillId="0" borderId="0" xfId="0" applyFont="1"/>
    <xf numFmtId="164" fontId="5" fillId="0" borderId="6" xfId="0" applyNumberFormat="1" applyFont="1" applyBorder="1"/>
    <xf numFmtId="201" fontId="10" fillId="0" borderId="4" xfId="0" applyNumberFormat="1" applyFont="1" applyBorder="1"/>
    <xf numFmtId="0" fontId="82" fillId="0" borderId="11" xfId="0" applyFont="1" applyBorder="1" applyAlignment="1">
      <alignment vertical="center" wrapText="1"/>
    </xf>
    <xf numFmtId="0" fontId="82" fillId="0" borderId="0" xfId="0" applyFont="1" applyAlignment="1">
      <alignment vertical="center" wrapText="1"/>
    </xf>
    <xf numFmtId="0" fontId="83" fillId="0" borderId="0" xfId="0" applyFont="1"/>
    <xf numFmtId="0" fontId="84" fillId="0" borderId="5" xfId="0" applyFont="1" applyBorder="1"/>
    <xf numFmtId="0" fontId="85" fillId="0" borderId="5" xfId="0" applyFont="1" applyBorder="1"/>
    <xf numFmtId="164" fontId="5" fillId="0" borderId="40" xfId="0" applyNumberFormat="1" applyFont="1" applyBorder="1"/>
    <xf numFmtId="201" fontId="10" fillId="0" borderId="41" xfId="0" applyNumberFormat="1" applyFont="1" applyBorder="1"/>
    <xf numFmtId="0" fontId="86" fillId="0" borderId="3" xfId="0" applyFont="1" applyBorder="1"/>
    <xf numFmtId="0" fontId="82" fillId="0" borderId="0" xfId="0" applyFont="1" applyAlignment="1">
      <alignment vertical="center"/>
    </xf>
    <xf numFmtId="0" fontId="86" fillId="0" borderId="0" xfId="0" applyFont="1"/>
    <xf numFmtId="0" fontId="82" fillId="0" borderId="3" xfId="0" applyFont="1" applyBorder="1" applyAlignment="1">
      <alignment wrapText="1"/>
    </xf>
    <xf numFmtId="0" fontId="82" fillId="0" borderId="0" xfId="0" applyFont="1" applyAlignment="1">
      <alignment wrapText="1"/>
    </xf>
    <xf numFmtId="0" fontId="82" fillId="0" borderId="0" xfId="0" applyFont="1" applyAlignment="1">
      <alignment horizontal="left" wrapText="1"/>
    </xf>
    <xf numFmtId="164" fontId="5" fillId="0" borderId="42" xfId="0" applyNumberFormat="1" applyFont="1" applyBorder="1"/>
    <xf numFmtId="201" fontId="10" fillId="0" borderId="31" xfId="0" applyNumberFormat="1" applyFont="1" applyBorder="1"/>
    <xf numFmtId="0" fontId="86" fillId="0" borderId="8" xfId="0" applyFont="1" applyBorder="1"/>
    <xf numFmtId="164" fontId="78" fillId="0" borderId="43" xfId="0" applyNumberFormat="1" applyFont="1" applyBorder="1"/>
    <xf numFmtId="201" fontId="76" fillId="0" borderId="43" xfId="0" applyNumberFormat="1" applyFont="1" applyBorder="1"/>
    <xf numFmtId="0" fontId="78" fillId="0" borderId="43" xfId="0" applyFont="1" applyBorder="1"/>
    <xf numFmtId="0" fontId="76" fillId="0" borderId="43" xfId="0" applyFont="1" applyBorder="1"/>
    <xf numFmtId="0" fontId="77" fillId="0" borderId="43" xfId="0" applyFont="1" applyBorder="1" applyAlignment="1">
      <alignment horizontal="left"/>
    </xf>
    <xf numFmtId="164" fontId="86" fillId="0" borderId="44" xfId="0" applyNumberFormat="1" applyFont="1" applyBorder="1"/>
    <xf numFmtId="201" fontId="86" fillId="0" borderId="19" xfId="0" applyNumberFormat="1" applyFont="1" applyBorder="1" applyAlignment="1">
      <alignment horizontal="right"/>
    </xf>
    <xf numFmtId="0" fontId="5" fillId="0" borderId="19" xfId="0" applyFont="1" applyBorder="1"/>
    <xf numFmtId="0" fontId="5" fillId="0" borderId="45" xfId="0" applyFont="1" applyBorder="1"/>
    <xf numFmtId="0" fontId="77" fillId="0" borderId="45" xfId="0" applyFont="1" applyBorder="1" applyAlignment="1">
      <alignment horizontal="left"/>
    </xf>
    <xf numFmtId="0" fontId="83" fillId="0" borderId="46" xfId="0" applyFont="1" applyBorder="1"/>
    <xf numFmtId="0" fontId="5" fillId="0" borderId="47" xfId="0" applyFont="1" applyBorder="1"/>
    <xf numFmtId="0" fontId="77" fillId="0" borderId="47" xfId="0" applyFont="1" applyBorder="1" applyAlignment="1">
      <alignment horizontal="left"/>
    </xf>
    <xf numFmtId="164" fontId="83" fillId="0" borderId="48" xfId="4" applyFont="1" applyBorder="1"/>
    <xf numFmtId="0" fontId="83" fillId="0" borderId="43" xfId="0" applyFont="1" applyBorder="1"/>
    <xf numFmtId="201" fontId="5" fillId="0" borderId="43" xfId="4" applyNumberFormat="1" applyFont="1" applyBorder="1"/>
    <xf numFmtId="0" fontId="5" fillId="0" borderId="43" xfId="0" applyFont="1" applyBorder="1"/>
    <xf numFmtId="9" fontId="5" fillId="0" borderId="43" xfId="0" applyNumberFormat="1" applyFont="1" applyBorder="1" applyAlignment="1">
      <alignment horizontal="center"/>
    </xf>
    <xf numFmtId="0" fontId="10" fillId="0" borderId="49" xfId="0" applyFont="1" applyBorder="1"/>
    <xf numFmtId="0" fontId="83" fillId="0" borderId="48" xfId="0" applyFont="1" applyBorder="1"/>
    <xf numFmtId="0" fontId="5" fillId="0" borderId="49" xfId="0" applyFont="1" applyBorder="1"/>
    <xf numFmtId="164" fontId="77" fillId="0" borderId="0" xfId="0" applyNumberFormat="1" applyFont="1"/>
    <xf numFmtId="164" fontId="5" fillId="0" borderId="50" xfId="0" applyNumberFormat="1" applyFont="1" applyBorder="1"/>
    <xf numFmtId="164" fontId="10" fillId="0" borderId="51" xfId="0" applyNumberFormat="1" applyFont="1" applyBorder="1"/>
    <xf numFmtId="164" fontId="5" fillId="0" borderId="51" xfId="0" applyNumberFormat="1" applyFont="1" applyBorder="1"/>
    <xf numFmtId="0" fontId="5" fillId="0" borderId="51" xfId="0" applyFont="1" applyBorder="1"/>
    <xf numFmtId="0" fontId="10" fillId="0" borderId="52" xfId="0" applyFont="1" applyBorder="1"/>
    <xf numFmtId="4" fontId="5" fillId="0" borderId="34" xfId="0" applyNumberFormat="1" applyFont="1" applyBorder="1"/>
    <xf numFmtId="164" fontId="5" fillId="0" borderId="46" xfId="4" applyFont="1" applyBorder="1"/>
    <xf numFmtId="164" fontId="5" fillId="0" borderId="34" xfId="4" applyFont="1" applyBorder="1"/>
    <xf numFmtId="0" fontId="5" fillId="0" borderId="46" xfId="0" applyFont="1" applyBorder="1"/>
    <xf numFmtId="4" fontId="5" fillId="0" borderId="53" xfId="0" applyNumberFormat="1" applyFont="1" applyBorder="1" applyAlignment="1">
      <alignment vertical="center"/>
    </xf>
    <xf numFmtId="4" fontId="5" fillId="0" borderId="54" xfId="0" applyNumberFormat="1" applyFont="1" applyBorder="1" applyAlignment="1">
      <alignment vertical="center"/>
    </xf>
    <xf numFmtId="164" fontId="5" fillId="0" borderId="53" xfId="4" applyFont="1" applyBorder="1" applyAlignment="1">
      <alignment vertical="center"/>
    </xf>
    <xf numFmtId="0" fontId="5" fillId="0" borderId="55" xfId="0" applyFont="1" applyBorder="1" applyAlignment="1">
      <alignment horizontal="left" vertical="top" wrapText="1"/>
    </xf>
    <xf numFmtId="4" fontId="77" fillId="0" borderId="0" xfId="0" applyNumberFormat="1" applyFont="1"/>
    <xf numFmtId="4" fontId="5" fillId="0" borderId="34" xfId="0" applyNumberFormat="1" applyFont="1" applyBorder="1" applyAlignment="1">
      <alignment vertical="center"/>
    </xf>
    <xf numFmtId="4" fontId="5" fillId="0" borderId="46" xfId="0" applyNumberFormat="1" applyFont="1" applyBorder="1" applyAlignment="1">
      <alignment vertical="center"/>
    </xf>
    <xf numFmtId="0" fontId="5" fillId="0" borderId="34" xfId="0" applyFont="1" applyBorder="1" applyAlignment="1">
      <alignment horizontal="left" vertical="top" wrapText="1"/>
    </xf>
    <xf numFmtId="9" fontId="5" fillId="0" borderId="36" xfId="0" applyNumberFormat="1" applyFont="1" applyBorder="1" applyAlignment="1">
      <alignment horizontal="center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0" fillId="0" borderId="47" xfId="0" applyFont="1" applyBorder="1" applyAlignment="1">
      <alignment vertical="center"/>
    </xf>
    <xf numFmtId="0" fontId="5" fillId="0" borderId="46" xfId="0" applyFont="1" applyBorder="1" applyAlignment="1">
      <alignment horizontal="left" vertical="top" wrapText="1"/>
    </xf>
    <xf numFmtId="164" fontId="77" fillId="0" borderId="0" xfId="4" applyFont="1" applyBorder="1"/>
    <xf numFmtId="4" fontId="5" fillId="0" borderId="57" xfId="0" applyNumberFormat="1" applyFont="1" applyBorder="1"/>
    <xf numFmtId="4" fontId="5" fillId="0" borderId="58" xfId="0" applyNumberFormat="1" applyFont="1" applyBorder="1"/>
    <xf numFmtId="164" fontId="5" fillId="0" borderId="57" xfId="4" applyFont="1" applyBorder="1"/>
    <xf numFmtId="0" fontId="5" fillId="0" borderId="59" xfId="0" applyFont="1" applyBorder="1" applyAlignment="1">
      <alignment horizontal="left" vertical="top" wrapText="1"/>
    </xf>
    <xf numFmtId="9" fontId="5" fillId="0" borderId="46" xfId="0" applyNumberFormat="1" applyFont="1" applyBorder="1" applyAlignment="1">
      <alignment horizontal="center" vertical="top" wrapText="1"/>
    </xf>
    <xf numFmtId="4" fontId="5" fillId="0" borderId="46" xfId="0" applyNumberFormat="1" applyFont="1" applyBorder="1"/>
    <xf numFmtId="9" fontId="5" fillId="0" borderId="43" xfId="0" applyNumberFormat="1" applyFont="1" applyBorder="1" applyAlignment="1">
      <alignment horizontal="center" vertical="top" wrapText="1"/>
    </xf>
    <xf numFmtId="0" fontId="5" fillId="0" borderId="43" xfId="0" applyFont="1" applyBorder="1" applyAlignment="1">
      <alignment horizontal="left" vertical="top" wrapText="1"/>
    </xf>
    <xf numFmtId="9" fontId="5" fillId="0" borderId="21" xfId="0" applyNumberFormat="1" applyFont="1" applyBorder="1" applyAlignment="1">
      <alignment horizontal="center" vertical="top" wrapText="1"/>
    </xf>
    <xf numFmtId="0" fontId="5" fillId="0" borderId="21" xfId="0" applyFont="1" applyBorder="1" applyAlignment="1">
      <alignment horizontal="left" vertical="top" wrapText="1"/>
    </xf>
    <xf numFmtId="4" fontId="5" fillId="0" borderId="32" xfId="0" applyNumberFormat="1" applyFont="1" applyBorder="1"/>
    <xf numFmtId="4" fontId="5" fillId="0" borderId="60" xfId="0" applyNumberFormat="1" applyFont="1" applyBorder="1"/>
    <xf numFmtId="164" fontId="5" fillId="0" borderId="32" xfId="4" applyFont="1" applyBorder="1"/>
    <xf numFmtId="4" fontId="10" fillId="0" borderId="34" xfId="0" applyNumberFormat="1" applyFont="1" applyBorder="1"/>
    <xf numFmtId="4" fontId="10" fillId="0" borderId="46" xfId="0" applyNumberFormat="1" applyFont="1" applyBorder="1"/>
    <xf numFmtId="164" fontId="10" fillId="0" borderId="34" xfId="4" applyFont="1" applyBorder="1"/>
    <xf numFmtId="164" fontId="5" fillId="0" borderId="0" xfId="4" applyFont="1" applyBorder="1" applyAlignment="1">
      <alignment horizontal="left" vertical="top" wrapText="1"/>
    </xf>
    <xf numFmtId="9" fontId="5" fillId="0" borderId="46" xfId="0" applyNumberFormat="1" applyFont="1" applyBorder="1" applyAlignment="1">
      <alignment horizontal="left" vertical="top" wrapText="1"/>
    </xf>
    <xf numFmtId="4" fontId="5" fillId="0" borderId="61" xfId="0" applyNumberFormat="1" applyFont="1" applyBorder="1"/>
    <xf numFmtId="4" fontId="5" fillId="0" borderId="62" xfId="0" applyNumberFormat="1" applyFont="1" applyBorder="1"/>
    <xf numFmtId="164" fontId="5" fillId="0" borderId="62" xfId="0" applyNumberFormat="1" applyFont="1" applyBorder="1" applyAlignment="1">
      <alignment horizontal="center"/>
    </xf>
    <xf numFmtId="0" fontId="5" fillId="0" borderId="63" xfId="0" applyFont="1" applyBorder="1" applyAlignment="1">
      <alignment horizontal="left" vertical="top" wrapText="1"/>
    </xf>
    <xf numFmtId="4" fontId="5" fillId="0" borderId="32" xfId="0" applyNumberFormat="1" applyFont="1" applyBorder="1" applyAlignment="1">
      <alignment vertical="center"/>
    </xf>
    <xf numFmtId="4" fontId="5" fillId="0" borderId="60" xfId="0" applyNumberFormat="1" applyFont="1" applyBorder="1" applyAlignment="1">
      <alignment vertical="center"/>
    </xf>
    <xf numFmtId="164" fontId="5" fillId="0" borderId="60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 wrapText="1"/>
    </xf>
    <xf numFmtId="0" fontId="5" fillId="0" borderId="4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47" xfId="0" applyFont="1" applyBorder="1" applyAlignment="1">
      <alignment vertical="center"/>
    </xf>
    <xf numFmtId="0" fontId="5" fillId="0" borderId="64" xfId="0" applyFont="1" applyBorder="1"/>
    <xf numFmtId="0" fontId="5" fillId="0" borderId="65" xfId="0" applyFont="1" applyBorder="1"/>
    <xf numFmtId="164" fontId="5" fillId="0" borderId="58" xfId="4" applyFont="1" applyBorder="1"/>
    <xf numFmtId="0" fontId="5" fillId="0" borderId="34" xfId="0" applyFont="1" applyBorder="1"/>
    <xf numFmtId="0" fontId="12" fillId="0" borderId="47" xfId="0" applyFont="1" applyBorder="1"/>
    <xf numFmtId="0" fontId="87" fillId="0" borderId="0" xfId="0" applyFont="1"/>
    <xf numFmtId="0" fontId="10" fillId="16" borderId="21" xfId="0" applyFont="1" applyFill="1" applyBorder="1" applyAlignment="1">
      <alignment horizontal="center" vertical="center"/>
    </xf>
    <xf numFmtId="0" fontId="10" fillId="16" borderId="21" xfId="0" applyFont="1" applyFill="1" applyBorder="1" applyAlignment="1">
      <alignment horizontal="center" vertical="center" wrapText="1"/>
    </xf>
    <xf numFmtId="0" fontId="10" fillId="16" borderId="29" xfId="0" applyFont="1" applyFill="1" applyBorder="1" applyAlignment="1">
      <alignment horizontal="center" vertical="center"/>
    </xf>
    <xf numFmtId="0" fontId="78" fillId="0" borderId="46" xfId="0" applyFont="1" applyBorder="1"/>
    <xf numFmtId="0" fontId="24" fillId="0" borderId="21" xfId="0" quotePrefix="1" applyFont="1" applyBorder="1" applyAlignment="1">
      <alignment horizontal="left" vertical="center"/>
    </xf>
    <xf numFmtId="0" fontId="5" fillId="0" borderId="30" xfId="0" applyFont="1" applyBorder="1" applyAlignment="1">
      <alignment vertical="center"/>
    </xf>
    <xf numFmtId="0" fontId="5" fillId="0" borderId="21" xfId="0" quotePrefix="1" applyFont="1" applyBorder="1" applyAlignment="1">
      <alignment horizontal="left" vertical="center"/>
    </xf>
    <xf numFmtId="0" fontId="78" fillId="0" borderId="44" xfId="0" applyFont="1" applyBorder="1"/>
    <xf numFmtId="0" fontId="5" fillId="0" borderId="19" xfId="0" quotePrefix="1" applyFont="1" applyBorder="1" applyAlignment="1">
      <alignment horizontal="left" vertical="center"/>
    </xf>
    <xf numFmtId="202" fontId="5" fillId="0" borderId="21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left" vertical="center"/>
    </xf>
    <xf numFmtId="17" fontId="5" fillId="0" borderId="66" xfId="0" applyNumberFormat="1" applyFont="1" applyBorder="1" applyAlignment="1">
      <alignment horizontal="center"/>
    </xf>
    <xf numFmtId="0" fontId="5" fillId="0" borderId="30" xfId="0" applyFont="1" applyBorder="1"/>
    <xf numFmtId="14" fontId="5" fillId="0" borderId="66" xfId="0" applyNumberFormat="1" applyFont="1" applyBorder="1" applyAlignment="1">
      <alignment horizontal="center"/>
    </xf>
    <xf numFmtId="203" fontId="5" fillId="0" borderId="66" xfId="0" applyNumberFormat="1" applyFont="1" applyBorder="1" applyAlignment="1">
      <alignment horizontal="center"/>
    </xf>
    <xf numFmtId="0" fontId="10" fillId="0" borderId="21" xfId="0" quotePrefix="1" applyFont="1" applyBorder="1" applyAlignment="1">
      <alignment horizontal="center"/>
    </xf>
    <xf numFmtId="0" fontId="78" fillId="0" borderId="48" xfId="0" applyFont="1" applyBorder="1"/>
    <xf numFmtId="0" fontId="88" fillId="0" borderId="46" xfId="0" applyFont="1" applyBorder="1" applyAlignment="1">
      <alignment horizontal="center"/>
    </xf>
    <xf numFmtId="0" fontId="88" fillId="0" borderId="0" xfId="0" applyFont="1" applyAlignment="1">
      <alignment horizontal="center"/>
    </xf>
    <xf numFmtId="0" fontId="88" fillId="0" borderId="47" xfId="0" applyFont="1" applyBorder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/>
    <xf numFmtId="0" fontId="90" fillId="0" borderId="0" xfId="0" applyFont="1" applyAlignment="1">
      <alignment horizontal="center"/>
    </xf>
    <xf numFmtId="0" fontId="77" fillId="0" borderId="46" xfId="0" applyFont="1" applyBorder="1"/>
    <xf numFmtId="0" fontId="92" fillId="0" borderId="0" xfId="0" applyFont="1" applyAlignment="1">
      <alignment horizontal="left"/>
    </xf>
    <xf numFmtId="0" fontId="93" fillId="0" borderId="0" xfId="0" applyFont="1" applyAlignment="1">
      <alignment horizontal="left"/>
    </xf>
    <xf numFmtId="0" fontId="92" fillId="0" borderId="0" xfId="0" applyFont="1"/>
    <xf numFmtId="0" fontId="77" fillId="0" borderId="48" xfId="0" applyFont="1" applyBorder="1"/>
    <xf numFmtId="0" fontId="77" fillId="0" borderId="43" xfId="0" applyFont="1" applyBorder="1"/>
    <xf numFmtId="0" fontId="77" fillId="0" borderId="49" xfId="0" applyFont="1" applyBorder="1" applyAlignment="1">
      <alignment horizontal="left"/>
    </xf>
    <xf numFmtId="0" fontId="5" fillId="5" borderId="0" xfId="0" applyFont="1" applyFill="1"/>
    <xf numFmtId="3" fontId="4" fillId="2" borderId="7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43" fontId="4" fillId="2" borderId="4" xfId="3" applyFont="1" applyFill="1" applyBorder="1" applyAlignment="1">
      <alignment horizontal="center" vertical="center" wrapText="1"/>
    </xf>
    <xf numFmtId="43" fontId="4" fillId="2" borderId="73" xfId="3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3" fontId="4" fillId="5" borderId="8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3" fontId="4" fillId="5" borderId="41" xfId="3" applyFont="1" applyFill="1" applyBorder="1" applyAlignment="1">
      <alignment horizontal="center" vertical="center" wrapText="1"/>
    </xf>
    <xf numFmtId="43" fontId="4" fillId="5" borderId="3" xfId="3" applyFont="1" applyFill="1" applyBorder="1" applyAlignment="1">
      <alignment horizontal="center" vertical="center" wrapText="1"/>
    </xf>
    <xf numFmtId="43" fontId="4" fillId="5" borderId="73" xfId="3" applyFont="1" applyFill="1" applyBorder="1" applyAlignment="1">
      <alignment horizontal="center" vertical="center" wrapText="1"/>
    </xf>
    <xf numFmtId="165" fontId="3" fillId="0" borderId="74" xfId="0" applyNumberFormat="1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vertical="center"/>
    </xf>
    <xf numFmtId="43" fontId="3" fillId="0" borderId="12" xfId="3" applyFont="1" applyBorder="1" applyAlignment="1">
      <alignment vertical="center"/>
    </xf>
    <xf numFmtId="10" fontId="3" fillId="0" borderId="12" xfId="2" applyNumberFormat="1" applyFont="1" applyBorder="1" applyAlignment="1">
      <alignment horizontal="center" vertical="center"/>
    </xf>
    <xf numFmtId="43" fontId="3" fillId="0" borderId="12" xfId="4" applyNumberFormat="1" applyFont="1" applyBorder="1" applyAlignment="1">
      <alignment vertical="center"/>
    </xf>
    <xf numFmtId="43" fontId="3" fillId="0" borderId="12" xfId="0" applyNumberFormat="1" applyFont="1" applyBorder="1" applyAlignment="1">
      <alignment vertical="center"/>
    </xf>
    <xf numFmtId="43" fontId="3" fillId="0" borderId="75" xfId="3" applyFont="1" applyBorder="1" applyAlignment="1">
      <alignment vertical="center"/>
    </xf>
    <xf numFmtId="1" fontId="4" fillId="0" borderId="27" xfId="0" applyNumberFormat="1" applyFont="1" applyBorder="1" applyAlignment="1">
      <alignment horizontal="center" vertical="center"/>
    </xf>
    <xf numFmtId="0" fontId="94" fillId="0" borderId="13" xfId="0" applyFont="1" applyBorder="1" applyAlignment="1">
      <alignment horizontal="left" vertical="center" wrapText="1"/>
    </xf>
    <xf numFmtId="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43" fontId="3" fillId="0" borderId="13" xfId="3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43" fontId="3" fillId="0" borderId="13" xfId="0" applyNumberFormat="1" applyFont="1" applyBorder="1" applyAlignment="1">
      <alignment horizontal="center" vertical="center"/>
    </xf>
    <xf numFmtId="4" fontId="3" fillId="5" borderId="13" xfId="0" applyNumberFormat="1" applyFont="1" applyFill="1" applyBorder="1" applyAlignment="1">
      <alignment horizontal="right" vertical="center"/>
    </xf>
    <xf numFmtId="2" fontId="3" fillId="0" borderId="13" xfId="0" applyNumberFormat="1" applyFont="1" applyBorder="1" applyAlignment="1">
      <alignment vertical="center"/>
    </xf>
    <xf numFmtId="43" fontId="3" fillId="0" borderId="13" xfId="3" applyFont="1" applyBorder="1" applyAlignment="1">
      <alignment vertical="center"/>
    </xf>
    <xf numFmtId="164" fontId="95" fillId="0" borderId="13" xfId="1" applyFont="1" applyBorder="1" applyAlignment="1">
      <alignment vertical="center"/>
    </xf>
    <xf numFmtId="164" fontId="3" fillId="0" borderId="75" xfId="4" applyFont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43" fontId="3" fillId="0" borderId="13" xfId="0" applyNumberFormat="1" applyFont="1" applyBorder="1" applyAlignment="1">
      <alignment horizontal="right" vertical="center"/>
    </xf>
    <xf numFmtId="0" fontId="96" fillId="0" borderId="13" xfId="0" applyFont="1" applyBorder="1" applyAlignment="1">
      <alignment horizontal="left" vertical="center" wrapText="1"/>
    </xf>
    <xf numFmtId="9" fontId="3" fillId="0" borderId="13" xfId="2" applyFont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 vertical="center"/>
    </xf>
    <xf numFmtId="4" fontId="3" fillId="5" borderId="14" xfId="0" applyNumberFormat="1" applyFont="1" applyFill="1" applyBorder="1" applyAlignment="1">
      <alignment horizontal="right" vertical="center"/>
    </xf>
    <xf numFmtId="43" fontId="3" fillId="0" borderId="14" xfId="3" applyFont="1" applyBorder="1" applyAlignment="1">
      <alignment vertical="center"/>
    </xf>
    <xf numFmtId="164" fontId="3" fillId="0" borderId="13" xfId="4" applyFont="1" applyBorder="1" applyAlignment="1">
      <alignment horizontal="center" vertical="center"/>
    </xf>
    <xf numFmtId="0" fontId="97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2" fontId="3" fillId="0" borderId="14" xfId="0" applyNumberFormat="1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0" fontId="94" fillId="0" borderId="14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3" fontId="4" fillId="2" borderId="80" xfId="0" applyNumberFormat="1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vertical="center"/>
    </xf>
    <xf numFmtId="1" fontId="4" fillId="2" borderId="81" xfId="0" applyNumberFormat="1" applyFont="1" applyFill="1" applyBorder="1" applyAlignment="1">
      <alignment horizontal="center" vertical="center"/>
    </xf>
    <xf numFmtId="164" fontId="4" fillId="2" borderId="81" xfId="1" applyFont="1" applyFill="1" applyBorder="1" applyAlignment="1">
      <alignment vertical="center"/>
    </xf>
    <xf numFmtId="43" fontId="4" fillId="2" borderId="80" xfId="3" applyFont="1" applyFill="1" applyBorder="1" applyAlignment="1">
      <alignment horizontal="center" vertical="center"/>
    </xf>
    <xf numFmtId="164" fontId="4" fillId="2" borderId="80" xfId="1" applyFont="1" applyFill="1" applyBorder="1" applyAlignment="1">
      <alignment horizontal="center" vertical="center"/>
    </xf>
    <xf numFmtId="10" fontId="4" fillId="2" borderId="81" xfId="2" applyNumberFormat="1" applyFont="1" applyFill="1" applyBorder="1" applyAlignment="1">
      <alignment vertical="center"/>
    </xf>
    <xf numFmtId="43" fontId="4" fillId="2" borderId="81" xfId="3" applyFont="1" applyFill="1" applyBorder="1" applyAlignment="1">
      <alignment vertical="center"/>
    </xf>
    <xf numFmtId="43" fontId="4" fillId="2" borderId="82" xfId="3" applyFont="1" applyFill="1" applyBorder="1" applyAlignment="1">
      <alignment vertical="center"/>
    </xf>
    <xf numFmtId="0" fontId="3" fillId="0" borderId="72" xfId="0" applyFont="1" applyBorder="1"/>
    <xf numFmtId="0" fontId="4" fillId="0" borderId="11" xfId="0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/>
    </xf>
    <xf numFmtId="0" fontId="3" fillId="0" borderId="11" xfId="0" applyFont="1" applyBorder="1"/>
    <xf numFmtId="43" fontId="3" fillId="0" borderId="11" xfId="3" applyFont="1" applyBorder="1"/>
    <xf numFmtId="0" fontId="3" fillId="0" borderId="83" xfId="0" applyFont="1" applyBorder="1"/>
    <xf numFmtId="1" fontId="4" fillId="0" borderId="33" xfId="0" applyNumberFormat="1" applyFont="1" applyBorder="1" applyAlignment="1">
      <alignment horizontal="center" vertical="center"/>
    </xf>
    <xf numFmtId="0" fontId="94" fillId="0" borderId="7" xfId="0" applyFont="1" applyBorder="1" applyAlignment="1">
      <alignment horizontal="left" vertical="center" wrapText="1"/>
    </xf>
    <xf numFmtId="4" fontId="3" fillId="5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43" fontId="3" fillId="0" borderId="7" xfId="3" applyFont="1" applyBorder="1" applyAlignment="1">
      <alignment horizontal="center" vertical="center"/>
    </xf>
    <xf numFmtId="164" fontId="95" fillId="0" borderId="7" xfId="1" applyFont="1" applyBorder="1" applyAlignment="1">
      <alignment vertical="center"/>
    </xf>
    <xf numFmtId="10" fontId="3" fillId="0" borderId="7" xfId="0" applyNumberFormat="1" applyFont="1" applyBorder="1" applyAlignment="1">
      <alignment horizontal="center" vertical="center"/>
    </xf>
    <xf numFmtId="43" fontId="3" fillId="0" borderId="7" xfId="0" applyNumberFormat="1" applyFont="1" applyBorder="1" applyAlignment="1">
      <alignment horizontal="center" vertical="center"/>
    </xf>
    <xf numFmtId="164" fontId="3" fillId="0" borderId="18" xfId="4" applyFont="1" applyBorder="1" applyAlignment="1">
      <alignment horizontal="center" vertical="center"/>
    </xf>
    <xf numFmtId="4" fontId="3" fillId="5" borderId="7" xfId="0" applyNumberFormat="1" applyFont="1" applyFill="1" applyBorder="1" applyAlignment="1">
      <alignment horizontal="right" vertical="center"/>
    </xf>
    <xf numFmtId="2" fontId="3" fillId="0" borderId="7" xfId="0" applyNumberFormat="1" applyFont="1" applyBorder="1" applyAlignment="1">
      <alignment vertical="center"/>
    </xf>
    <xf numFmtId="43" fontId="3" fillId="0" borderId="7" xfId="3" applyFont="1" applyBorder="1" applyAlignment="1">
      <alignment vertical="center"/>
    </xf>
    <xf numFmtId="1" fontId="3" fillId="0" borderId="3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43" fontId="3" fillId="0" borderId="7" xfId="0" applyNumberFormat="1" applyFont="1" applyBorder="1" applyAlignment="1">
      <alignment horizontal="right" vertical="center"/>
    </xf>
    <xf numFmtId="0" fontId="3" fillId="0" borderId="33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right" vertical="center"/>
    </xf>
    <xf numFmtId="164" fontId="3" fillId="0" borderId="7" xfId="1" applyFont="1" applyBorder="1" applyAlignment="1">
      <alignment vertical="center"/>
    </xf>
    <xf numFmtId="0" fontId="4" fillId="5" borderId="47" xfId="0" applyFont="1" applyFill="1" applyBorder="1" applyAlignment="1">
      <alignment horizontal="right" vertical="center"/>
    </xf>
    <xf numFmtId="3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1" fontId="4" fillId="5" borderId="0" xfId="0" applyNumberFormat="1" applyFont="1" applyFill="1" applyAlignment="1">
      <alignment horizontal="center" vertical="center"/>
    </xf>
    <xf numFmtId="164" fontId="4" fillId="5" borderId="0" xfId="1" applyFont="1" applyFill="1" applyBorder="1" applyAlignment="1">
      <alignment vertical="center"/>
    </xf>
    <xf numFmtId="43" fontId="4" fillId="5" borderId="0" xfId="3" applyFont="1" applyFill="1" applyBorder="1" applyAlignment="1">
      <alignment horizontal="center" vertical="center"/>
    </xf>
    <xf numFmtId="164" fontId="4" fillId="5" borderId="0" xfId="1" applyFont="1" applyFill="1" applyBorder="1" applyAlignment="1">
      <alignment horizontal="center" vertical="center"/>
    </xf>
    <xf numFmtId="10" fontId="4" fillId="5" borderId="0" xfId="2" applyNumberFormat="1" applyFont="1" applyFill="1" applyBorder="1" applyAlignment="1">
      <alignment vertical="center"/>
    </xf>
    <xf numFmtId="43" fontId="4" fillId="5" borderId="0" xfId="3" applyFont="1" applyFill="1" applyBorder="1" applyAlignment="1">
      <alignment vertical="center"/>
    </xf>
    <xf numFmtId="43" fontId="4" fillId="5" borderId="46" xfId="3" applyFont="1" applyFill="1" applyBorder="1" applyAlignment="1">
      <alignment vertical="center"/>
    </xf>
    <xf numFmtId="0" fontId="3" fillId="0" borderId="47" xfId="0" applyFont="1" applyBorder="1"/>
    <xf numFmtId="3" fontId="3" fillId="0" borderId="0" xfId="0" applyNumberFormat="1" applyFont="1" applyAlignment="1">
      <alignment horizontal="center"/>
    </xf>
    <xf numFmtId="0" fontId="3" fillId="0" borderId="0" xfId="0" applyFont="1"/>
    <xf numFmtId="43" fontId="3" fillId="0" borderId="0" xfId="3" applyFont="1" applyBorder="1"/>
    <xf numFmtId="0" fontId="3" fillId="0" borderId="60" xfId="0" applyFont="1" applyBorder="1"/>
    <xf numFmtId="0" fontId="94" fillId="0" borderId="3" xfId="0" applyFont="1" applyBorder="1" applyAlignment="1">
      <alignment horizontal="left" vertical="center" wrapText="1"/>
    </xf>
    <xf numFmtId="4" fontId="3" fillId="0" borderId="14" xfId="0" applyNumberFormat="1" applyFont="1" applyBorder="1" applyAlignment="1">
      <alignment horizontal="right" vertical="center"/>
    </xf>
    <xf numFmtId="0" fontId="4" fillId="5" borderId="47" xfId="0" applyFont="1" applyFill="1" applyBorder="1" applyAlignment="1">
      <alignment horizontal="right" vertical="center" wrapText="1"/>
    </xf>
    <xf numFmtId="0" fontId="4" fillId="5" borderId="0" xfId="0" applyFont="1" applyFill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center" vertical="center"/>
    </xf>
    <xf numFmtId="43" fontId="4" fillId="2" borderId="7" xfId="3" applyFont="1" applyFill="1" applyBorder="1" applyAlignment="1">
      <alignment horizontal="center" vertical="center"/>
    </xf>
    <xf numFmtId="164" fontId="4" fillId="2" borderId="7" xfId="1" applyFont="1" applyFill="1" applyBorder="1" applyAlignment="1">
      <alignment horizontal="center" vertical="center"/>
    </xf>
    <xf numFmtId="0" fontId="3" fillId="0" borderId="0" xfId="0" applyFont="1" applyAlignment="1">
      <alignment horizontal="left" indent="1"/>
    </xf>
    <xf numFmtId="0" fontId="3" fillId="0" borderId="46" xfId="0" applyFont="1" applyBorder="1"/>
    <xf numFmtId="3" fontId="4" fillId="2" borderId="77" xfId="0" applyNumberFormat="1" applyFont="1" applyFill="1" applyBorder="1" applyAlignment="1">
      <alignment horizontal="center" vertical="center"/>
    </xf>
    <xf numFmtId="0" fontId="4" fillId="2" borderId="77" xfId="0" applyFont="1" applyFill="1" applyBorder="1" applyAlignment="1">
      <alignment vertical="center"/>
    </xf>
    <xf numFmtId="1" fontId="4" fillId="2" borderId="78" xfId="0" applyNumberFormat="1" applyFont="1" applyFill="1" applyBorder="1" applyAlignment="1">
      <alignment horizontal="center" vertical="center"/>
    </xf>
    <xf numFmtId="164" fontId="4" fillId="2" borderId="78" xfId="1" applyFont="1" applyFill="1" applyBorder="1" applyAlignment="1">
      <alignment vertical="center"/>
    </xf>
    <xf numFmtId="43" fontId="4" fillId="2" borderId="77" xfId="3" applyFont="1" applyFill="1" applyBorder="1" applyAlignment="1">
      <alignment horizontal="center" vertical="center"/>
    </xf>
    <xf numFmtId="164" fontId="4" fillId="2" borderId="77" xfId="1" applyFont="1" applyFill="1" applyBorder="1" applyAlignment="1">
      <alignment horizontal="center" vertical="center"/>
    </xf>
    <xf numFmtId="10" fontId="4" fillId="2" borderId="78" xfId="2" applyNumberFormat="1" applyFont="1" applyFill="1" applyBorder="1" applyAlignment="1">
      <alignment vertical="center"/>
    </xf>
    <xf numFmtId="43" fontId="4" fillId="2" borderId="78" xfId="3" applyFont="1" applyFill="1" applyBorder="1" applyAlignment="1">
      <alignment vertical="center"/>
    </xf>
    <xf numFmtId="43" fontId="4" fillId="2" borderId="84" xfId="3" applyFont="1" applyFill="1" applyBorder="1" applyAlignment="1">
      <alignment vertical="center"/>
    </xf>
    <xf numFmtId="0" fontId="4" fillId="2" borderId="80" xfId="0" applyFont="1" applyFill="1" applyBorder="1" applyAlignment="1">
      <alignment horizontal="right" vertical="center" wrapText="1"/>
    </xf>
    <xf numFmtId="0" fontId="4" fillId="2" borderId="80" xfId="0" applyFont="1" applyFill="1" applyBorder="1" applyAlignment="1">
      <alignment horizontal="center" vertical="center"/>
    </xf>
    <xf numFmtId="164" fontId="4" fillId="2" borderId="80" xfId="1" applyFont="1" applyFill="1" applyBorder="1" applyAlignment="1">
      <alignment vertical="center"/>
    </xf>
    <xf numFmtId="10" fontId="4" fillId="2" borderId="80" xfId="2" applyNumberFormat="1" applyFont="1" applyFill="1" applyBorder="1" applyAlignment="1">
      <alignment vertical="center"/>
    </xf>
    <xf numFmtId="43" fontId="4" fillId="2" borderId="80" xfId="3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1" fontId="4" fillId="2" borderId="9" xfId="0" applyNumberFormat="1" applyFont="1" applyFill="1" applyBorder="1" applyAlignment="1">
      <alignment horizontal="center" vertical="center"/>
    </xf>
    <xf numFmtId="164" fontId="4" fillId="2" borderId="9" xfId="1" applyFont="1" applyFill="1" applyBorder="1" applyAlignment="1">
      <alignment vertical="center"/>
    </xf>
    <xf numFmtId="10" fontId="4" fillId="2" borderId="9" xfId="2" applyNumberFormat="1" applyFont="1" applyFill="1" applyBorder="1" applyAlignment="1">
      <alignment vertical="center"/>
    </xf>
    <xf numFmtId="43" fontId="4" fillId="2" borderId="9" xfId="3" applyFont="1" applyFill="1" applyBorder="1" applyAlignment="1">
      <alignment vertical="center"/>
    </xf>
    <xf numFmtId="43" fontId="4" fillId="2" borderId="83" xfId="3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164" fontId="5" fillId="5" borderId="58" xfId="4" applyFont="1" applyFill="1" applyBorder="1"/>
    <xf numFmtId="164" fontId="5" fillId="0" borderId="65" xfId="0" applyNumberFormat="1" applyFont="1" applyBorder="1"/>
    <xf numFmtId="0" fontId="10" fillId="5" borderId="87" xfId="0" applyFont="1" applyFill="1" applyBorder="1" applyAlignment="1">
      <alignment horizontal="center" vertical="center" wrapText="1"/>
    </xf>
    <xf numFmtId="164" fontId="3" fillId="0" borderId="14" xfId="1" applyFont="1" applyBorder="1" applyAlignment="1">
      <alignment horizontal="center" vertical="center"/>
    </xf>
    <xf numFmtId="43" fontId="4" fillId="2" borderId="89" xfId="3" applyFont="1" applyFill="1" applyBorder="1" applyAlignment="1">
      <alignment vertical="center"/>
    </xf>
    <xf numFmtId="0" fontId="106" fillId="0" borderId="0" xfId="0" applyFont="1"/>
    <xf numFmtId="0" fontId="106" fillId="0" borderId="0" xfId="0" applyFont="1" applyAlignment="1">
      <alignment horizontal="center"/>
    </xf>
    <xf numFmtId="0" fontId="106" fillId="0" borderId="0" xfId="0" applyFont="1" applyAlignment="1">
      <alignment wrapText="1"/>
    </xf>
    <xf numFmtId="0" fontId="106" fillId="5" borderId="0" xfId="0" applyFont="1" applyFill="1"/>
    <xf numFmtId="0" fontId="77" fillId="5" borderId="23" xfId="0" applyFont="1" applyFill="1" applyBorder="1"/>
    <xf numFmtId="0" fontId="77" fillId="5" borderId="92" xfId="0" applyFont="1" applyFill="1" applyBorder="1"/>
    <xf numFmtId="0" fontId="0" fillId="5" borderId="0" xfId="0" applyFill="1"/>
    <xf numFmtId="0" fontId="76" fillId="16" borderId="21" xfId="0" applyFont="1" applyFill="1" applyBorder="1" applyAlignment="1">
      <alignment horizontal="center" vertical="center"/>
    </xf>
    <xf numFmtId="0" fontId="76" fillId="16" borderId="24" xfId="0" applyFont="1" applyFill="1" applyBorder="1" applyAlignment="1">
      <alignment horizontal="center" vertical="center"/>
    </xf>
    <xf numFmtId="0" fontId="77" fillId="16" borderId="93" xfId="0" applyFont="1" applyFill="1" applyBorder="1"/>
    <xf numFmtId="0" fontId="77" fillId="16" borderId="92" xfId="0" applyFont="1" applyFill="1" applyBorder="1"/>
    <xf numFmtId="0" fontId="107" fillId="16" borderId="30" xfId="0" applyFont="1" applyFill="1" applyBorder="1" applyAlignment="1">
      <alignment horizontal="center" vertical="center" wrapText="1"/>
    </xf>
    <xf numFmtId="0" fontId="107" fillId="16" borderId="21" xfId="0" applyFont="1" applyFill="1" applyBorder="1" applyAlignment="1">
      <alignment horizontal="center" vertical="center"/>
    </xf>
    <xf numFmtId="0" fontId="78" fillId="0" borderId="32" xfId="0" applyFont="1" applyBorder="1" applyAlignment="1">
      <alignment horizontal="center" vertical="center"/>
    </xf>
    <xf numFmtId="0" fontId="78" fillId="0" borderId="60" xfId="0" applyFont="1" applyBorder="1" applyAlignment="1">
      <alignment horizontal="center" vertical="center"/>
    </xf>
    <xf numFmtId="0" fontId="77" fillId="5" borderId="6" xfId="0" applyFont="1" applyFill="1" applyBorder="1"/>
    <xf numFmtId="0" fontId="77" fillId="5" borderId="4" xfId="0" applyFont="1" applyFill="1" applyBorder="1"/>
    <xf numFmtId="204" fontId="77" fillId="5" borderId="94" xfId="0" applyNumberFormat="1" applyFont="1" applyFill="1" applyBorder="1" applyAlignment="1">
      <alignment horizontal="center" vertical="center"/>
    </xf>
    <xf numFmtId="205" fontId="77" fillId="5" borderId="32" xfId="0" applyNumberFormat="1" applyFont="1" applyFill="1" applyBorder="1" applyAlignment="1">
      <alignment horizontal="center" vertical="center"/>
    </xf>
    <xf numFmtId="0" fontId="78" fillId="0" borderId="95" xfId="0" applyFont="1" applyBorder="1" applyAlignment="1">
      <alignment horizontal="center" vertical="center"/>
    </xf>
    <xf numFmtId="0" fontId="78" fillId="0" borderId="71" xfId="0" applyFont="1" applyBorder="1" applyAlignment="1">
      <alignment horizontal="center" vertical="center"/>
    </xf>
    <xf numFmtId="0" fontId="77" fillId="18" borderId="10" xfId="0" applyFont="1" applyFill="1" applyBorder="1"/>
    <xf numFmtId="0" fontId="77" fillId="18" borderId="9" xfId="0" applyFont="1" applyFill="1" applyBorder="1"/>
    <xf numFmtId="204" fontId="77" fillId="5" borderId="88" xfId="0" applyNumberFormat="1" applyFont="1" applyFill="1" applyBorder="1" applyAlignment="1">
      <alignment horizontal="center" vertical="center"/>
    </xf>
    <xf numFmtId="205" fontId="77" fillId="5" borderId="95" xfId="0" applyNumberFormat="1" applyFont="1" applyFill="1" applyBorder="1" applyAlignment="1">
      <alignment horizontal="center" vertical="center"/>
    </xf>
    <xf numFmtId="0" fontId="105" fillId="5" borderId="0" xfId="0" applyFont="1" applyFill="1"/>
    <xf numFmtId="0" fontId="78" fillId="0" borderId="32" xfId="0" applyFont="1" applyBorder="1" applyAlignment="1">
      <alignment horizontal="center" vertical="center" wrapText="1"/>
    </xf>
    <xf numFmtId="0" fontId="107" fillId="5" borderId="87" xfId="0" applyFont="1" applyFill="1" applyBorder="1" applyAlignment="1">
      <alignment vertical="center"/>
    </xf>
    <xf numFmtId="0" fontId="107" fillId="5" borderId="38" xfId="0" applyFont="1" applyFill="1" applyBorder="1" applyAlignment="1">
      <alignment vertical="center"/>
    </xf>
    <xf numFmtId="204" fontId="107" fillId="5" borderId="30" xfId="0" applyNumberFormat="1" applyFont="1" applyFill="1" applyBorder="1" applyAlignment="1">
      <alignment horizontal="center" vertical="center"/>
    </xf>
    <xf numFmtId="206" fontId="106" fillId="5" borderId="21" xfId="0" applyNumberFormat="1" applyFont="1" applyFill="1" applyBorder="1" applyAlignment="1">
      <alignment horizontal="center" vertical="center"/>
    </xf>
    <xf numFmtId="0" fontId="108" fillId="5" borderId="0" xfId="0" applyFont="1" applyFill="1"/>
    <xf numFmtId="0" fontId="77" fillId="5" borderId="0" xfId="0" applyFont="1" applyFill="1"/>
    <xf numFmtId="0" fontId="77" fillId="5" borderId="0" xfId="0" applyFont="1" applyFill="1" applyAlignment="1">
      <alignment horizontal="center"/>
    </xf>
    <xf numFmtId="0" fontId="77" fillId="5" borderId="0" xfId="0" applyFont="1" applyFill="1" applyAlignment="1">
      <alignment wrapText="1"/>
    </xf>
    <xf numFmtId="207" fontId="0" fillId="5" borderId="0" xfId="0" applyNumberFormat="1" applyFill="1"/>
    <xf numFmtId="0" fontId="77" fillId="0" borderId="0" xfId="0" applyFont="1" applyAlignment="1">
      <alignment horizontal="center"/>
    </xf>
    <xf numFmtId="0" fontId="7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99" fillId="5" borderId="0" xfId="0" applyFont="1" applyFill="1" applyAlignment="1">
      <alignment vertical="center"/>
    </xf>
    <xf numFmtId="0" fontId="109" fillId="5" borderId="0" xfId="0" applyFont="1" applyFill="1" applyAlignment="1">
      <alignment vertical="center" wrapText="1"/>
    </xf>
    <xf numFmtId="3" fontId="10" fillId="5" borderId="4" xfId="3" applyNumberFormat="1" applyFont="1" applyFill="1" applyBorder="1" applyAlignment="1">
      <alignment horizontal="center" vertical="center"/>
    </xf>
    <xf numFmtId="3" fontId="10" fillId="5" borderId="5" xfId="3" applyNumberFormat="1" applyFont="1" applyFill="1" applyBorder="1" applyAlignment="1">
      <alignment horizontal="center" vertical="center"/>
    </xf>
    <xf numFmtId="3" fontId="10" fillId="5" borderId="19" xfId="0" applyNumberFormat="1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/>
    </xf>
    <xf numFmtId="43" fontId="10" fillId="5" borderId="7" xfId="3" applyFont="1" applyFill="1" applyBorder="1" applyAlignment="1">
      <alignment horizontal="center" vertical="center" wrapText="1"/>
    </xf>
    <xf numFmtId="208" fontId="10" fillId="19" borderId="7" xfId="3" applyNumberFormat="1" applyFont="1" applyFill="1" applyBorder="1" applyAlignment="1">
      <alignment horizontal="center" vertical="center" wrapText="1"/>
    </xf>
    <xf numFmtId="208" fontId="10" fillId="5" borderId="7" xfId="3" applyNumberFormat="1" applyFont="1" applyFill="1" applyBorder="1" applyAlignment="1">
      <alignment horizontal="center" vertical="center" wrapText="1"/>
    </xf>
    <xf numFmtId="43" fontId="10" fillId="18" borderId="18" xfId="3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3" fontId="10" fillId="5" borderId="3" xfId="0" applyNumberFormat="1" applyFont="1" applyFill="1" applyBorder="1" applyAlignment="1">
      <alignment horizontal="center" vertical="center" wrapText="1"/>
    </xf>
    <xf numFmtId="43" fontId="10" fillId="5" borderId="41" xfId="3" applyFont="1" applyFill="1" applyBorder="1" applyAlignment="1">
      <alignment horizontal="center" vertical="center" wrapText="1"/>
    </xf>
    <xf numFmtId="43" fontId="10" fillId="19" borderId="41" xfId="3" applyFont="1" applyFill="1" applyBorder="1" applyAlignment="1">
      <alignment horizontal="center" vertical="center" wrapText="1"/>
    </xf>
    <xf numFmtId="43" fontId="10" fillId="18" borderId="73" xfId="3" applyFont="1" applyFill="1" applyBorder="1" applyAlignment="1">
      <alignment horizontal="center" vertical="center" wrapText="1"/>
    </xf>
    <xf numFmtId="0" fontId="9" fillId="5" borderId="98" xfId="0" applyFont="1" applyFill="1" applyBorder="1" applyAlignment="1">
      <alignment horizontal="center" vertical="center"/>
    </xf>
    <xf numFmtId="3" fontId="10" fillId="5" borderId="87" xfId="0" applyNumberFormat="1" applyFont="1" applyFill="1" applyBorder="1" applyAlignment="1">
      <alignment horizontal="center" vertical="center" wrapText="1"/>
    </xf>
    <xf numFmtId="0" fontId="10" fillId="5" borderId="87" xfId="0" applyFont="1" applyFill="1" applyBorder="1" applyAlignment="1">
      <alignment horizontal="center" vertical="center"/>
    </xf>
    <xf numFmtId="43" fontId="10" fillId="5" borderId="38" xfId="3" applyFont="1" applyFill="1" applyBorder="1" applyAlignment="1">
      <alignment horizontal="center" vertical="center" wrapText="1"/>
    </xf>
    <xf numFmtId="43" fontId="10" fillId="19" borderId="38" xfId="3" applyFont="1" applyFill="1" applyBorder="1" applyAlignment="1">
      <alignment horizontal="center" vertical="center" wrapText="1"/>
    </xf>
    <xf numFmtId="43" fontId="10" fillId="18" borderId="99" xfId="3" applyFont="1" applyFill="1" applyBorder="1" applyAlignment="1">
      <alignment horizontal="center" vertical="center" wrapText="1"/>
    </xf>
    <xf numFmtId="0" fontId="6" fillId="5" borderId="10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3" fontId="5" fillId="5" borderId="8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43" fontId="5" fillId="5" borderId="8" xfId="3" applyFont="1" applyFill="1" applyBorder="1" applyAlignment="1">
      <alignment vertical="center"/>
    </xf>
    <xf numFmtId="43" fontId="5" fillId="19" borderId="31" xfId="3" applyFont="1" applyFill="1" applyBorder="1" applyAlignment="1">
      <alignment horizontal="center" vertical="center" wrapText="1"/>
    </xf>
    <xf numFmtId="43" fontId="5" fillId="5" borderId="31" xfId="3" applyFont="1" applyFill="1" applyBorder="1" applyAlignment="1">
      <alignment horizontal="center" vertical="center" wrapText="1"/>
    </xf>
    <xf numFmtId="43" fontId="5" fillId="18" borderId="102" xfId="3" applyFont="1" applyFill="1" applyBorder="1" applyAlignment="1">
      <alignment horizontal="center" vertical="center" wrapText="1"/>
    </xf>
    <xf numFmtId="1" fontId="5" fillId="5" borderId="101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 wrapText="1"/>
    </xf>
    <xf numFmtId="3" fontId="5" fillId="5" borderId="8" xfId="0" applyNumberFormat="1" applyFont="1" applyFill="1" applyBorder="1" applyAlignment="1">
      <alignment horizontal="center" vertical="center"/>
    </xf>
    <xf numFmtId="43" fontId="5" fillId="19" borderId="8" xfId="3" applyFont="1" applyFill="1" applyBorder="1" applyAlignment="1">
      <alignment horizontal="center" vertical="center"/>
    </xf>
    <xf numFmtId="43" fontId="5" fillId="5" borderId="8" xfId="3" applyFont="1" applyFill="1" applyBorder="1" applyAlignment="1">
      <alignment horizontal="center" vertical="center"/>
    </xf>
    <xf numFmtId="1" fontId="5" fillId="5" borderId="103" xfId="0" applyNumberFormat="1" applyFont="1" applyFill="1" applyBorder="1" applyAlignment="1">
      <alignment horizontal="center" vertical="center"/>
    </xf>
    <xf numFmtId="0" fontId="5" fillId="5" borderId="77" xfId="0" applyFont="1" applyFill="1" applyBorder="1" applyAlignment="1">
      <alignment horizontal="left" vertical="center" wrapText="1"/>
    </xf>
    <xf numFmtId="3" fontId="5" fillId="5" borderId="77" xfId="0" applyNumberFormat="1" applyFont="1" applyFill="1" applyBorder="1" applyAlignment="1">
      <alignment horizontal="center" vertical="center"/>
    </xf>
    <xf numFmtId="0" fontId="5" fillId="5" borderId="77" xfId="0" applyFont="1" applyFill="1" applyBorder="1" applyAlignment="1">
      <alignment horizontal="center" vertical="center"/>
    </xf>
    <xf numFmtId="43" fontId="5" fillId="5" borderId="77" xfId="3" applyFont="1" applyFill="1" applyBorder="1" applyAlignment="1">
      <alignment vertical="center"/>
    </xf>
    <xf numFmtId="43" fontId="5" fillId="19" borderId="77" xfId="3" applyFont="1" applyFill="1" applyBorder="1" applyAlignment="1">
      <alignment horizontal="center" vertical="center"/>
    </xf>
    <xf numFmtId="43" fontId="5" fillId="5" borderId="77" xfId="3" applyFont="1" applyFill="1" applyBorder="1" applyAlignment="1">
      <alignment horizontal="center" vertical="center"/>
    </xf>
    <xf numFmtId="43" fontId="5" fillId="18" borderId="84" xfId="3" applyFont="1" applyFill="1" applyBorder="1" applyAlignment="1">
      <alignment horizontal="center" vertical="center" wrapText="1"/>
    </xf>
    <xf numFmtId="0" fontId="105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77" fillId="4" borderId="43" xfId="0" applyFont="1" applyFill="1" applyBorder="1" applyAlignment="1">
      <alignment vertical="center"/>
    </xf>
    <xf numFmtId="0" fontId="107" fillId="4" borderId="36" xfId="0" applyFont="1" applyFill="1" applyBorder="1" applyAlignment="1">
      <alignment horizontal="center" vertical="center" wrapText="1"/>
    </xf>
    <xf numFmtId="0" fontId="107" fillId="4" borderId="48" xfId="0" applyFont="1" applyFill="1" applyBorder="1" applyAlignment="1">
      <alignment horizontal="center" vertical="center" wrapText="1"/>
    </xf>
    <xf numFmtId="0" fontId="107" fillId="16" borderId="39" xfId="0" applyFont="1" applyFill="1" applyBorder="1" applyAlignment="1">
      <alignment vertical="center"/>
    </xf>
    <xf numFmtId="0" fontId="107" fillId="16" borderId="67" xfId="0" applyFont="1" applyFill="1" applyBorder="1" applyAlignment="1">
      <alignment vertical="center"/>
    </xf>
    <xf numFmtId="0" fontId="107" fillId="16" borderId="67" xfId="0" applyFont="1" applyFill="1" applyBorder="1" applyAlignment="1">
      <alignment horizontal="center" vertical="center"/>
    </xf>
    <xf numFmtId="0" fontId="107" fillId="16" borderId="104" xfId="0" applyFont="1" applyFill="1" applyBorder="1" applyAlignment="1">
      <alignment vertical="center" wrapText="1"/>
    </xf>
    <xf numFmtId="0" fontId="107" fillId="16" borderId="69" xfId="0" applyFont="1" applyFill="1" applyBorder="1" applyAlignment="1">
      <alignment vertical="center"/>
    </xf>
    <xf numFmtId="0" fontId="107" fillId="16" borderId="68" xfId="0" applyFont="1" applyFill="1" applyBorder="1" applyAlignment="1">
      <alignment horizontal="center" vertical="center"/>
    </xf>
    <xf numFmtId="0" fontId="107" fillId="19" borderId="39" xfId="0" applyFont="1" applyFill="1" applyBorder="1" applyAlignment="1">
      <alignment horizontal="center" vertical="center"/>
    </xf>
    <xf numFmtId="0" fontId="107" fillId="19" borderId="104" xfId="0" applyFont="1" applyFill="1" applyBorder="1" applyAlignment="1">
      <alignment horizontal="center" vertical="center"/>
    </xf>
    <xf numFmtId="0" fontId="107" fillId="16" borderId="24" xfId="0" applyFont="1" applyFill="1" applyBorder="1" applyAlignment="1">
      <alignment horizontal="center" vertical="center"/>
    </xf>
    <xf numFmtId="0" fontId="107" fillId="16" borderId="17" xfId="0" applyFont="1" applyFill="1" applyBorder="1" applyAlignment="1">
      <alignment horizontal="center" vertical="center"/>
    </xf>
    <xf numFmtId="0" fontId="107" fillId="16" borderId="91" xfId="0" applyFont="1" applyFill="1" applyBorder="1" applyAlignment="1">
      <alignment horizontal="center" vertical="center"/>
    </xf>
    <xf numFmtId="0" fontId="107" fillId="16" borderId="69" xfId="0" applyFont="1" applyFill="1" applyBorder="1" applyAlignment="1">
      <alignment horizontal="center" vertical="center"/>
    </xf>
    <xf numFmtId="0" fontId="107" fillId="20" borderId="69" xfId="0" applyFont="1" applyFill="1" applyBorder="1" applyAlignment="1">
      <alignment horizontal="center" vertical="center"/>
    </xf>
    <xf numFmtId="0" fontId="107" fillId="20" borderId="104" xfId="0" applyFont="1" applyFill="1" applyBorder="1" applyAlignment="1">
      <alignment horizontal="center" vertical="center"/>
    </xf>
    <xf numFmtId="0" fontId="107" fillId="21" borderId="69" xfId="0" applyFont="1" applyFill="1" applyBorder="1" applyAlignment="1">
      <alignment horizontal="center" vertical="center"/>
    </xf>
    <xf numFmtId="0" fontId="107" fillId="21" borderId="104" xfId="0" applyFont="1" applyFill="1" applyBorder="1" applyAlignment="1">
      <alignment horizontal="center" vertical="center"/>
    </xf>
    <xf numFmtId="0" fontId="77" fillId="0" borderId="98" xfId="0" applyFont="1" applyBorder="1" applyAlignment="1">
      <alignment horizontal="center" vertical="center"/>
    </xf>
    <xf numFmtId="0" fontId="77" fillId="0" borderId="87" xfId="0" applyFont="1" applyBorder="1" applyAlignment="1">
      <alignment horizontal="center" vertical="center"/>
    </xf>
    <xf numFmtId="0" fontId="77" fillId="0" borderId="99" xfId="0" applyFont="1" applyBorder="1" applyAlignment="1">
      <alignment horizontal="center" vertical="center" wrapText="1"/>
    </xf>
    <xf numFmtId="0" fontId="77" fillId="0" borderId="97" xfId="0" applyFont="1" applyBorder="1" applyAlignment="1">
      <alignment vertical="center"/>
    </xf>
    <xf numFmtId="0" fontId="77" fillId="0" borderId="87" xfId="0" applyFont="1" applyBorder="1" applyAlignment="1">
      <alignment vertical="center"/>
    </xf>
    <xf numFmtId="209" fontId="77" fillId="0" borderId="87" xfId="0" applyNumberFormat="1" applyFont="1" applyBorder="1" applyAlignment="1">
      <alignment horizontal="center" vertical="center"/>
    </xf>
    <xf numFmtId="205" fontId="77" fillId="0" borderId="38" xfId="0" applyNumberFormat="1" applyFont="1" applyBorder="1" applyAlignment="1">
      <alignment horizontal="center" vertical="center"/>
    </xf>
    <xf numFmtId="209" fontId="77" fillId="19" borderId="98" xfId="0" applyNumberFormat="1" applyFont="1" applyFill="1" applyBorder="1" applyAlignment="1">
      <alignment horizontal="center" vertical="center"/>
    </xf>
    <xf numFmtId="205" fontId="77" fillId="19" borderId="99" xfId="0" applyNumberFormat="1" applyFont="1" applyFill="1" applyBorder="1" applyAlignment="1">
      <alignment horizontal="center" vertical="center"/>
    </xf>
    <xf numFmtId="205" fontId="77" fillId="0" borderId="96" xfId="0" applyNumberFormat="1" applyFont="1" applyBorder="1" applyAlignment="1">
      <alignment horizontal="center" vertical="center"/>
    </xf>
    <xf numFmtId="205" fontId="77" fillId="0" borderId="99" xfId="0" applyNumberFormat="1" applyFont="1" applyBorder="1" applyAlignment="1">
      <alignment horizontal="center" vertical="center"/>
    </xf>
    <xf numFmtId="205" fontId="77" fillId="0" borderId="37" xfId="0" applyNumberFormat="1" applyFont="1" applyBorder="1" applyAlignment="1">
      <alignment horizontal="center" vertical="center"/>
    </xf>
    <xf numFmtId="209" fontId="77" fillId="5" borderId="97" xfId="0" applyNumberFormat="1" applyFont="1" applyFill="1" applyBorder="1" applyAlignment="1">
      <alignment horizontal="center" vertical="center"/>
    </xf>
    <xf numFmtId="205" fontId="77" fillId="5" borderId="38" xfId="0" applyNumberFormat="1" applyFont="1" applyFill="1" applyBorder="1" applyAlignment="1">
      <alignment horizontal="center" vertical="center"/>
    </xf>
    <xf numFmtId="204" fontId="77" fillId="5" borderId="96" xfId="0" applyNumberFormat="1" applyFont="1" applyFill="1" applyBorder="1" applyAlignment="1">
      <alignment horizontal="center" vertical="center"/>
    </xf>
    <xf numFmtId="205" fontId="77" fillId="5" borderId="99" xfId="0" applyNumberFormat="1" applyFont="1" applyFill="1" applyBorder="1" applyAlignment="1">
      <alignment horizontal="center" vertical="center"/>
    </xf>
    <xf numFmtId="209" fontId="77" fillId="20" borderId="97" xfId="0" applyNumberFormat="1" applyFont="1" applyFill="1" applyBorder="1" applyAlignment="1">
      <alignment horizontal="center" vertical="center"/>
    </xf>
    <xf numFmtId="205" fontId="77" fillId="20" borderId="99" xfId="0" applyNumberFormat="1" applyFont="1" applyFill="1" applyBorder="1" applyAlignment="1">
      <alignment horizontal="center" vertical="center"/>
    </xf>
    <xf numFmtId="204" fontId="77" fillId="21" borderId="97" xfId="4" applyNumberFormat="1" applyFont="1" applyFill="1" applyBorder="1" applyAlignment="1">
      <alignment horizontal="center" vertical="center"/>
    </xf>
    <xf numFmtId="205" fontId="77" fillId="21" borderId="9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7" fillId="5" borderId="33" xfId="0" applyFont="1" applyFill="1" applyBorder="1" applyAlignment="1">
      <alignment horizontal="center" vertical="center"/>
    </xf>
    <xf numFmtId="0" fontId="77" fillId="5" borderId="7" xfId="0" applyFont="1" applyFill="1" applyBorder="1" applyAlignment="1">
      <alignment horizontal="center" vertical="center"/>
    </xf>
    <xf numFmtId="0" fontId="77" fillId="5" borderId="18" xfId="0" applyFont="1" applyFill="1" applyBorder="1" applyAlignment="1">
      <alignment horizontal="center" vertical="center" wrapText="1"/>
    </xf>
    <xf numFmtId="0" fontId="77" fillId="5" borderId="10" xfId="0" applyFont="1" applyFill="1" applyBorder="1" applyAlignment="1">
      <alignment vertical="center"/>
    </xf>
    <xf numFmtId="0" fontId="77" fillId="5" borderId="7" xfId="0" applyFont="1" applyFill="1" applyBorder="1" applyAlignment="1">
      <alignment vertical="center"/>
    </xf>
    <xf numFmtId="209" fontId="77" fillId="5" borderId="7" xfId="0" applyNumberFormat="1" applyFont="1" applyFill="1" applyBorder="1" applyAlignment="1">
      <alignment horizontal="center" vertical="center"/>
    </xf>
    <xf numFmtId="205" fontId="77" fillId="5" borderId="9" xfId="0" applyNumberFormat="1" applyFont="1" applyFill="1" applyBorder="1" applyAlignment="1">
      <alignment horizontal="center" vertical="center"/>
    </xf>
    <xf numFmtId="209" fontId="77" fillId="19" borderId="33" xfId="0" applyNumberFormat="1" applyFont="1" applyFill="1" applyBorder="1" applyAlignment="1">
      <alignment horizontal="center" vertical="center"/>
    </xf>
    <xf numFmtId="205" fontId="77" fillId="19" borderId="18" xfId="0" applyNumberFormat="1" applyFont="1" applyFill="1" applyBorder="1" applyAlignment="1">
      <alignment horizontal="center" vertical="center"/>
    </xf>
    <xf numFmtId="205" fontId="77" fillId="5" borderId="88" xfId="0" applyNumberFormat="1" applyFont="1" applyFill="1" applyBorder="1" applyAlignment="1">
      <alignment horizontal="center" vertical="center"/>
    </xf>
    <xf numFmtId="205" fontId="77" fillId="5" borderId="18" xfId="0" applyNumberFormat="1" applyFont="1" applyFill="1" applyBorder="1" applyAlignment="1">
      <alignment horizontal="center" vertical="center"/>
    </xf>
    <xf numFmtId="205" fontId="77" fillId="5" borderId="2" xfId="0" applyNumberFormat="1" applyFont="1" applyFill="1" applyBorder="1" applyAlignment="1">
      <alignment horizontal="center" vertical="center"/>
    </xf>
    <xf numFmtId="209" fontId="77" fillId="5" borderId="33" xfId="0" applyNumberFormat="1" applyFont="1" applyFill="1" applyBorder="1" applyAlignment="1">
      <alignment horizontal="center" vertical="center"/>
    </xf>
    <xf numFmtId="209" fontId="77" fillId="5" borderId="10" xfId="0" applyNumberFormat="1" applyFont="1" applyFill="1" applyBorder="1" applyAlignment="1">
      <alignment horizontal="center" vertical="center"/>
    </xf>
    <xf numFmtId="209" fontId="77" fillId="20" borderId="10" xfId="0" applyNumberFormat="1" applyFont="1" applyFill="1" applyBorder="1" applyAlignment="1">
      <alignment horizontal="center" vertical="center"/>
    </xf>
    <xf numFmtId="205" fontId="77" fillId="20" borderId="18" xfId="0" applyNumberFormat="1" applyFont="1" applyFill="1" applyBorder="1" applyAlignment="1">
      <alignment horizontal="center" vertical="center"/>
    </xf>
    <xf numFmtId="204" fontId="77" fillId="21" borderId="10" xfId="4" applyNumberFormat="1" applyFont="1" applyFill="1" applyBorder="1" applyAlignment="1">
      <alignment horizontal="center" vertical="center"/>
    </xf>
    <xf numFmtId="205" fontId="77" fillId="21" borderId="18" xfId="0" applyNumberFormat="1" applyFont="1" applyFill="1" applyBorder="1" applyAlignment="1">
      <alignment horizontal="center" vertical="center"/>
    </xf>
    <xf numFmtId="0" fontId="77" fillId="5" borderId="7" xfId="0" applyFont="1" applyFill="1" applyBorder="1"/>
    <xf numFmtId="209" fontId="77" fillId="19" borderId="18" xfId="0" applyNumberFormat="1" applyFont="1" applyFill="1" applyBorder="1" applyAlignment="1">
      <alignment horizontal="center" vertical="center"/>
    </xf>
    <xf numFmtId="0" fontId="77" fillId="0" borderId="33" xfId="0" applyFont="1" applyBorder="1" applyAlignment="1">
      <alignment horizontal="center" vertical="center"/>
    </xf>
    <xf numFmtId="0" fontId="77" fillId="0" borderId="7" xfId="0" applyFont="1" applyBorder="1" applyAlignment="1">
      <alignment horizontal="center" vertical="center"/>
    </xf>
    <xf numFmtId="0" fontId="77" fillId="0" borderId="18" xfId="0" applyFont="1" applyBorder="1" applyAlignment="1">
      <alignment horizontal="center" vertical="center" wrapText="1"/>
    </xf>
    <xf numFmtId="0" fontId="77" fillId="0" borderId="10" xfId="0" applyFont="1" applyBorder="1" applyAlignment="1">
      <alignment vertical="center"/>
    </xf>
    <xf numFmtId="0" fontId="77" fillId="0" borderId="7" xfId="0" applyFont="1" applyBorder="1" applyAlignment="1">
      <alignment vertical="center"/>
    </xf>
    <xf numFmtId="209" fontId="77" fillId="0" borderId="7" xfId="0" applyNumberFormat="1" applyFont="1" applyBorder="1" applyAlignment="1">
      <alignment horizontal="center" vertical="center"/>
    </xf>
    <xf numFmtId="205" fontId="77" fillId="0" borderId="9" xfId="0" applyNumberFormat="1" applyFont="1" applyBorder="1" applyAlignment="1">
      <alignment horizontal="center" vertical="center"/>
    </xf>
    <xf numFmtId="205" fontId="77" fillId="0" borderId="88" xfId="0" applyNumberFormat="1" applyFont="1" applyBorder="1" applyAlignment="1">
      <alignment horizontal="center" vertical="center"/>
    </xf>
    <xf numFmtId="205" fontId="77" fillId="0" borderId="18" xfId="0" applyNumberFormat="1" applyFont="1" applyBorder="1" applyAlignment="1">
      <alignment horizontal="center" vertical="center"/>
    </xf>
    <xf numFmtId="205" fontId="77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204" fontId="77" fillId="0" borderId="7" xfId="0" applyNumberFormat="1" applyFont="1" applyBorder="1" applyAlignment="1">
      <alignment horizontal="center" vertical="center"/>
    </xf>
    <xf numFmtId="204" fontId="77" fillId="5" borderId="7" xfId="0" applyNumberFormat="1" applyFont="1" applyFill="1" applyBorder="1" applyAlignment="1">
      <alignment horizontal="center" vertical="center"/>
    </xf>
    <xf numFmtId="0" fontId="77" fillId="5" borderId="7" xfId="0" applyFont="1" applyFill="1" applyBorder="1" applyAlignment="1">
      <alignment horizontal="center" vertical="center" wrapText="1"/>
    </xf>
    <xf numFmtId="205" fontId="77" fillId="5" borderId="105" xfId="0" applyNumberFormat="1" applyFont="1" applyFill="1" applyBorder="1" applyAlignment="1">
      <alignment horizontal="center" vertical="center"/>
    </xf>
    <xf numFmtId="205" fontId="77" fillId="5" borderId="102" xfId="0" applyNumberFormat="1" applyFont="1" applyFill="1" applyBorder="1" applyAlignment="1">
      <alignment horizontal="center" vertical="center"/>
    </xf>
    <xf numFmtId="205" fontId="77" fillId="5" borderId="20" xfId="0" applyNumberFormat="1" applyFont="1" applyFill="1" applyBorder="1" applyAlignment="1">
      <alignment horizontal="center" vertical="center"/>
    </xf>
    <xf numFmtId="209" fontId="77" fillId="5" borderId="42" xfId="0" applyNumberFormat="1" applyFont="1" applyFill="1" applyBorder="1" applyAlignment="1">
      <alignment horizontal="center" vertical="center"/>
    </xf>
    <xf numFmtId="205" fontId="77" fillId="5" borderId="31" xfId="0" applyNumberFormat="1" applyFont="1" applyFill="1" applyBorder="1" applyAlignment="1">
      <alignment horizontal="center" vertical="center"/>
    </xf>
    <xf numFmtId="204" fontId="77" fillId="5" borderId="105" xfId="0" applyNumberFormat="1" applyFont="1" applyFill="1" applyBorder="1" applyAlignment="1">
      <alignment horizontal="center" vertical="center"/>
    </xf>
    <xf numFmtId="209" fontId="77" fillId="20" borderId="42" xfId="0" applyNumberFormat="1" applyFont="1" applyFill="1" applyBorder="1" applyAlignment="1">
      <alignment horizontal="center" vertical="center"/>
    </xf>
    <xf numFmtId="205" fontId="77" fillId="20" borderId="102" xfId="0" applyNumberFormat="1" applyFont="1" applyFill="1" applyBorder="1" applyAlignment="1">
      <alignment horizontal="center" vertical="center"/>
    </xf>
    <xf numFmtId="0" fontId="77" fillId="5" borderId="103" xfId="0" applyFont="1" applyFill="1" applyBorder="1" applyAlignment="1">
      <alignment horizontal="center" vertical="center"/>
    </xf>
    <xf numFmtId="0" fontId="77" fillId="5" borderId="77" xfId="0" applyFont="1" applyFill="1" applyBorder="1" applyAlignment="1">
      <alignment horizontal="center" vertical="center" wrapText="1"/>
    </xf>
    <xf numFmtId="0" fontId="77" fillId="5" borderId="77" xfId="0" applyFont="1" applyFill="1" applyBorder="1" applyAlignment="1">
      <alignment horizontal="center" vertical="center"/>
    </xf>
    <xf numFmtId="0" fontId="77" fillId="5" borderId="84" xfId="0" applyFont="1" applyFill="1" applyBorder="1" applyAlignment="1">
      <alignment horizontal="center" vertical="center" wrapText="1"/>
    </xf>
    <xf numFmtId="0" fontId="77" fillId="5" borderId="76" xfId="0" applyFont="1" applyFill="1" applyBorder="1" applyAlignment="1">
      <alignment vertical="center"/>
    </xf>
    <xf numFmtId="0" fontId="77" fillId="5" borderId="77" xfId="0" applyFont="1" applyFill="1" applyBorder="1" applyAlignment="1">
      <alignment vertical="center"/>
    </xf>
    <xf numFmtId="204" fontId="77" fillId="5" borderId="77" xfId="0" applyNumberFormat="1" applyFont="1" applyFill="1" applyBorder="1" applyAlignment="1">
      <alignment horizontal="center" vertical="center"/>
    </xf>
    <xf numFmtId="205" fontId="77" fillId="5" borderId="78" xfId="0" applyNumberFormat="1" applyFont="1" applyFill="1" applyBorder="1" applyAlignment="1">
      <alignment horizontal="center" vertical="center"/>
    </xf>
    <xf numFmtId="209" fontId="77" fillId="19" borderId="103" xfId="0" applyNumberFormat="1" applyFont="1" applyFill="1" applyBorder="1" applyAlignment="1">
      <alignment horizontal="center" vertical="center"/>
    </xf>
    <xf numFmtId="205" fontId="77" fillId="19" borderId="84" xfId="0" applyNumberFormat="1" applyFont="1" applyFill="1" applyBorder="1" applyAlignment="1">
      <alignment horizontal="center" vertical="center"/>
    </xf>
    <xf numFmtId="205" fontId="77" fillId="5" borderId="56" xfId="0" applyNumberFormat="1" applyFont="1" applyFill="1" applyBorder="1" applyAlignment="1">
      <alignment horizontal="center" vertical="center"/>
    </xf>
    <xf numFmtId="205" fontId="77" fillId="5" borderId="84" xfId="0" applyNumberFormat="1" applyFont="1" applyFill="1" applyBorder="1" applyAlignment="1">
      <alignment horizontal="center" vertical="center"/>
    </xf>
    <xf numFmtId="205" fontId="77" fillId="5" borderId="55" xfId="0" applyNumberFormat="1" applyFont="1" applyFill="1" applyBorder="1" applyAlignment="1">
      <alignment horizontal="center" vertical="center"/>
    </xf>
    <xf numFmtId="209" fontId="77" fillId="5" borderId="76" xfId="0" applyNumberFormat="1" applyFont="1" applyFill="1" applyBorder="1" applyAlignment="1">
      <alignment horizontal="center" vertical="center"/>
    </xf>
    <xf numFmtId="204" fontId="77" fillId="5" borderId="56" xfId="0" applyNumberFormat="1" applyFont="1" applyFill="1" applyBorder="1" applyAlignment="1">
      <alignment horizontal="center" vertical="center"/>
    </xf>
    <xf numFmtId="209" fontId="77" fillId="20" borderId="76" xfId="0" applyNumberFormat="1" applyFont="1" applyFill="1" applyBorder="1" applyAlignment="1">
      <alignment horizontal="center" vertical="center"/>
    </xf>
    <xf numFmtId="205" fontId="77" fillId="20" borderId="84" xfId="0" applyNumberFormat="1" applyFont="1" applyFill="1" applyBorder="1" applyAlignment="1">
      <alignment horizontal="center" vertical="center"/>
    </xf>
    <xf numFmtId="0" fontId="0" fillId="2" borderId="100" xfId="0" applyFill="1" applyBorder="1" applyAlignment="1">
      <alignment vertical="center"/>
    </xf>
    <xf numFmtId="0" fontId="0" fillId="2" borderId="107" xfId="0" applyFill="1" applyBorder="1" applyAlignment="1">
      <alignment vertical="center"/>
    </xf>
    <xf numFmtId="209" fontId="106" fillId="2" borderId="107" xfId="0" applyNumberFormat="1" applyFont="1" applyFill="1" applyBorder="1" applyAlignment="1">
      <alignment horizontal="center" vertical="center"/>
    </xf>
    <xf numFmtId="205" fontId="106" fillId="2" borderId="109" xfId="0" applyNumberFormat="1" applyFont="1" applyFill="1" applyBorder="1" applyAlignment="1">
      <alignment horizontal="center" vertical="center"/>
    </xf>
    <xf numFmtId="205" fontId="106" fillId="19" borderId="108" xfId="0" applyNumberFormat="1" applyFont="1" applyFill="1" applyBorder="1" applyAlignment="1">
      <alignment horizontal="center" vertical="center"/>
    </xf>
    <xf numFmtId="209" fontId="106" fillId="2" borderId="106" xfId="0" applyNumberFormat="1" applyFont="1" applyFill="1" applyBorder="1" applyAlignment="1">
      <alignment vertical="center"/>
    </xf>
    <xf numFmtId="205" fontId="106" fillId="2" borderId="108" xfId="0" applyNumberFormat="1" applyFont="1" applyFill="1" applyBorder="1" applyAlignment="1">
      <alignment vertical="center"/>
    </xf>
    <xf numFmtId="209" fontId="106" fillId="20" borderId="100" xfId="0" applyNumberFormat="1" applyFont="1" applyFill="1" applyBorder="1" applyAlignment="1">
      <alignment vertical="center"/>
    </xf>
    <xf numFmtId="205" fontId="106" fillId="20" borderId="108" xfId="0" applyNumberFormat="1" applyFont="1" applyFill="1" applyBorder="1" applyAlignment="1">
      <alignment vertical="center"/>
    </xf>
    <xf numFmtId="0" fontId="0" fillId="5" borderId="0" xfId="0" applyFill="1" applyAlignment="1">
      <alignment vertical="center" wrapText="1"/>
    </xf>
    <xf numFmtId="207" fontId="0" fillId="5" borderId="0" xfId="0" applyNumberFormat="1" applyFill="1" applyAlignment="1">
      <alignment vertical="center"/>
    </xf>
    <xf numFmtId="164" fontId="0" fillId="5" borderId="0" xfId="1" applyFont="1" applyFill="1" applyAlignment="1">
      <alignment vertical="center"/>
    </xf>
    <xf numFmtId="0" fontId="106" fillId="0" borderId="103" xfId="0" applyFont="1" applyBorder="1" applyAlignment="1">
      <alignment horizontal="center" vertical="center" wrapText="1"/>
    </xf>
    <xf numFmtId="0" fontId="106" fillId="0" borderId="77" xfId="0" applyFont="1" applyBorder="1" applyAlignment="1">
      <alignment horizontal="center" vertical="center" wrapText="1"/>
    </xf>
    <xf numFmtId="0" fontId="106" fillId="0" borderId="84" xfId="0" applyFont="1" applyBorder="1" applyAlignment="1">
      <alignment horizontal="center" vertical="center" wrapText="1"/>
    </xf>
    <xf numFmtId="0" fontId="0" fillId="0" borderId="110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111" xfId="0" applyBorder="1" applyAlignment="1">
      <alignment horizontal="center" vertical="center" wrapText="1"/>
    </xf>
    <xf numFmtId="210" fontId="0" fillId="5" borderId="33" xfId="0" applyNumberFormat="1" applyFill="1" applyBorder="1" applyAlignment="1">
      <alignment horizontal="center" wrapText="1"/>
    </xf>
    <xf numFmtId="210" fontId="0" fillId="5" borderId="7" xfId="0" applyNumberFormat="1" applyFill="1" applyBorder="1" applyAlignment="1">
      <alignment horizontal="center" wrapText="1"/>
    </xf>
    <xf numFmtId="210" fontId="0" fillId="5" borderId="18" xfId="0" applyNumberFormat="1" applyFill="1" applyBorder="1" applyAlignment="1">
      <alignment horizontal="center" wrapText="1"/>
    </xf>
    <xf numFmtId="210" fontId="0" fillId="5" borderId="32" xfId="0" applyNumberFormat="1" applyFill="1" applyBorder="1" applyAlignment="1">
      <alignment horizontal="center" wrapText="1"/>
    </xf>
    <xf numFmtId="210" fontId="0" fillId="5" borderId="95" xfId="0" applyNumberFormat="1" applyFill="1" applyBorder="1" applyAlignment="1">
      <alignment horizontal="center" wrapText="1"/>
    </xf>
    <xf numFmtId="0" fontId="0" fillId="0" borderId="34" xfId="0" applyBorder="1" applyAlignment="1">
      <alignment horizontal="center"/>
    </xf>
    <xf numFmtId="210" fontId="106" fillId="22" borderId="21" xfId="0" applyNumberFormat="1" applyFont="1" applyFill="1" applyBorder="1" applyAlignment="1">
      <alignment horizontal="center" wrapText="1"/>
    </xf>
    <xf numFmtId="0" fontId="111" fillId="0" borderId="0" xfId="0" applyFont="1"/>
    <xf numFmtId="0" fontId="111" fillId="0" borderId="0" xfId="0" applyFont="1" applyAlignment="1">
      <alignment horizontal="center"/>
    </xf>
    <xf numFmtId="0" fontId="111" fillId="0" borderId="0" xfId="0" applyFont="1" applyAlignment="1">
      <alignment wrapText="1"/>
    </xf>
    <xf numFmtId="0" fontId="99" fillId="5" borderId="0" xfId="0" applyFont="1" applyFill="1"/>
    <xf numFmtId="0" fontId="99" fillId="0" borderId="0" xfId="0" applyFont="1"/>
    <xf numFmtId="0" fontId="76" fillId="5" borderId="0" xfId="0" applyFont="1" applyFill="1"/>
    <xf numFmtId="0" fontId="76" fillId="2" borderId="7" xfId="0" applyFont="1" applyFill="1" applyBorder="1" applyAlignment="1">
      <alignment horizontal="left"/>
    </xf>
    <xf numFmtId="0" fontId="112" fillId="0" borderId="0" xfId="0" applyFont="1"/>
    <xf numFmtId="0" fontId="113" fillId="5" borderId="19" xfId="0" applyFont="1" applyFill="1" applyBorder="1" applyAlignment="1">
      <alignment vertical="center"/>
    </xf>
    <xf numFmtId="0" fontId="114" fillId="4" borderId="43" xfId="0" applyFont="1" applyFill="1" applyBorder="1"/>
    <xf numFmtId="0" fontId="113" fillId="0" borderId="0" xfId="0" applyFont="1" applyAlignment="1">
      <alignment horizontal="left" vertical="center"/>
    </xf>
    <xf numFmtId="0" fontId="113" fillId="16" borderId="7" xfId="0" applyFont="1" applyFill="1" applyBorder="1" applyAlignment="1">
      <alignment horizontal="center" vertical="center"/>
    </xf>
    <xf numFmtId="0" fontId="113" fillId="16" borderId="7" xfId="0" applyFont="1" applyFill="1" applyBorder="1" applyAlignment="1">
      <alignment horizontal="center" vertical="center" wrapText="1"/>
    </xf>
    <xf numFmtId="0" fontId="114" fillId="16" borderId="7" xfId="0" applyFont="1" applyFill="1" applyBorder="1" applyAlignment="1">
      <alignment horizontal="center" vertical="center"/>
    </xf>
    <xf numFmtId="0" fontId="114" fillId="16" borderId="9" xfId="0" applyFont="1" applyFill="1" applyBorder="1" applyAlignment="1">
      <alignment horizontal="center" vertical="center"/>
    </xf>
    <xf numFmtId="0" fontId="113" fillId="16" borderId="33" xfId="0" applyFont="1" applyFill="1" applyBorder="1" applyAlignment="1">
      <alignment horizontal="center" vertical="center"/>
    </xf>
    <xf numFmtId="0" fontId="113" fillId="16" borderId="18" xfId="0" applyFont="1" applyFill="1" applyBorder="1" applyAlignment="1">
      <alignment horizontal="center" vertical="center"/>
    </xf>
    <xf numFmtId="0" fontId="113" fillId="19" borderId="10" xfId="0" applyFont="1" applyFill="1" applyBorder="1" applyAlignment="1">
      <alignment horizontal="center" vertical="center"/>
    </xf>
    <xf numFmtId="0" fontId="113" fillId="19" borderId="9" xfId="0" applyFont="1" applyFill="1" applyBorder="1" applyAlignment="1">
      <alignment horizontal="center" vertical="center"/>
    </xf>
    <xf numFmtId="0" fontId="115" fillId="20" borderId="98" xfId="0" applyFont="1" applyFill="1" applyBorder="1" applyAlignment="1">
      <alignment horizontal="center" vertical="center"/>
    </xf>
    <xf numFmtId="0" fontId="115" fillId="20" borderId="99" xfId="0" applyFont="1" applyFill="1" applyBorder="1" applyAlignment="1">
      <alignment horizontal="center" vertical="center"/>
    </xf>
    <xf numFmtId="0" fontId="115" fillId="21" borderId="10" xfId="0" applyFont="1" applyFill="1" applyBorder="1" applyAlignment="1">
      <alignment horizontal="center" vertical="center"/>
    </xf>
    <xf numFmtId="0" fontId="115" fillId="21" borderId="18" xfId="0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/>
    </xf>
    <xf numFmtId="0" fontId="78" fillId="5" borderId="112" xfId="0" applyFont="1" applyFill="1" applyBorder="1" applyAlignment="1">
      <alignment horizontal="center"/>
    </xf>
    <xf numFmtId="0" fontId="78" fillId="5" borderId="112" xfId="0" applyFont="1" applyFill="1" applyBorder="1" applyAlignment="1">
      <alignment horizontal="center" vertical="center"/>
    </xf>
    <xf numFmtId="0" fontId="78" fillId="2" borderId="112" xfId="0" applyFont="1" applyFill="1" applyBorder="1" applyAlignment="1">
      <alignment horizontal="center" wrapText="1"/>
    </xf>
    <xf numFmtId="0" fontId="78" fillId="5" borderId="112" xfId="0" applyFont="1" applyFill="1" applyBorder="1"/>
    <xf numFmtId="204" fontId="78" fillId="5" borderId="113" xfId="0" applyNumberFormat="1" applyFont="1" applyFill="1" applyBorder="1" applyAlignment="1">
      <alignment horizontal="center" vertical="center"/>
    </xf>
    <xf numFmtId="205" fontId="78" fillId="5" borderId="114" xfId="0" applyNumberFormat="1" applyFont="1" applyFill="1" applyBorder="1" applyAlignment="1">
      <alignment horizontal="center" vertical="center"/>
    </xf>
    <xf numFmtId="204" fontId="78" fillId="19" borderId="42" xfId="0" applyNumberFormat="1" applyFont="1" applyFill="1" applyBorder="1" applyAlignment="1">
      <alignment horizontal="center" vertical="center"/>
    </xf>
    <xf numFmtId="205" fontId="78" fillId="19" borderId="31" xfId="0" applyNumberFormat="1" applyFont="1" applyFill="1" applyBorder="1" applyAlignment="1">
      <alignment horizontal="center" vertical="center"/>
    </xf>
    <xf numFmtId="209" fontId="115" fillId="20" borderId="35" xfId="0" applyNumberFormat="1" applyFont="1" applyFill="1" applyBorder="1" applyAlignment="1">
      <alignment horizontal="center" vertical="center"/>
    </xf>
    <xf numFmtId="0" fontId="115" fillId="20" borderId="73" xfId="0" applyFont="1" applyFill="1" applyBorder="1" applyAlignment="1">
      <alignment horizontal="center" vertical="center"/>
    </xf>
    <xf numFmtId="204" fontId="78" fillId="21" borderId="33" xfId="0" applyNumberFormat="1" applyFont="1" applyFill="1" applyBorder="1" applyAlignment="1">
      <alignment horizontal="center" vertical="center"/>
    </xf>
    <xf numFmtId="205" fontId="78" fillId="21" borderId="18" xfId="0" applyNumberFormat="1" applyFont="1" applyFill="1" applyBorder="1" applyAlignment="1">
      <alignment horizontal="center" vertical="center"/>
    </xf>
    <xf numFmtId="0" fontId="78" fillId="5" borderId="77" xfId="0" applyFont="1" applyFill="1" applyBorder="1" applyAlignment="1">
      <alignment horizontal="center"/>
    </xf>
    <xf numFmtId="0" fontId="78" fillId="5" borderId="77" xfId="0" applyFont="1" applyFill="1" applyBorder="1" applyAlignment="1">
      <alignment horizontal="center" vertical="center"/>
    </xf>
    <xf numFmtId="0" fontId="78" fillId="5" borderId="77" xfId="0" applyFont="1" applyFill="1" applyBorder="1" applyAlignment="1">
      <alignment horizontal="center" wrapText="1"/>
    </xf>
    <xf numFmtId="0" fontId="78" fillId="5" borderId="77" xfId="0" applyFont="1" applyFill="1" applyBorder="1"/>
    <xf numFmtId="0" fontId="78" fillId="5" borderId="78" xfId="0" applyFont="1" applyFill="1" applyBorder="1"/>
    <xf numFmtId="204" fontId="78" fillId="5" borderId="103" xfId="0" applyNumberFormat="1" applyFont="1" applyFill="1" applyBorder="1" applyAlignment="1">
      <alignment horizontal="center" vertical="center"/>
    </xf>
    <xf numFmtId="205" fontId="78" fillId="5" borderId="84" xfId="0" applyNumberFormat="1" applyFont="1" applyFill="1" applyBorder="1" applyAlignment="1">
      <alignment horizontal="center" vertical="center"/>
    </xf>
    <xf numFmtId="204" fontId="78" fillId="19" borderId="76" xfId="0" applyNumberFormat="1" applyFont="1" applyFill="1" applyBorder="1" applyAlignment="1">
      <alignment horizontal="center" vertical="center"/>
    </xf>
    <xf numFmtId="205" fontId="78" fillId="19" borderId="78" xfId="0" applyNumberFormat="1" applyFont="1" applyFill="1" applyBorder="1" applyAlignment="1">
      <alignment horizontal="center" vertical="center"/>
    </xf>
    <xf numFmtId="209" fontId="78" fillId="20" borderId="103" xfId="0" applyNumberFormat="1" applyFont="1" applyFill="1" applyBorder="1" applyAlignment="1">
      <alignment horizontal="center" vertical="center"/>
    </xf>
    <xf numFmtId="205" fontId="78" fillId="20" borderId="84" xfId="0" applyNumberFormat="1" applyFont="1" applyFill="1" applyBorder="1" applyAlignment="1">
      <alignment horizontal="center" vertical="center"/>
    </xf>
    <xf numFmtId="204" fontId="78" fillId="21" borderId="106" xfId="0" applyNumberFormat="1" applyFont="1" applyFill="1" applyBorder="1" applyAlignment="1">
      <alignment horizontal="center" vertical="center"/>
    </xf>
    <xf numFmtId="205" fontId="78" fillId="21" borderId="108" xfId="0" applyNumberFormat="1" applyFont="1" applyFill="1" applyBorder="1" applyAlignment="1">
      <alignment horizontal="center" vertical="center"/>
    </xf>
    <xf numFmtId="0" fontId="78" fillId="5" borderId="11" xfId="0" applyFont="1" applyFill="1" applyBorder="1" applyAlignment="1">
      <alignment horizontal="center"/>
    </xf>
    <xf numFmtId="0" fontId="78" fillId="5" borderId="115" xfId="0" applyFont="1" applyFill="1" applyBorder="1" applyAlignment="1">
      <alignment horizontal="center"/>
    </xf>
    <xf numFmtId="0" fontId="78" fillId="5" borderId="115" xfId="0" applyFont="1" applyFill="1" applyBorder="1" applyAlignment="1">
      <alignment horizontal="center" vertical="center"/>
    </xf>
    <xf numFmtId="0" fontId="78" fillId="2" borderId="115" xfId="0" applyFont="1" applyFill="1" applyBorder="1" applyAlignment="1">
      <alignment horizontal="center" wrapText="1"/>
    </xf>
    <xf numFmtId="0" fontId="78" fillId="5" borderId="115" xfId="0" applyFont="1" applyFill="1" applyBorder="1"/>
    <xf numFmtId="204" fontId="78" fillId="5" borderId="116" xfId="0" applyNumberFormat="1" applyFont="1" applyFill="1" applyBorder="1" applyAlignment="1">
      <alignment horizontal="center" vertical="center"/>
    </xf>
    <xf numFmtId="205" fontId="78" fillId="5" borderId="117" xfId="0" applyNumberFormat="1" applyFont="1" applyFill="1" applyBorder="1" applyAlignment="1">
      <alignment horizontal="center" vertical="center"/>
    </xf>
    <xf numFmtId="204" fontId="78" fillId="19" borderId="40" xfId="0" applyNumberFormat="1" applyFont="1" applyFill="1" applyBorder="1" applyAlignment="1">
      <alignment horizontal="center" vertical="center"/>
    </xf>
    <xf numFmtId="205" fontId="78" fillId="19" borderId="41" xfId="0" applyNumberFormat="1" applyFont="1" applyFill="1" applyBorder="1" applyAlignment="1">
      <alignment horizontal="center" vertical="center"/>
    </xf>
    <xf numFmtId="209" fontId="78" fillId="20" borderId="96" xfId="0" applyNumberFormat="1" applyFont="1" applyFill="1" applyBorder="1" applyAlignment="1">
      <alignment horizontal="center" vertical="center"/>
    </xf>
    <xf numFmtId="205" fontId="78" fillId="20" borderId="99" xfId="0" applyNumberFormat="1" applyFont="1" applyFill="1" applyBorder="1" applyAlignment="1">
      <alignment horizontal="center" vertical="center"/>
    </xf>
    <xf numFmtId="204" fontId="78" fillId="21" borderId="72" xfId="0" applyNumberFormat="1" applyFont="1" applyFill="1" applyBorder="1" applyAlignment="1">
      <alignment horizontal="center" vertical="center"/>
    </xf>
    <xf numFmtId="205" fontId="78" fillId="21" borderId="83" xfId="0" applyNumberFormat="1" applyFont="1" applyFill="1" applyBorder="1" applyAlignment="1">
      <alignment horizontal="center" vertical="center"/>
    </xf>
    <xf numFmtId="0" fontId="78" fillId="5" borderId="11" xfId="0" applyFont="1" applyFill="1" applyBorder="1" applyAlignment="1">
      <alignment horizontal="center" vertical="center"/>
    </xf>
    <xf numFmtId="0" fontId="78" fillId="2" borderId="11" xfId="0" applyFont="1" applyFill="1" applyBorder="1" applyAlignment="1">
      <alignment horizontal="center" wrapText="1"/>
    </xf>
    <xf numFmtId="0" fontId="78" fillId="5" borderId="11" xfId="0" applyFont="1" applyFill="1" applyBorder="1"/>
    <xf numFmtId="0" fontId="78" fillId="5" borderId="4" xfId="0" applyFont="1" applyFill="1" applyBorder="1"/>
    <xf numFmtId="204" fontId="78" fillId="5" borderId="72" xfId="0" applyNumberFormat="1" applyFont="1" applyFill="1" applyBorder="1" applyAlignment="1">
      <alignment horizontal="center" vertical="center"/>
    </xf>
    <xf numFmtId="205" fontId="78" fillId="5" borderId="83" xfId="0" applyNumberFormat="1" applyFont="1" applyFill="1" applyBorder="1" applyAlignment="1">
      <alignment horizontal="center" vertical="center"/>
    </xf>
    <xf numFmtId="204" fontId="78" fillId="19" borderId="6" xfId="0" applyNumberFormat="1" applyFont="1" applyFill="1" applyBorder="1" applyAlignment="1">
      <alignment horizontal="center" vertical="center"/>
    </xf>
    <xf numFmtId="205" fontId="78" fillId="19" borderId="4" xfId="0" applyNumberFormat="1" applyFont="1" applyFill="1" applyBorder="1" applyAlignment="1">
      <alignment horizontal="center" vertical="center"/>
    </xf>
    <xf numFmtId="209" fontId="78" fillId="20" borderId="94" xfId="0" applyNumberFormat="1" applyFont="1" applyFill="1" applyBorder="1" applyAlignment="1">
      <alignment horizontal="center" vertical="center"/>
    </xf>
    <xf numFmtId="205" fontId="78" fillId="20" borderId="83" xfId="0" applyNumberFormat="1" applyFont="1" applyFill="1" applyBorder="1" applyAlignment="1">
      <alignment horizontal="center" vertical="center"/>
    </xf>
    <xf numFmtId="204" fontId="78" fillId="5" borderId="118" xfId="0" applyNumberFormat="1" applyFont="1" applyFill="1" applyBorder="1" applyAlignment="1">
      <alignment horizontal="center" vertical="center"/>
    </xf>
    <xf numFmtId="205" fontId="78" fillId="5" borderId="119" xfId="0" applyNumberFormat="1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wrapText="1"/>
    </xf>
    <xf numFmtId="0" fontId="78" fillId="5" borderId="7" xfId="0" applyFont="1" applyFill="1" applyBorder="1"/>
    <xf numFmtId="0" fontId="78" fillId="5" borderId="9" xfId="0" applyFont="1" applyFill="1" applyBorder="1"/>
    <xf numFmtId="204" fontId="78" fillId="5" borderId="33" xfId="0" applyNumberFormat="1" applyFont="1" applyFill="1" applyBorder="1" applyAlignment="1">
      <alignment horizontal="center" vertical="center"/>
    </xf>
    <xf numFmtId="205" fontId="78" fillId="5" borderId="18" xfId="0" applyNumberFormat="1" applyFont="1" applyFill="1" applyBorder="1" applyAlignment="1">
      <alignment horizontal="center" vertical="center"/>
    </xf>
    <xf numFmtId="204" fontId="78" fillId="19" borderId="10" xfId="0" applyNumberFormat="1" applyFont="1" applyFill="1" applyBorder="1" applyAlignment="1">
      <alignment horizontal="center" vertical="center"/>
    </xf>
    <xf numFmtId="205" fontId="78" fillId="19" borderId="9" xfId="0" applyNumberFormat="1" applyFont="1" applyFill="1" applyBorder="1" applyAlignment="1">
      <alignment horizontal="center" vertical="center"/>
    </xf>
    <xf numFmtId="209" fontId="78" fillId="20" borderId="88" xfId="0" applyNumberFormat="1" applyFont="1" applyFill="1" applyBorder="1" applyAlignment="1">
      <alignment horizontal="center" vertical="center"/>
    </xf>
    <xf numFmtId="205" fontId="78" fillId="20" borderId="18" xfId="0" applyNumberFormat="1" applyFont="1" applyFill="1" applyBorder="1" applyAlignment="1">
      <alignment horizontal="center" vertical="center"/>
    </xf>
    <xf numFmtId="209" fontId="78" fillId="20" borderId="33" xfId="0" applyNumberFormat="1" applyFont="1" applyFill="1" applyBorder="1" applyAlignment="1">
      <alignment horizontal="center" vertical="center"/>
    </xf>
    <xf numFmtId="0" fontId="78" fillId="2" borderId="7" xfId="0" applyFont="1" applyFill="1" applyBorder="1" applyAlignment="1">
      <alignment horizontal="center" wrapText="1"/>
    </xf>
    <xf numFmtId="0" fontId="78" fillId="2" borderId="120" xfId="0" applyFont="1" applyFill="1" applyBorder="1" applyAlignment="1">
      <alignment horizontal="center" wrapText="1"/>
    </xf>
    <xf numFmtId="0" fontId="78" fillId="5" borderId="120" xfId="0" applyFont="1" applyFill="1" applyBorder="1"/>
    <xf numFmtId="0" fontId="78" fillId="5" borderId="120" xfId="0" applyFont="1" applyFill="1" applyBorder="1" applyAlignment="1">
      <alignment horizontal="center"/>
    </xf>
    <xf numFmtId="0" fontId="78" fillId="5" borderId="120" xfId="0" applyFont="1" applyFill="1" applyBorder="1" applyAlignment="1">
      <alignment horizontal="center" vertical="center"/>
    </xf>
    <xf numFmtId="0" fontId="78" fillId="5" borderId="112" xfId="0" applyFont="1" applyFill="1" applyBorder="1" applyAlignment="1">
      <alignment horizontal="center" wrapText="1"/>
    </xf>
    <xf numFmtId="0" fontId="78" fillId="5" borderId="120" xfId="0" applyFont="1" applyFill="1" applyBorder="1" applyAlignment="1">
      <alignment horizontal="center" wrapText="1"/>
    </xf>
    <xf numFmtId="209" fontId="78" fillId="20" borderId="105" xfId="0" applyNumberFormat="1" applyFont="1" applyFill="1" applyBorder="1" applyAlignment="1">
      <alignment horizontal="center" vertical="center"/>
    </xf>
    <xf numFmtId="205" fontId="78" fillId="20" borderId="102" xfId="0" applyNumberFormat="1" applyFont="1" applyFill="1" applyBorder="1" applyAlignment="1">
      <alignment horizontal="center" vertical="center"/>
    </xf>
    <xf numFmtId="204" fontId="78" fillId="21" borderId="35" xfId="0" applyNumberFormat="1" applyFont="1" applyFill="1" applyBorder="1" applyAlignment="1">
      <alignment horizontal="center" vertical="center"/>
    </xf>
    <xf numFmtId="205" fontId="78" fillId="21" borderId="73" xfId="0" applyNumberFormat="1" applyFont="1" applyFill="1" applyBorder="1" applyAlignment="1">
      <alignment horizontal="center" vertical="center"/>
    </xf>
    <xf numFmtId="209" fontId="78" fillId="20" borderId="56" xfId="0" applyNumberFormat="1" applyFont="1" applyFill="1" applyBorder="1" applyAlignment="1">
      <alignment horizontal="center" vertical="center"/>
    </xf>
    <xf numFmtId="0" fontId="78" fillId="5" borderId="11" xfId="0" applyFont="1" applyFill="1" applyBorder="1" applyAlignment="1">
      <alignment horizontal="center" wrapText="1"/>
    </xf>
    <xf numFmtId="204" fontId="78" fillId="21" borderId="98" xfId="0" applyNumberFormat="1" applyFont="1" applyFill="1" applyBorder="1" applyAlignment="1">
      <alignment horizontal="center" vertical="center"/>
    </xf>
    <xf numFmtId="205" fontId="78" fillId="21" borderId="99" xfId="0" applyNumberFormat="1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vertical="center" wrapText="1"/>
    </xf>
    <xf numFmtId="0" fontId="1" fillId="5" borderId="112" xfId="0" applyFont="1" applyFill="1" applyBorder="1" applyAlignment="1">
      <alignment horizontal="center" vertical="center"/>
    </xf>
    <xf numFmtId="0" fontId="1" fillId="5" borderId="112" xfId="0" applyFont="1" applyFill="1" applyBorder="1" applyAlignment="1">
      <alignment horizontal="center" vertical="center" wrapText="1"/>
    </xf>
    <xf numFmtId="204" fontId="78" fillId="21" borderId="103" xfId="0" applyNumberFormat="1" applyFont="1" applyFill="1" applyBorder="1" applyAlignment="1">
      <alignment horizontal="center" vertical="center"/>
    </xf>
    <xf numFmtId="205" fontId="78" fillId="21" borderId="84" xfId="0" applyNumberFormat="1" applyFont="1" applyFill="1" applyBorder="1" applyAlignment="1">
      <alignment horizontal="center" vertical="center"/>
    </xf>
    <xf numFmtId="0" fontId="78" fillId="5" borderId="121" xfId="0" applyFont="1" applyFill="1" applyBorder="1" applyAlignment="1">
      <alignment horizontal="center" vertical="center"/>
    </xf>
    <xf numFmtId="0" fontId="78" fillId="2" borderId="121" xfId="0" applyFont="1" applyFill="1" applyBorder="1" applyAlignment="1">
      <alignment horizontal="center" wrapText="1"/>
    </xf>
    <xf numFmtId="0" fontId="78" fillId="5" borderId="121" xfId="0" applyFont="1" applyFill="1" applyBorder="1"/>
    <xf numFmtId="0" fontId="78" fillId="2" borderId="7" xfId="0" applyFont="1" applyFill="1" applyBorder="1" applyAlignment="1">
      <alignment horizontal="center" vertical="center" wrapText="1"/>
    </xf>
    <xf numFmtId="0" fontId="78" fillId="5" borderId="8" xfId="0" applyFont="1" applyFill="1" applyBorder="1" applyAlignment="1">
      <alignment horizontal="center" wrapText="1"/>
    </xf>
    <xf numFmtId="0" fontId="78" fillId="5" borderId="8" xfId="0" applyFont="1" applyFill="1" applyBorder="1"/>
    <xf numFmtId="0" fontId="78" fillId="5" borderId="31" xfId="0" applyFont="1" applyFill="1" applyBorder="1"/>
    <xf numFmtId="0" fontId="78" fillId="5" borderId="121" xfId="0" applyFont="1" applyFill="1" applyBorder="1" applyAlignment="1">
      <alignment horizontal="center"/>
    </xf>
    <xf numFmtId="0" fontId="78" fillId="5" borderId="67" xfId="0" applyFont="1" applyFill="1" applyBorder="1" applyAlignment="1">
      <alignment horizontal="center"/>
    </xf>
    <xf numFmtId="0" fontId="78" fillId="5" borderId="67" xfId="0" applyFont="1" applyFill="1" applyBorder="1" applyAlignment="1">
      <alignment horizontal="center" vertical="center"/>
    </xf>
    <xf numFmtId="0" fontId="78" fillId="5" borderId="67" xfId="0" applyFont="1" applyFill="1" applyBorder="1" applyAlignment="1">
      <alignment horizontal="center" wrapText="1"/>
    </xf>
    <xf numFmtId="0" fontId="78" fillId="5" borderId="67" xfId="0" applyFont="1" applyFill="1" applyBorder="1"/>
    <xf numFmtId="205" fontId="78" fillId="5" borderId="122" xfId="0" applyNumberFormat="1" applyFont="1" applyFill="1" applyBorder="1" applyAlignment="1">
      <alignment horizontal="center" vertical="center"/>
    </xf>
    <xf numFmtId="0" fontId="78" fillId="5" borderId="121" xfId="0" applyFont="1" applyFill="1" applyBorder="1" applyAlignment="1">
      <alignment horizontal="center" wrapText="1"/>
    </xf>
    <xf numFmtId="205" fontId="78" fillId="5" borderId="123" xfId="0" applyNumberFormat="1" applyFont="1" applyFill="1" applyBorder="1" applyAlignment="1">
      <alignment horizontal="center" vertical="center"/>
    </xf>
    <xf numFmtId="204" fontId="78" fillId="5" borderId="35" xfId="0" applyNumberFormat="1" applyFont="1" applyFill="1" applyBorder="1" applyAlignment="1">
      <alignment horizontal="center" vertical="center"/>
    </xf>
    <xf numFmtId="209" fontId="78" fillId="20" borderId="101" xfId="0" applyNumberFormat="1" applyFont="1" applyFill="1" applyBorder="1" applyAlignment="1">
      <alignment horizontal="center" vertical="center"/>
    </xf>
    <xf numFmtId="0" fontId="78" fillId="5" borderId="124" xfId="0" applyFont="1" applyFill="1" applyBorder="1" applyAlignment="1">
      <alignment horizontal="center"/>
    </xf>
    <xf numFmtId="0" fontId="78" fillId="5" borderId="124" xfId="0" applyFont="1" applyFill="1" applyBorder="1" applyAlignment="1">
      <alignment horizontal="center" vertical="center"/>
    </xf>
    <xf numFmtId="0" fontId="78" fillId="5" borderId="124" xfId="0" applyFont="1" applyFill="1" applyBorder="1" applyAlignment="1">
      <alignment horizontal="center" wrapText="1"/>
    </xf>
    <xf numFmtId="0" fontId="78" fillId="5" borderId="124" xfId="0" applyFont="1" applyFill="1" applyBorder="1"/>
    <xf numFmtId="204" fontId="78" fillId="5" borderId="106" xfId="0" applyNumberFormat="1" applyFont="1" applyFill="1" applyBorder="1" applyAlignment="1">
      <alignment horizontal="center" vertical="center"/>
    </xf>
    <xf numFmtId="205" fontId="78" fillId="5" borderId="108" xfId="0" applyNumberFormat="1" applyFont="1" applyFill="1" applyBorder="1" applyAlignment="1">
      <alignment horizontal="center" vertical="center"/>
    </xf>
    <xf numFmtId="204" fontId="78" fillId="5" borderId="125" xfId="0" applyNumberFormat="1" applyFont="1" applyFill="1" applyBorder="1" applyAlignment="1">
      <alignment horizontal="center" vertical="center"/>
    </xf>
    <xf numFmtId="205" fontId="78" fillId="5" borderId="126" xfId="0" applyNumberFormat="1" applyFont="1" applyFill="1" applyBorder="1" applyAlignment="1">
      <alignment horizontal="center" vertical="center"/>
    </xf>
    <xf numFmtId="204" fontId="78" fillId="19" borderId="98" xfId="0" applyNumberFormat="1" applyFont="1" applyFill="1" applyBorder="1" applyAlignment="1">
      <alignment horizontal="center" vertical="center"/>
    </xf>
    <xf numFmtId="205" fontId="78" fillId="19" borderId="99" xfId="0" applyNumberFormat="1" applyFont="1" applyFill="1" applyBorder="1" applyAlignment="1">
      <alignment horizontal="center" vertical="center"/>
    </xf>
    <xf numFmtId="209" fontId="78" fillId="20" borderId="5" xfId="0" applyNumberFormat="1" applyFont="1" applyFill="1" applyBorder="1" applyAlignment="1">
      <alignment horizontal="center" vertical="center"/>
    </xf>
    <xf numFmtId="204" fontId="78" fillId="19" borderId="33" xfId="0" applyNumberFormat="1" applyFont="1" applyFill="1" applyBorder="1" applyAlignment="1">
      <alignment horizontal="center" vertical="center"/>
    </xf>
    <xf numFmtId="205" fontId="78" fillId="19" borderId="18" xfId="0" applyNumberFormat="1" applyFont="1" applyFill="1" applyBorder="1" applyAlignment="1">
      <alignment horizontal="center" vertical="center"/>
    </xf>
    <xf numFmtId="209" fontId="78" fillId="20" borderId="2" xfId="0" applyNumberFormat="1" applyFont="1" applyFill="1" applyBorder="1" applyAlignment="1">
      <alignment horizontal="center" vertical="center"/>
    </xf>
    <xf numFmtId="0" fontId="78" fillId="5" borderId="3" xfId="0" applyFont="1" applyFill="1" applyBorder="1" applyAlignment="1">
      <alignment horizontal="center"/>
    </xf>
    <xf numFmtId="0" fontId="78" fillId="5" borderId="3" xfId="0" applyFont="1" applyFill="1" applyBorder="1" applyAlignment="1">
      <alignment horizontal="center" vertical="center"/>
    </xf>
    <xf numFmtId="0" fontId="78" fillId="5" borderId="3" xfId="0" applyFont="1" applyFill="1" applyBorder="1" applyAlignment="1">
      <alignment horizontal="center" wrapText="1"/>
    </xf>
    <xf numFmtId="0" fontId="78" fillId="5" borderId="3" xfId="0" applyFont="1" applyFill="1" applyBorder="1"/>
    <xf numFmtId="0" fontId="78" fillId="5" borderId="41" xfId="0" applyFont="1" applyFill="1" applyBorder="1"/>
    <xf numFmtId="205" fontId="78" fillId="5" borderId="73" xfId="0" applyNumberFormat="1" applyFont="1" applyFill="1" applyBorder="1" applyAlignment="1">
      <alignment horizontal="center" vertical="center"/>
    </xf>
    <xf numFmtId="0" fontId="78" fillId="5" borderId="127" xfId="0" applyFont="1" applyFill="1" applyBorder="1"/>
    <xf numFmtId="204" fontId="78" fillId="19" borderId="101" xfId="0" applyNumberFormat="1" applyFont="1" applyFill="1" applyBorder="1" applyAlignment="1">
      <alignment horizontal="center" vertical="center"/>
    </xf>
    <xf numFmtId="205" fontId="78" fillId="19" borderId="102" xfId="0" applyNumberFormat="1" applyFont="1" applyFill="1" applyBorder="1" applyAlignment="1">
      <alignment horizontal="center" vertical="center"/>
    </xf>
    <xf numFmtId="0" fontId="78" fillId="5" borderId="41" xfId="0" applyFont="1" applyFill="1" applyBorder="1" applyAlignment="1">
      <alignment horizontal="center" vertical="center"/>
    </xf>
    <xf numFmtId="0" fontId="78" fillId="5" borderId="0" xfId="0" applyFont="1" applyFill="1"/>
    <xf numFmtId="205" fontId="78" fillId="5" borderId="46" xfId="0" applyNumberFormat="1" applyFont="1" applyFill="1" applyBorder="1" applyAlignment="1">
      <alignment horizontal="center" vertical="center"/>
    </xf>
    <xf numFmtId="204" fontId="78" fillId="19" borderId="103" xfId="0" applyNumberFormat="1" applyFont="1" applyFill="1" applyBorder="1" applyAlignment="1">
      <alignment horizontal="center" vertical="center"/>
    </xf>
    <xf numFmtId="205" fontId="78" fillId="19" borderId="84" xfId="0" applyNumberFormat="1" applyFont="1" applyFill="1" applyBorder="1" applyAlignment="1">
      <alignment horizontal="center" vertical="center"/>
    </xf>
    <xf numFmtId="209" fontId="78" fillId="20" borderId="55" xfId="0" applyNumberFormat="1" applyFont="1" applyFill="1" applyBorder="1" applyAlignment="1">
      <alignment horizontal="center" vertical="center"/>
    </xf>
    <xf numFmtId="0" fontId="78" fillId="23" borderId="11" xfId="343" applyFont="1" applyFill="1" applyBorder="1"/>
    <xf numFmtId="0" fontId="78" fillId="23" borderId="4" xfId="343" applyFont="1" applyFill="1" applyBorder="1"/>
    <xf numFmtId="209" fontId="78" fillId="19" borderId="10" xfId="0" applyNumberFormat="1" applyFont="1" applyFill="1" applyBorder="1" applyAlignment="1">
      <alignment horizontal="center" vertical="center"/>
    </xf>
    <xf numFmtId="0" fontId="78" fillId="5" borderId="7" xfId="343" applyFont="1" applyFill="1" applyBorder="1"/>
    <xf numFmtId="0" fontId="78" fillId="5" borderId="9" xfId="343" applyFont="1" applyFill="1" applyBorder="1"/>
    <xf numFmtId="0" fontId="78" fillId="5" borderId="11" xfId="343" applyFont="1" applyFill="1" applyBorder="1"/>
    <xf numFmtId="0" fontId="78" fillId="5" borderId="4" xfId="343" applyFont="1" applyFill="1" applyBorder="1"/>
    <xf numFmtId="209" fontId="78" fillId="19" borderId="6" xfId="0" applyNumberFormat="1" applyFont="1" applyFill="1" applyBorder="1" applyAlignment="1">
      <alignment horizontal="center" vertical="center"/>
    </xf>
    <xf numFmtId="209" fontId="78" fillId="19" borderId="76" xfId="0" applyNumberFormat="1" applyFont="1" applyFill="1" applyBorder="1" applyAlignment="1">
      <alignment horizontal="center" vertical="center"/>
    </xf>
    <xf numFmtId="0" fontId="78" fillId="5" borderId="77" xfId="343" applyFont="1" applyFill="1" applyBorder="1"/>
    <xf numFmtId="0" fontId="78" fillId="5" borderId="78" xfId="343" applyFont="1" applyFill="1" applyBorder="1"/>
    <xf numFmtId="0" fontId="78" fillId="5" borderId="87" xfId="0" applyFont="1" applyFill="1" applyBorder="1" applyAlignment="1">
      <alignment horizontal="center" wrapText="1"/>
    </xf>
    <xf numFmtId="0" fontId="78" fillId="5" borderId="87" xfId="0" applyFont="1" applyFill="1" applyBorder="1" applyAlignment="1">
      <alignment horizontal="center" vertical="center"/>
    </xf>
    <xf numFmtId="204" fontId="78" fillId="5" borderId="98" xfId="0" applyNumberFormat="1" applyFont="1" applyFill="1" applyBorder="1" applyAlignment="1">
      <alignment horizontal="center" vertical="center"/>
    </xf>
    <xf numFmtId="205" fontId="78" fillId="5" borderId="99" xfId="0" applyNumberFormat="1" applyFont="1" applyFill="1" applyBorder="1" applyAlignment="1">
      <alignment horizontal="center" vertical="center"/>
    </xf>
    <xf numFmtId="209" fontId="78" fillId="19" borderId="97" xfId="0" applyNumberFormat="1" applyFont="1" applyFill="1" applyBorder="1" applyAlignment="1">
      <alignment horizontal="center" vertical="center"/>
    </xf>
    <xf numFmtId="205" fontId="78" fillId="19" borderId="38" xfId="0" applyNumberFormat="1" applyFont="1" applyFill="1" applyBorder="1" applyAlignment="1">
      <alignment horizontal="center" vertical="center"/>
    </xf>
    <xf numFmtId="0" fontId="78" fillId="5" borderId="23" xfId="0" applyFont="1" applyFill="1" applyBorder="1" applyAlignment="1">
      <alignment horizontal="center"/>
    </xf>
    <xf numFmtId="0" fontId="78" fillId="5" borderId="23" xfId="0" applyFont="1" applyFill="1" applyBorder="1" applyAlignment="1">
      <alignment horizontal="center" wrapText="1"/>
    </xf>
    <xf numFmtId="0" fontId="78" fillId="5" borderId="23" xfId="0" applyFont="1" applyFill="1" applyBorder="1" applyAlignment="1">
      <alignment horizontal="center" vertical="center"/>
    </xf>
    <xf numFmtId="0" fontId="78" fillId="5" borderId="23" xfId="343" applyFont="1" applyFill="1" applyBorder="1"/>
    <xf numFmtId="0" fontId="78" fillId="5" borderId="92" xfId="343" applyFont="1" applyFill="1" applyBorder="1"/>
    <xf numFmtId="204" fontId="78" fillId="5" borderId="91" xfId="0" applyNumberFormat="1" applyFont="1" applyFill="1" applyBorder="1" applyAlignment="1">
      <alignment horizontal="center" vertical="center"/>
    </xf>
    <xf numFmtId="205" fontId="78" fillId="5" borderId="17" xfId="0" applyNumberFormat="1" applyFont="1" applyFill="1" applyBorder="1" applyAlignment="1">
      <alignment horizontal="center" vertical="center"/>
    </xf>
    <xf numFmtId="209" fontId="78" fillId="19" borderId="93" xfId="0" applyNumberFormat="1" applyFont="1" applyFill="1" applyBorder="1" applyAlignment="1">
      <alignment horizontal="center" vertical="center"/>
    </xf>
    <xf numFmtId="205" fontId="78" fillId="19" borderId="92" xfId="0" applyNumberFormat="1" applyFont="1" applyFill="1" applyBorder="1" applyAlignment="1">
      <alignment horizontal="center" vertical="center"/>
    </xf>
    <xf numFmtId="209" fontId="78" fillId="20" borderId="30" xfId="0" applyNumberFormat="1" applyFont="1" applyFill="1" applyBorder="1" applyAlignment="1">
      <alignment horizontal="center" vertical="center"/>
    </xf>
    <xf numFmtId="205" fontId="78" fillId="20" borderId="17" xfId="0" applyNumberFormat="1" applyFont="1" applyFill="1" applyBorder="1" applyAlignment="1">
      <alignment horizontal="center" vertical="center"/>
    </xf>
    <xf numFmtId="0" fontId="78" fillId="5" borderId="11" xfId="0" applyFont="1" applyFill="1" applyBorder="1" applyAlignment="1">
      <alignment horizontal="center" vertical="center" wrapText="1"/>
    </xf>
    <xf numFmtId="0" fontId="78" fillId="5" borderId="77" xfId="0" applyFont="1" applyFill="1" applyBorder="1" applyAlignment="1">
      <alignment horizontal="center" vertical="center" wrapText="1"/>
    </xf>
    <xf numFmtId="0" fontId="113" fillId="2" borderId="0" xfId="0" applyFont="1" applyFill="1"/>
    <xf numFmtId="209" fontId="113" fillId="2" borderId="106" xfId="0" applyNumberFormat="1" applyFont="1" applyFill="1" applyBorder="1" applyAlignment="1">
      <alignment horizontal="center" vertical="center"/>
    </xf>
    <xf numFmtId="205" fontId="113" fillId="2" borderId="108" xfId="0" applyNumberFormat="1" applyFont="1" applyFill="1" applyBorder="1" applyAlignment="1">
      <alignment horizontal="center" vertical="center"/>
    </xf>
    <xf numFmtId="204" fontId="113" fillId="19" borderId="91" xfId="0" applyNumberFormat="1" applyFont="1" applyFill="1" applyBorder="1" applyAlignment="1">
      <alignment horizontal="center" vertical="center"/>
    </xf>
    <xf numFmtId="205" fontId="113" fillId="19" borderId="17" xfId="0" applyNumberFormat="1" applyFont="1" applyFill="1" applyBorder="1" applyAlignment="1">
      <alignment horizontal="center" vertical="center"/>
    </xf>
    <xf numFmtId="204" fontId="113" fillId="21" borderId="91" xfId="0" applyNumberFormat="1" applyFont="1" applyFill="1" applyBorder="1" applyAlignment="1">
      <alignment horizontal="center" vertical="center"/>
    </xf>
    <xf numFmtId="205" fontId="113" fillId="21" borderId="17" xfId="0" applyNumberFormat="1" applyFont="1" applyFill="1" applyBorder="1" applyAlignment="1">
      <alignment horizontal="center" vertical="center"/>
    </xf>
    <xf numFmtId="0" fontId="113" fillId="4" borderId="128" xfId="343" applyFont="1" applyFill="1" applyBorder="1"/>
    <xf numFmtId="0" fontId="113" fillId="16" borderId="103" xfId="0" applyFont="1" applyFill="1" applyBorder="1" applyAlignment="1">
      <alignment horizontal="center" vertical="center"/>
    </xf>
    <xf numFmtId="0" fontId="113" fillId="16" borderId="77" xfId="0" applyFont="1" applyFill="1" applyBorder="1" applyAlignment="1">
      <alignment horizontal="center" vertical="center"/>
    </xf>
    <xf numFmtId="0" fontId="113" fillId="16" borderId="77" xfId="0" applyFont="1" applyFill="1" applyBorder="1" applyAlignment="1">
      <alignment horizontal="center" vertical="center" wrapText="1"/>
    </xf>
    <xf numFmtId="0" fontId="113" fillId="16" borderId="129" xfId="343" applyFont="1" applyFill="1" applyBorder="1" applyAlignment="1">
      <alignment horizontal="center" vertical="center" wrapText="1"/>
    </xf>
    <xf numFmtId="0" fontId="113" fillId="19" borderId="103" xfId="0" applyFont="1" applyFill="1" applyBorder="1" applyAlignment="1">
      <alignment horizontal="center" vertical="center"/>
    </xf>
    <xf numFmtId="0" fontId="113" fillId="19" borderId="84" xfId="0" applyFont="1" applyFill="1" applyBorder="1" applyAlignment="1">
      <alignment horizontal="center" vertical="center"/>
    </xf>
    <xf numFmtId="0" fontId="115" fillId="20" borderId="103" xfId="0" applyFont="1" applyFill="1" applyBorder="1" applyAlignment="1">
      <alignment horizontal="center" vertical="center"/>
    </xf>
    <xf numFmtId="0" fontId="115" fillId="20" borderId="84" xfId="0" applyFont="1" applyFill="1" applyBorder="1" applyAlignment="1">
      <alignment horizontal="center" vertical="center"/>
    </xf>
    <xf numFmtId="0" fontId="113" fillId="21" borderId="103" xfId="0" applyFont="1" applyFill="1" applyBorder="1" applyAlignment="1">
      <alignment horizontal="center" vertical="center"/>
    </xf>
    <xf numFmtId="0" fontId="113" fillId="21" borderId="84" xfId="0" applyFont="1" applyFill="1" applyBorder="1" applyAlignment="1">
      <alignment horizontal="center" vertical="center"/>
    </xf>
    <xf numFmtId="0" fontId="78" fillId="5" borderId="130" xfId="343" applyFont="1" applyFill="1" applyBorder="1"/>
    <xf numFmtId="209" fontId="78" fillId="19" borderId="35" xfId="0" applyNumberFormat="1" applyFont="1" applyFill="1" applyBorder="1" applyAlignment="1">
      <alignment horizontal="center" vertical="center"/>
    </xf>
    <xf numFmtId="205" fontId="78" fillId="19" borderId="73" xfId="0" applyNumberFormat="1" applyFont="1" applyFill="1" applyBorder="1" applyAlignment="1">
      <alignment horizontal="center" vertical="center"/>
    </xf>
    <xf numFmtId="204" fontId="78" fillId="20" borderId="131" xfId="0" applyNumberFormat="1" applyFont="1" applyFill="1" applyBorder="1" applyAlignment="1">
      <alignment horizontal="center" vertical="center"/>
    </xf>
    <xf numFmtId="205" fontId="78" fillId="20" borderId="131" xfId="0" applyNumberFormat="1" applyFont="1" applyFill="1" applyBorder="1" applyAlignment="1">
      <alignment horizontal="center" vertical="center"/>
    </xf>
    <xf numFmtId="204" fontId="78" fillId="21" borderId="96" xfId="0" applyNumberFormat="1" applyFont="1" applyFill="1" applyBorder="1" applyAlignment="1">
      <alignment horizontal="center" vertical="center"/>
    </xf>
    <xf numFmtId="206" fontId="78" fillId="21" borderId="36" xfId="0" applyNumberFormat="1" applyFont="1" applyFill="1" applyBorder="1" applyAlignment="1">
      <alignment horizontal="center" vertical="center"/>
    </xf>
    <xf numFmtId="204" fontId="78" fillId="21" borderId="88" xfId="0" applyNumberFormat="1" applyFont="1" applyFill="1" applyBorder="1" applyAlignment="1">
      <alignment horizontal="center" vertical="center"/>
    </xf>
    <xf numFmtId="205" fontId="78" fillId="21" borderId="95" xfId="0" applyNumberFormat="1" applyFont="1" applyFill="1" applyBorder="1" applyAlignment="1">
      <alignment horizontal="center" vertical="center"/>
    </xf>
    <xf numFmtId="0" fontId="78" fillId="5" borderId="90" xfId="343" applyFont="1" applyFill="1"/>
    <xf numFmtId="205" fontId="78" fillId="5" borderId="132" xfId="0" applyNumberFormat="1" applyFont="1" applyFill="1" applyBorder="1" applyAlignment="1">
      <alignment horizontal="center" vertical="center"/>
    </xf>
    <xf numFmtId="0" fontId="78" fillId="5" borderId="129" xfId="343" applyFont="1" applyFill="1" applyBorder="1"/>
    <xf numFmtId="205" fontId="78" fillId="5" borderId="133" xfId="0" applyNumberFormat="1" applyFont="1" applyFill="1" applyBorder="1" applyAlignment="1">
      <alignment horizontal="center" vertical="center"/>
    </xf>
    <xf numFmtId="209" fontId="78" fillId="19" borderId="125" xfId="0" applyNumberFormat="1" applyFont="1" applyFill="1" applyBorder="1" applyAlignment="1">
      <alignment horizontal="center" vertical="center"/>
    </xf>
    <xf numFmtId="205" fontId="78" fillId="19" borderId="126" xfId="0" applyNumberFormat="1" applyFont="1" applyFill="1" applyBorder="1" applyAlignment="1">
      <alignment horizontal="center" vertical="center"/>
    </xf>
    <xf numFmtId="204" fontId="78" fillId="20" borderId="134" xfId="0" applyNumberFormat="1" applyFont="1" applyFill="1" applyBorder="1" applyAlignment="1">
      <alignment horizontal="center" vertical="center"/>
    </xf>
    <xf numFmtId="205" fontId="78" fillId="20" borderId="134" xfId="0" applyNumberFormat="1" applyFont="1" applyFill="1" applyBorder="1" applyAlignment="1">
      <alignment horizontal="center" vertical="center"/>
    </xf>
    <xf numFmtId="204" fontId="78" fillId="21" borderId="56" xfId="0" applyNumberFormat="1" applyFont="1" applyFill="1" applyBorder="1" applyAlignment="1">
      <alignment horizontal="center" vertical="center"/>
    </xf>
    <xf numFmtId="205" fontId="78" fillId="21" borderId="53" xfId="0" applyNumberFormat="1" applyFont="1" applyFill="1" applyBorder="1" applyAlignment="1">
      <alignment horizontal="center" vertical="center"/>
    </xf>
    <xf numFmtId="204" fontId="78" fillId="21" borderId="110" xfId="0" applyNumberFormat="1" applyFont="1" applyFill="1" applyBorder="1" applyAlignment="1">
      <alignment horizontal="center" vertical="center"/>
    </xf>
    <xf numFmtId="205" fontId="78" fillId="21" borderId="32" xfId="0" applyNumberFormat="1" applyFont="1" applyFill="1" applyBorder="1" applyAlignment="1">
      <alignment horizontal="center" vertical="center"/>
    </xf>
    <xf numFmtId="204" fontId="78" fillId="21" borderId="53" xfId="0" applyNumberFormat="1" applyFont="1" applyFill="1" applyBorder="1" applyAlignment="1">
      <alignment horizontal="center" vertical="center"/>
    </xf>
    <xf numFmtId="206" fontId="78" fillId="21" borderId="135" xfId="0" applyNumberFormat="1" applyFont="1" applyFill="1" applyBorder="1" applyAlignment="1">
      <alignment horizontal="center" vertical="center"/>
    </xf>
    <xf numFmtId="209" fontId="78" fillId="21" borderId="136" xfId="0" applyNumberFormat="1" applyFont="1" applyFill="1" applyBorder="1" applyAlignment="1">
      <alignment horizontal="center" vertical="center"/>
    </xf>
    <xf numFmtId="206" fontId="78" fillId="21" borderId="137" xfId="0" applyNumberFormat="1" applyFont="1" applyFill="1" applyBorder="1" applyAlignment="1">
      <alignment horizontal="center" vertical="center"/>
    </xf>
    <xf numFmtId="209" fontId="78" fillId="21" borderId="134" xfId="0" applyNumberFormat="1" applyFont="1" applyFill="1" applyBorder="1" applyAlignment="1">
      <alignment horizontal="center" vertical="center"/>
    </xf>
    <xf numFmtId="209" fontId="78" fillId="21" borderId="138" xfId="0" applyNumberFormat="1" applyFont="1" applyFill="1" applyBorder="1" applyAlignment="1">
      <alignment horizontal="center" vertical="center"/>
    </xf>
    <xf numFmtId="209" fontId="78" fillId="19" borderId="139" xfId="0" applyNumberFormat="1" applyFont="1" applyFill="1" applyBorder="1" applyAlignment="1">
      <alignment horizontal="center" vertical="center"/>
    </xf>
    <xf numFmtId="205" fontId="78" fillId="19" borderId="140" xfId="0" applyNumberFormat="1" applyFont="1" applyFill="1" applyBorder="1" applyAlignment="1">
      <alignment horizontal="center" vertical="center"/>
    </xf>
    <xf numFmtId="0" fontId="78" fillId="5" borderId="107" xfId="0" applyFont="1" applyFill="1" applyBorder="1" applyAlignment="1">
      <alignment horizontal="center" wrapText="1"/>
    </xf>
    <xf numFmtId="0" fontId="78" fillId="0" borderId="120" xfId="0" applyFont="1" applyBorder="1" applyAlignment="1">
      <alignment horizontal="center" wrapText="1"/>
    </xf>
    <xf numFmtId="0" fontId="78" fillId="5" borderId="115" xfId="0" applyFont="1" applyFill="1" applyBorder="1" applyAlignment="1">
      <alignment horizontal="center" wrapText="1"/>
    </xf>
    <xf numFmtId="0" fontId="78" fillId="5" borderId="128" xfId="343" applyFont="1" applyFill="1" applyBorder="1"/>
    <xf numFmtId="209" fontId="78" fillId="19" borderId="39" xfId="0" applyNumberFormat="1" applyFont="1" applyFill="1" applyBorder="1" applyAlignment="1">
      <alignment horizontal="center" vertical="center"/>
    </xf>
    <xf numFmtId="205" fontId="78" fillId="19" borderId="104" xfId="0" applyNumberFormat="1" applyFont="1" applyFill="1" applyBorder="1" applyAlignment="1">
      <alignment horizontal="center" vertical="center"/>
    </xf>
    <xf numFmtId="205" fontId="78" fillId="21" borderId="110" xfId="0" applyNumberFormat="1" applyFont="1" applyFill="1" applyBorder="1" applyAlignment="1">
      <alignment horizontal="center" vertical="center"/>
    </xf>
    <xf numFmtId="0" fontId="78" fillId="5" borderId="141" xfId="343" applyFont="1" applyFill="1" applyBorder="1"/>
    <xf numFmtId="204" fontId="78" fillId="5" borderId="139" xfId="0" applyNumberFormat="1" applyFont="1" applyFill="1" applyBorder="1" applyAlignment="1">
      <alignment horizontal="center" vertical="center"/>
    </xf>
    <xf numFmtId="205" fontId="78" fillId="5" borderId="127" xfId="0" applyNumberFormat="1" applyFont="1" applyFill="1" applyBorder="1" applyAlignment="1">
      <alignment horizontal="center" vertical="center"/>
    </xf>
    <xf numFmtId="0" fontId="78" fillId="2" borderId="124" xfId="0" applyFont="1" applyFill="1" applyBorder="1" applyAlignment="1">
      <alignment horizontal="center" wrapText="1"/>
    </xf>
    <xf numFmtId="0" fontId="78" fillId="5" borderId="142" xfId="343" applyFont="1" applyFill="1" applyBorder="1"/>
    <xf numFmtId="204" fontId="78" fillId="20" borderId="47" xfId="0" applyNumberFormat="1" applyFont="1" applyFill="1" applyBorder="1" applyAlignment="1">
      <alignment horizontal="center" vertical="center"/>
    </xf>
    <xf numFmtId="205" fontId="78" fillId="20" borderId="47" xfId="0" applyNumberFormat="1" applyFont="1" applyFill="1" applyBorder="1" applyAlignment="1">
      <alignment horizontal="center" vertical="center"/>
    </xf>
    <xf numFmtId="209" fontId="78" fillId="21" borderId="34" xfId="0" applyNumberFormat="1" applyFont="1" applyFill="1" applyBorder="1" applyAlignment="1">
      <alignment horizontal="center" vertical="center"/>
    </xf>
    <xf numFmtId="206" fontId="78" fillId="21" borderId="46" xfId="0" applyNumberFormat="1" applyFont="1" applyFill="1" applyBorder="1" applyAlignment="1">
      <alignment horizontal="center" vertical="center"/>
    </xf>
    <xf numFmtId="209" fontId="78" fillId="21" borderId="135" xfId="0" applyNumberFormat="1" applyFont="1" applyFill="1" applyBorder="1" applyAlignment="1">
      <alignment horizontal="center" vertical="center"/>
    </xf>
    <xf numFmtId="206" fontId="78" fillId="21" borderId="143" xfId="0" applyNumberFormat="1" applyFont="1" applyFill="1" applyBorder="1" applyAlignment="1">
      <alignment horizontal="center" vertical="center"/>
    </xf>
    <xf numFmtId="209" fontId="78" fillId="21" borderId="144" xfId="0" applyNumberFormat="1" applyFont="1" applyFill="1" applyBorder="1" applyAlignment="1">
      <alignment horizontal="center" vertical="center"/>
    </xf>
    <xf numFmtId="206" fontId="78" fillId="21" borderId="145" xfId="0" applyNumberFormat="1" applyFont="1" applyFill="1" applyBorder="1" applyAlignment="1">
      <alignment horizontal="center" vertical="center"/>
    </xf>
    <xf numFmtId="0" fontId="78" fillId="5" borderId="146" xfId="343" applyFont="1" applyFill="1" applyBorder="1"/>
    <xf numFmtId="209" fontId="78" fillId="19" borderId="116" xfId="0" applyNumberFormat="1" applyFont="1" applyFill="1" applyBorder="1" applyAlignment="1">
      <alignment horizontal="center" vertical="center"/>
    </xf>
    <xf numFmtId="205" fontId="78" fillId="19" borderId="117" xfId="0" applyNumberFormat="1" applyFont="1" applyFill="1" applyBorder="1" applyAlignment="1">
      <alignment horizontal="center" vertical="center"/>
    </xf>
    <xf numFmtId="204" fontId="78" fillId="20" borderId="147" xfId="0" applyNumberFormat="1" applyFont="1" applyFill="1" applyBorder="1" applyAlignment="1">
      <alignment horizontal="center" vertical="center"/>
    </xf>
    <xf numFmtId="205" fontId="78" fillId="20" borderId="147" xfId="0" applyNumberFormat="1" applyFont="1" applyFill="1" applyBorder="1" applyAlignment="1">
      <alignment horizontal="center" vertical="center"/>
    </xf>
    <xf numFmtId="209" fontId="78" fillId="21" borderId="148" xfId="0" applyNumberFormat="1" applyFont="1" applyFill="1" applyBorder="1" applyAlignment="1">
      <alignment horizontal="center" vertical="center"/>
    </xf>
    <xf numFmtId="206" fontId="78" fillId="21" borderId="149" xfId="0" applyNumberFormat="1" applyFont="1" applyFill="1" applyBorder="1" applyAlignment="1">
      <alignment horizontal="center" vertical="center"/>
    </xf>
    <xf numFmtId="209" fontId="78" fillId="21" borderId="150" xfId="0" applyNumberFormat="1" applyFont="1" applyFill="1" applyBorder="1" applyAlignment="1">
      <alignment horizontal="center" vertical="center"/>
    </xf>
    <xf numFmtId="206" fontId="78" fillId="21" borderId="151" xfId="0" applyNumberFormat="1" applyFont="1" applyFill="1" applyBorder="1" applyAlignment="1">
      <alignment horizontal="center" vertical="center"/>
    </xf>
    <xf numFmtId="209" fontId="78" fillId="21" borderId="66" xfId="0" applyNumberFormat="1" applyFont="1" applyFill="1" applyBorder="1" applyAlignment="1">
      <alignment horizontal="center" vertical="center"/>
    </xf>
    <xf numFmtId="206" fontId="78" fillId="21" borderId="44" xfId="0" applyNumberFormat="1" applyFont="1" applyFill="1" applyBorder="1" applyAlignment="1">
      <alignment horizontal="center" vertical="center"/>
    </xf>
    <xf numFmtId="209" fontId="78" fillId="21" borderId="152" xfId="0" applyNumberFormat="1" applyFont="1" applyFill="1" applyBorder="1" applyAlignment="1">
      <alignment horizontal="center" vertical="center"/>
    </xf>
    <xf numFmtId="206" fontId="78" fillId="21" borderId="153" xfId="0" applyNumberFormat="1" applyFont="1" applyFill="1" applyBorder="1" applyAlignment="1">
      <alignment horizontal="center" vertical="center"/>
    </xf>
    <xf numFmtId="205" fontId="78" fillId="20" borderId="36" xfId="0" applyNumberFormat="1" applyFont="1" applyFill="1" applyBorder="1" applyAlignment="1">
      <alignment horizontal="center" vertical="center"/>
    </xf>
    <xf numFmtId="205" fontId="78" fillId="20" borderId="34" xfId="0" applyNumberFormat="1" applyFont="1" applyFill="1" applyBorder="1" applyAlignment="1">
      <alignment horizontal="center" vertical="center"/>
    </xf>
    <xf numFmtId="205" fontId="78" fillId="20" borderId="135" xfId="0" applyNumberFormat="1" applyFont="1" applyFill="1" applyBorder="1" applyAlignment="1">
      <alignment horizontal="center" vertical="center"/>
    </xf>
    <xf numFmtId="204" fontId="78" fillId="20" borderId="34" xfId="0" applyNumberFormat="1" applyFont="1" applyFill="1" applyBorder="1" applyAlignment="1">
      <alignment horizontal="center" vertical="center"/>
    </xf>
    <xf numFmtId="205" fontId="78" fillId="20" borderId="0" xfId="0" applyNumberFormat="1" applyFont="1" applyFill="1" applyAlignment="1">
      <alignment horizontal="center" vertical="center"/>
    </xf>
    <xf numFmtId="204" fontId="78" fillId="20" borderId="135" xfId="0" applyNumberFormat="1" applyFont="1" applyFill="1" applyBorder="1" applyAlignment="1">
      <alignment horizontal="center" vertical="center"/>
    </xf>
    <xf numFmtId="205" fontId="78" fillId="20" borderId="154" xfId="0" applyNumberFormat="1" applyFont="1" applyFill="1" applyBorder="1" applyAlignment="1">
      <alignment horizontal="center" vertical="center"/>
    </xf>
    <xf numFmtId="204" fontId="78" fillId="19" borderId="113" xfId="0" applyNumberFormat="1" applyFont="1" applyFill="1" applyBorder="1" applyAlignment="1">
      <alignment horizontal="center" vertical="center"/>
    </xf>
    <xf numFmtId="205" fontId="78" fillId="19" borderId="114" xfId="0" applyNumberFormat="1" applyFont="1" applyFill="1" applyBorder="1" applyAlignment="1">
      <alignment horizontal="center" vertical="center"/>
    </xf>
    <xf numFmtId="204" fontId="78" fillId="19" borderId="35" xfId="0" applyNumberFormat="1" applyFont="1" applyFill="1" applyBorder="1" applyAlignment="1">
      <alignment horizontal="center" vertical="center"/>
    </xf>
    <xf numFmtId="0" fontId="78" fillId="5" borderId="107" xfId="0" applyFont="1" applyFill="1" applyBorder="1"/>
    <xf numFmtId="0" fontId="78" fillId="5" borderId="155" xfId="343" applyFont="1" applyFill="1" applyBorder="1"/>
    <xf numFmtId="204" fontId="78" fillId="19" borderId="125" xfId="0" applyNumberFormat="1" applyFont="1" applyFill="1" applyBorder="1" applyAlignment="1">
      <alignment horizontal="center" vertical="center"/>
    </xf>
    <xf numFmtId="204" fontId="78" fillId="20" borderId="66" xfId="0" applyNumberFormat="1" applyFont="1" applyFill="1" applyBorder="1" applyAlignment="1">
      <alignment horizontal="center" vertical="center"/>
    </xf>
    <xf numFmtId="205" fontId="78" fillId="20" borderId="19" xfId="0" applyNumberFormat="1" applyFont="1" applyFill="1" applyBorder="1" applyAlignment="1">
      <alignment horizontal="center" vertical="center"/>
    </xf>
    <xf numFmtId="204" fontId="78" fillId="20" borderId="152" xfId="0" applyNumberFormat="1" applyFont="1" applyFill="1" applyBorder="1" applyAlignment="1">
      <alignment horizontal="center" vertical="center"/>
    </xf>
    <xf numFmtId="205" fontId="78" fillId="20" borderId="156" xfId="0" applyNumberFormat="1" applyFont="1" applyFill="1" applyBorder="1" applyAlignment="1">
      <alignment horizontal="center" vertical="center"/>
    </xf>
    <xf numFmtId="206" fontId="78" fillId="21" borderId="157" xfId="0" applyNumberFormat="1" applyFont="1" applyFill="1" applyBorder="1" applyAlignment="1">
      <alignment horizontal="center" vertical="center"/>
    </xf>
    <xf numFmtId="209" fontId="78" fillId="19" borderId="118" xfId="0" applyNumberFormat="1" applyFont="1" applyFill="1" applyBorder="1" applyAlignment="1">
      <alignment horizontal="center" vertical="center"/>
    </xf>
    <xf numFmtId="205" fontId="78" fillId="19" borderId="119" xfId="0" applyNumberFormat="1" applyFont="1" applyFill="1" applyBorder="1" applyAlignment="1">
      <alignment horizontal="center" vertical="center"/>
    </xf>
    <xf numFmtId="204" fontId="78" fillId="20" borderId="144" xfId="0" applyNumberFormat="1" applyFont="1" applyFill="1" applyBorder="1" applyAlignment="1">
      <alignment horizontal="center" vertical="center"/>
    </xf>
    <xf numFmtId="205" fontId="78" fillId="20" borderId="158" xfId="0" applyNumberFormat="1" applyFont="1" applyFill="1" applyBorder="1" applyAlignment="1">
      <alignment horizontal="center" vertical="center"/>
    </xf>
    <xf numFmtId="204" fontId="116" fillId="20" borderId="152" xfId="0" applyNumberFormat="1" applyFont="1" applyFill="1" applyBorder="1" applyAlignment="1">
      <alignment horizontal="center" vertical="center"/>
    </xf>
    <xf numFmtId="205" fontId="116" fillId="20" borderId="156" xfId="0" applyNumberFormat="1" applyFont="1" applyFill="1" applyBorder="1" applyAlignment="1">
      <alignment horizontal="center" vertical="center"/>
    </xf>
    <xf numFmtId="204" fontId="78" fillId="20" borderId="137" xfId="0" applyNumberFormat="1" applyFont="1" applyFill="1" applyBorder="1" applyAlignment="1">
      <alignment horizontal="center" vertical="center"/>
    </xf>
    <xf numFmtId="205" fontId="78" fillId="20" borderId="159" xfId="0" applyNumberFormat="1" applyFont="1" applyFill="1" applyBorder="1" applyAlignment="1">
      <alignment horizontal="center" vertical="center"/>
    </xf>
    <xf numFmtId="0" fontId="113" fillId="23" borderId="0" xfId="0" applyFont="1" applyFill="1"/>
    <xf numFmtId="209" fontId="113" fillId="23" borderId="91" xfId="0" applyNumberFormat="1" applyFont="1" applyFill="1" applyBorder="1" applyAlignment="1">
      <alignment horizontal="center" vertical="center"/>
    </xf>
    <xf numFmtId="205" fontId="113" fillId="23" borderId="108" xfId="0" applyNumberFormat="1" applyFont="1" applyFill="1" applyBorder="1" applyAlignment="1">
      <alignment horizontal="center" vertical="center"/>
    </xf>
    <xf numFmtId="209" fontId="113" fillId="19" borderId="91" xfId="0" applyNumberFormat="1" applyFont="1" applyFill="1" applyBorder="1" applyAlignment="1">
      <alignment vertical="center"/>
    </xf>
    <xf numFmtId="206" fontId="113" fillId="19" borderId="17" xfId="0" applyNumberFormat="1" applyFont="1" applyFill="1" applyBorder="1" applyAlignment="1">
      <alignment horizontal="center" vertical="center"/>
    </xf>
    <xf numFmtId="204" fontId="113" fillId="20" borderId="91" xfId="0" applyNumberFormat="1" applyFont="1" applyFill="1" applyBorder="1" applyAlignment="1">
      <alignment horizontal="center" vertical="center"/>
    </xf>
    <xf numFmtId="205" fontId="113" fillId="20" borderId="17" xfId="0" applyNumberFormat="1" applyFont="1" applyFill="1" applyBorder="1" applyAlignment="1">
      <alignment horizontal="center" vertical="center"/>
    </xf>
    <xf numFmtId="209" fontId="113" fillId="21" borderId="91" xfId="0" applyNumberFormat="1" applyFont="1" applyFill="1" applyBorder="1" applyAlignment="1">
      <alignment vertical="center"/>
    </xf>
    <xf numFmtId="206" fontId="113" fillId="21" borderId="17" xfId="0" applyNumberFormat="1" applyFont="1" applyFill="1" applyBorder="1" applyAlignment="1">
      <alignment vertical="center"/>
    </xf>
    <xf numFmtId="0" fontId="113" fillId="24" borderId="0" xfId="0" applyFont="1" applyFill="1"/>
    <xf numFmtId="209" fontId="113" fillId="24" borderId="91" xfId="0" applyNumberFormat="1" applyFont="1" applyFill="1" applyBorder="1" applyAlignment="1">
      <alignment horizontal="center" vertical="center"/>
    </xf>
    <xf numFmtId="205" fontId="113" fillId="24" borderId="17" xfId="0" applyNumberFormat="1" applyFont="1" applyFill="1" applyBorder="1" applyAlignment="1">
      <alignment horizontal="center" vertical="center"/>
    </xf>
    <xf numFmtId="209" fontId="113" fillId="19" borderId="91" xfId="0" applyNumberFormat="1" applyFont="1" applyFill="1" applyBorder="1" applyAlignment="1">
      <alignment horizontal="center" vertical="center"/>
    </xf>
    <xf numFmtId="209" fontId="113" fillId="20" borderId="91" xfId="0" applyNumberFormat="1" applyFont="1" applyFill="1" applyBorder="1" applyAlignment="1">
      <alignment horizontal="center" vertical="center"/>
    </xf>
    <xf numFmtId="209" fontId="113" fillId="21" borderId="91" xfId="0" applyNumberFormat="1" applyFont="1" applyFill="1" applyBorder="1" applyAlignment="1">
      <alignment horizontal="center" vertical="center"/>
    </xf>
    <xf numFmtId="211" fontId="77" fillId="0" borderId="0" xfId="0" applyNumberFormat="1" applyFont="1" applyAlignment="1">
      <alignment horizontal="left"/>
    </xf>
    <xf numFmtId="204" fontId="78" fillId="19" borderId="116" xfId="0" applyNumberFormat="1" applyFont="1" applyFill="1" applyBorder="1" applyAlignment="1">
      <alignment horizontal="center" vertical="center"/>
    </xf>
    <xf numFmtId="205" fontId="78" fillId="19" borderId="122" xfId="0" applyNumberFormat="1" applyFont="1" applyFill="1" applyBorder="1" applyAlignment="1">
      <alignment horizontal="center" vertical="center"/>
    </xf>
    <xf numFmtId="205" fontId="78" fillId="19" borderId="123" xfId="0" applyNumberFormat="1" applyFont="1" applyFill="1" applyBorder="1" applyAlignment="1">
      <alignment horizontal="center" vertical="center"/>
    </xf>
    <xf numFmtId="43" fontId="3" fillId="23" borderId="7" xfId="0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64" fontId="0" fillId="0" borderId="7" xfId="1" applyFont="1" applyBorder="1" applyAlignment="1">
      <alignment horizontal="center" vertical="center"/>
    </xf>
    <xf numFmtId="0" fontId="0" fillId="0" borderId="3" xfId="0" applyBorder="1"/>
    <xf numFmtId="164" fontId="0" fillId="0" borderId="3" xfId="1" applyFont="1" applyBorder="1"/>
    <xf numFmtId="0" fontId="0" fillId="0" borderId="11" xfId="0" applyBorder="1"/>
    <xf numFmtId="164" fontId="0" fillId="0" borderId="11" xfId="1" applyFont="1" applyBorder="1"/>
    <xf numFmtId="164" fontId="0" fillId="0" borderId="0" xfId="1" applyFont="1"/>
    <xf numFmtId="39" fontId="0" fillId="0" borderId="0" xfId="1" applyNumberFormat="1" applyFont="1"/>
    <xf numFmtId="205" fontId="77" fillId="20" borderId="37" xfId="0" applyNumberFormat="1" applyFont="1" applyFill="1" applyBorder="1" applyAlignment="1">
      <alignment horizontal="center" vertical="center"/>
    </xf>
    <xf numFmtId="205" fontId="77" fillId="20" borderId="2" xfId="0" applyNumberFormat="1" applyFont="1" applyFill="1" applyBorder="1" applyAlignment="1">
      <alignment horizontal="center" vertical="center"/>
    </xf>
    <xf numFmtId="205" fontId="77" fillId="20" borderId="20" xfId="0" applyNumberFormat="1" applyFont="1" applyFill="1" applyBorder="1" applyAlignment="1">
      <alignment horizontal="center" vertical="center"/>
    </xf>
    <xf numFmtId="205" fontId="77" fillId="20" borderId="55" xfId="0" applyNumberFormat="1" applyFont="1" applyFill="1" applyBorder="1" applyAlignment="1">
      <alignment horizontal="center" vertical="center"/>
    </xf>
    <xf numFmtId="204" fontId="77" fillId="20" borderId="33" xfId="0" applyNumberFormat="1" applyFont="1" applyFill="1" applyBorder="1"/>
    <xf numFmtId="205" fontId="77" fillId="20" borderId="18" xfId="0" applyNumberFormat="1" applyFont="1" applyFill="1" applyBorder="1" applyAlignment="1">
      <alignment horizontal="center" wrapText="1"/>
    </xf>
    <xf numFmtId="0" fontId="77" fillId="5" borderId="7" xfId="0" applyFont="1" applyFill="1" applyBorder="1" applyAlignment="1">
      <alignment horizontal="center"/>
    </xf>
    <xf numFmtId="0" fontId="77" fillId="5" borderId="7" xfId="0" applyFont="1" applyFill="1" applyBorder="1" applyAlignment="1">
      <alignment horizontal="center" wrapText="1"/>
    </xf>
    <xf numFmtId="0" fontId="77" fillId="0" borderId="112" xfId="0" applyFont="1" applyBorder="1" applyAlignment="1">
      <alignment vertical="center"/>
    </xf>
    <xf numFmtId="0" fontId="77" fillId="0" borderId="132" xfId="0" applyFont="1" applyBorder="1" applyAlignment="1">
      <alignment vertical="center"/>
    </xf>
    <xf numFmtId="0" fontId="77" fillId="19" borderId="33" xfId="0" applyFont="1" applyFill="1" applyBorder="1" applyAlignment="1">
      <alignment horizontal="center"/>
    </xf>
    <xf numFmtId="0" fontId="107" fillId="19" borderId="9" xfId="0" applyFont="1" applyFill="1" applyBorder="1" applyAlignment="1">
      <alignment horizontal="center"/>
    </xf>
    <xf numFmtId="0" fontId="78" fillId="21" borderId="33" xfId="0" applyNumberFormat="1" applyFont="1" applyFill="1" applyBorder="1" applyAlignment="1">
      <alignment horizontal="center" vertical="center"/>
    </xf>
    <xf numFmtId="204" fontId="78" fillId="19" borderId="72" xfId="0" applyNumberFormat="1" applyFont="1" applyFill="1" applyBorder="1" applyAlignment="1">
      <alignment horizontal="center" vertical="center"/>
    </xf>
    <xf numFmtId="205" fontId="78" fillId="19" borderId="83" xfId="0" applyNumberFormat="1" applyFont="1" applyFill="1" applyBorder="1" applyAlignment="1">
      <alignment horizontal="center" vertical="center"/>
    </xf>
    <xf numFmtId="0" fontId="78" fillId="5" borderId="160" xfId="343" applyFont="1" applyFill="1" applyBorder="1"/>
    <xf numFmtId="205" fontId="78" fillId="5" borderId="41" xfId="0" applyNumberFormat="1" applyFont="1" applyFill="1" applyBorder="1" applyAlignment="1">
      <alignment horizontal="center" vertical="center"/>
    </xf>
    <xf numFmtId="205" fontId="78" fillId="20" borderId="0" xfId="0" applyNumberFormat="1" applyFont="1" applyFill="1" applyBorder="1" applyAlignment="1">
      <alignment horizontal="center" vertical="center"/>
    </xf>
    <xf numFmtId="9" fontId="0" fillId="5" borderId="0" xfId="0" applyNumberFormat="1" applyFill="1"/>
    <xf numFmtId="204" fontId="107" fillId="21" borderId="10" xfId="4" applyNumberFormat="1" applyFont="1" applyFill="1" applyBorder="1" applyAlignment="1">
      <alignment horizontal="center" vertical="center"/>
    </xf>
    <xf numFmtId="205" fontId="107" fillId="21" borderId="18" xfId="0" applyNumberFormat="1" applyFont="1" applyFill="1" applyBorder="1" applyAlignment="1">
      <alignment horizontal="center" vertical="center"/>
    </xf>
    <xf numFmtId="0" fontId="77" fillId="18" borderId="4" xfId="0" applyFont="1" applyFill="1" applyBorder="1"/>
    <xf numFmtId="0" fontId="77" fillId="18" borderId="6" xfId="0" applyFont="1" applyFill="1" applyBorder="1"/>
    <xf numFmtId="212" fontId="0" fillId="5" borderId="0" xfId="0" applyNumberFormat="1" applyFill="1" applyAlignment="1">
      <alignment vertical="center"/>
    </xf>
    <xf numFmtId="43" fontId="0" fillId="5" borderId="0" xfId="0" applyNumberFormat="1" applyFill="1"/>
    <xf numFmtId="164" fontId="0" fillId="5" borderId="0" xfId="1" applyFont="1" applyFill="1"/>
    <xf numFmtId="209" fontId="78" fillId="20" borderId="88" xfId="0" applyNumberFormat="1" applyFont="1" applyFill="1" applyBorder="1" applyAlignment="1">
      <alignment horizontal="center" vertical="center" wrapText="1"/>
    </xf>
    <xf numFmtId="0" fontId="0" fillId="5" borderId="0" xfId="0" applyFill="1"/>
    <xf numFmtId="205" fontId="77" fillId="20" borderId="99" xfId="0" applyNumberFormat="1" applyFont="1" applyFill="1" applyBorder="1" applyAlignment="1">
      <alignment horizontal="center" vertical="center"/>
    </xf>
    <xf numFmtId="209" fontId="77" fillId="20" borderId="98" xfId="0" applyNumberFormat="1" applyFont="1" applyFill="1" applyBorder="1" applyAlignment="1">
      <alignment horizontal="center" vertical="center"/>
    </xf>
    <xf numFmtId="209" fontId="77" fillId="20" borderId="6" xfId="0" applyNumberFormat="1" applyFont="1" applyFill="1" applyBorder="1" applyAlignment="1">
      <alignment horizontal="center" vertical="center"/>
    </xf>
    <xf numFmtId="205" fontId="77" fillId="20" borderId="83" xfId="0" applyNumberFormat="1" applyFont="1" applyFill="1" applyBorder="1" applyAlignment="1">
      <alignment horizontal="center" vertical="center"/>
    </xf>
    <xf numFmtId="209" fontId="77" fillId="20" borderId="40" xfId="0" applyNumberFormat="1" applyFont="1" applyFill="1" applyBorder="1" applyAlignment="1">
      <alignment horizontal="center" vertical="center"/>
    </xf>
    <xf numFmtId="205" fontId="77" fillId="20" borderId="73" xfId="0" applyNumberFormat="1" applyFont="1" applyFill="1" applyBorder="1" applyAlignment="1">
      <alignment horizontal="center" vertical="center"/>
    </xf>
    <xf numFmtId="209" fontId="105" fillId="20" borderId="6" xfId="0" applyNumberFormat="1" applyFont="1" applyFill="1" applyBorder="1" applyAlignment="1">
      <alignment horizontal="center" vertical="center"/>
    </xf>
    <xf numFmtId="205" fontId="105" fillId="20" borderId="83" xfId="0" applyNumberFormat="1" applyFont="1" applyFill="1" applyBorder="1" applyAlignment="1">
      <alignment horizontal="center" vertical="center"/>
    </xf>
    <xf numFmtId="210" fontId="0" fillId="5" borderId="34" xfId="0" applyNumberFormat="1" applyFill="1" applyBorder="1" applyAlignment="1">
      <alignment horizontal="center" wrapText="1"/>
    </xf>
    <xf numFmtId="210" fontId="0" fillId="5" borderId="46" xfId="0" applyNumberFormat="1" applyFill="1" applyBorder="1" applyAlignment="1">
      <alignment horizontal="center" wrapText="1"/>
    </xf>
    <xf numFmtId="210" fontId="0" fillId="5" borderId="0" xfId="0" applyNumberFormat="1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/>
    <xf numFmtId="0" fontId="0" fillId="5" borderId="0" xfId="0" applyFill="1"/>
    <xf numFmtId="0" fontId="78" fillId="0" borderId="32" xfId="0" applyFont="1" applyBorder="1" applyAlignment="1">
      <alignment horizontal="center" vertical="center"/>
    </xf>
    <xf numFmtId="0" fontId="78" fillId="0" borderId="60" xfId="0" applyFont="1" applyBorder="1" applyAlignment="1">
      <alignment horizontal="center" vertical="center"/>
    </xf>
    <xf numFmtId="0" fontId="77" fillId="5" borderId="6" xfId="0" applyFont="1" applyFill="1" applyBorder="1"/>
    <xf numFmtId="0" fontId="77" fillId="5" borderId="4" xfId="0" applyFont="1" applyFill="1" applyBorder="1"/>
    <xf numFmtId="204" fontId="77" fillId="5" borderId="94" xfId="0" applyNumberFormat="1" applyFont="1" applyFill="1" applyBorder="1" applyAlignment="1">
      <alignment horizontal="center" vertical="center"/>
    </xf>
    <xf numFmtId="205" fontId="77" fillId="5" borderId="32" xfId="0" applyNumberFormat="1" applyFont="1" applyFill="1" applyBorder="1" applyAlignment="1">
      <alignment horizontal="center" vertical="center"/>
    </xf>
    <xf numFmtId="0" fontId="78" fillId="0" borderId="95" xfId="0" applyFont="1" applyBorder="1" applyAlignment="1">
      <alignment horizontal="center" vertical="center"/>
    </xf>
    <xf numFmtId="0" fontId="78" fillId="0" borderId="71" xfId="0" applyFont="1" applyBorder="1" applyAlignment="1">
      <alignment horizontal="center" vertical="center"/>
    </xf>
    <xf numFmtId="0" fontId="77" fillId="18" borderId="10" xfId="0" applyFont="1" applyFill="1" applyBorder="1"/>
    <xf numFmtId="0" fontId="77" fillId="18" borderId="9" xfId="0" applyFont="1" applyFill="1" applyBorder="1"/>
    <xf numFmtId="204" fontId="77" fillId="5" borderId="88" xfId="0" applyNumberFormat="1" applyFont="1" applyFill="1" applyBorder="1" applyAlignment="1">
      <alignment horizontal="center" vertical="center"/>
    </xf>
    <xf numFmtId="205" fontId="77" fillId="5" borderId="95" xfId="0" applyNumberFormat="1" applyFont="1" applyFill="1" applyBorder="1" applyAlignment="1">
      <alignment horizontal="center" vertical="center"/>
    </xf>
    <xf numFmtId="0" fontId="105" fillId="5" borderId="0" xfId="0" applyFont="1" applyFill="1"/>
    <xf numFmtId="0" fontId="0" fillId="0" borderId="0" xfId="0"/>
    <xf numFmtId="0" fontId="0" fillId="0" borderId="110" xfId="0" applyBorder="1" applyAlignment="1">
      <alignment horizontal="center"/>
    </xf>
    <xf numFmtId="0" fontId="0" fillId="0" borderId="95" xfId="0" applyBorder="1" applyAlignment="1">
      <alignment horizontal="center"/>
    </xf>
    <xf numFmtId="210" fontId="0" fillId="5" borderId="33" xfId="0" applyNumberFormat="1" applyFill="1" applyBorder="1" applyAlignment="1">
      <alignment horizontal="center" wrapText="1"/>
    </xf>
    <xf numFmtId="210" fontId="0" fillId="5" borderId="7" xfId="0" applyNumberFormat="1" applyFill="1" applyBorder="1" applyAlignment="1">
      <alignment horizontal="center" wrapText="1"/>
    </xf>
    <xf numFmtId="210" fontId="0" fillId="5" borderId="18" xfId="0" applyNumberFormat="1" applyFill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95" xfId="0" applyBorder="1" applyAlignment="1">
      <alignment horizontal="center" vertical="center"/>
    </xf>
    <xf numFmtId="210" fontId="0" fillId="5" borderId="72" xfId="0" applyNumberFormat="1" applyFill="1" applyBorder="1" applyAlignment="1">
      <alignment horizontal="center" vertical="center" wrapText="1"/>
    </xf>
    <xf numFmtId="210" fontId="0" fillId="5" borderId="7" xfId="0" applyNumberFormat="1" applyFill="1" applyBorder="1" applyAlignment="1">
      <alignment horizontal="center" vertical="center" wrapText="1"/>
    </xf>
    <xf numFmtId="210" fontId="0" fillId="5" borderId="18" xfId="0" applyNumberFormat="1" applyFill="1" applyBorder="1" applyAlignment="1">
      <alignment horizontal="center" vertical="center" wrapText="1"/>
    </xf>
    <xf numFmtId="210" fontId="0" fillId="5" borderId="95" xfId="0" applyNumberFormat="1" applyFill="1" applyBorder="1" applyAlignment="1">
      <alignment horizontal="center" vertical="center" wrapText="1"/>
    </xf>
    <xf numFmtId="210" fontId="0" fillId="5" borderId="33" xfId="0" applyNumberFormat="1" applyFill="1" applyBorder="1" applyAlignment="1">
      <alignment horizontal="center" vertical="center" wrapText="1"/>
    </xf>
    <xf numFmtId="0" fontId="0" fillId="3" borderId="111" xfId="0" applyFill="1" applyBorder="1" applyAlignment="1">
      <alignment horizontal="center" vertical="center" wrapText="1"/>
    </xf>
    <xf numFmtId="0" fontId="108" fillId="25" borderId="0" xfId="0" applyFont="1" applyFill="1"/>
    <xf numFmtId="0" fontId="0" fillId="0" borderId="0" xfId="0"/>
    <xf numFmtId="0" fontId="108" fillId="5" borderId="0" xfId="0" applyFont="1" applyFill="1"/>
    <xf numFmtId="0" fontId="105" fillId="0" borderId="0" xfId="0" applyFont="1"/>
    <xf numFmtId="0" fontId="108" fillId="0" borderId="0" xfId="0" applyFont="1"/>
    <xf numFmtId="0" fontId="108" fillId="25" borderId="0" xfId="0" applyFont="1" applyFill="1"/>
    <xf numFmtId="0" fontId="0" fillId="0" borderId="0" xfId="0"/>
    <xf numFmtId="0" fontId="5" fillId="0" borderId="0" xfId="0" applyFont="1"/>
    <xf numFmtId="43" fontId="3" fillId="0" borderId="13" xfId="3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43" fontId="3" fillId="0" borderId="13" xfId="0" applyNumberFormat="1" applyFont="1" applyBorder="1" applyAlignment="1">
      <alignment horizontal="center" vertical="center"/>
    </xf>
    <xf numFmtId="43" fontId="3" fillId="0" borderId="13" xfId="3" applyFont="1" applyBorder="1" applyAlignment="1">
      <alignment vertical="center"/>
    </xf>
    <xf numFmtId="164" fontId="95" fillId="0" borderId="13" xfId="1" applyFont="1" applyBorder="1" applyAlignment="1">
      <alignment vertical="center"/>
    </xf>
    <xf numFmtId="164" fontId="3" fillId="0" borderId="75" xfId="4" applyFont="1" applyBorder="1" applyAlignment="1">
      <alignment horizontal="center" vertical="center"/>
    </xf>
    <xf numFmtId="43" fontId="3" fillId="0" borderId="13" xfId="0" applyNumberFormat="1" applyFont="1" applyBorder="1" applyAlignment="1">
      <alignment horizontal="right" vertical="center"/>
    </xf>
    <xf numFmtId="9" fontId="3" fillId="0" borderId="13" xfId="2" applyFont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 vertical="center"/>
    </xf>
    <xf numFmtId="4" fontId="3" fillId="5" borderId="14" xfId="0" applyNumberFormat="1" applyFont="1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2" fontId="3" fillId="0" borderId="14" xfId="0" applyNumberFormat="1" applyFont="1" applyBorder="1" applyAlignment="1">
      <alignment horizontal="center" vertical="center"/>
    </xf>
    <xf numFmtId="4" fontId="3" fillId="0" borderId="14" xfId="0" applyNumberFormat="1" applyFont="1" applyBorder="1" applyAlignment="1">
      <alignment horizontal="right" vertical="center"/>
    </xf>
    <xf numFmtId="164" fontId="3" fillId="0" borderId="14" xfId="1" applyFont="1" applyBorder="1" applyAlignment="1">
      <alignment horizontal="center" vertical="center"/>
    </xf>
    <xf numFmtId="164" fontId="0" fillId="5" borderId="0" xfId="1" applyFont="1" applyFill="1" applyAlignment="1">
      <alignment vertical="center"/>
    </xf>
    <xf numFmtId="204" fontId="78" fillId="21" borderId="88" xfId="0" applyNumberFormat="1" applyFont="1" applyFill="1" applyBorder="1" applyAlignment="1">
      <alignment horizontal="center" vertical="center"/>
    </xf>
    <xf numFmtId="0" fontId="105" fillId="0" borderId="0" xfId="0" applyFont="1"/>
    <xf numFmtId="0" fontId="108" fillId="0" borderId="0" xfId="0" applyFont="1"/>
    <xf numFmtId="0" fontId="108" fillId="25" borderId="0" xfId="0" applyFont="1" applyFill="1"/>
    <xf numFmtId="0" fontId="91" fillId="0" borderId="0" xfId="0" applyFont="1" applyAlignment="1">
      <alignment horizontal="left"/>
    </xf>
    <xf numFmtId="0" fontId="83" fillId="0" borderId="0" xfId="0" applyFont="1" applyAlignment="1">
      <alignment horizontal="left" wrapText="1"/>
    </xf>
    <xf numFmtId="0" fontId="83" fillId="0" borderId="0" xfId="0" applyFont="1" applyAlignment="1">
      <alignment horizontal="center" wrapText="1"/>
    </xf>
    <xf numFmtId="0" fontId="88" fillId="0" borderId="47" xfId="0" applyFont="1" applyBorder="1" applyAlignment="1">
      <alignment horizontal="center"/>
    </xf>
    <xf numFmtId="0" fontId="88" fillId="0" borderId="0" xfId="0" applyFont="1" applyAlignment="1">
      <alignment horizontal="center"/>
    </xf>
    <xf numFmtId="0" fontId="88" fillId="0" borderId="46" xfId="0" applyFont="1" applyBorder="1" applyAlignment="1">
      <alignment horizontal="center"/>
    </xf>
    <xf numFmtId="0" fontId="10" fillId="16" borderId="30" xfId="0" applyFont="1" applyFill="1" applyBorder="1" applyAlignment="1">
      <alignment horizontal="center" vertical="center"/>
    </xf>
    <xf numFmtId="0" fontId="10" fillId="16" borderId="24" xfId="0" applyFont="1" applyFill="1" applyBorder="1" applyAlignment="1">
      <alignment horizontal="center" vertical="center"/>
    </xf>
    <xf numFmtId="0" fontId="10" fillId="16" borderId="29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5" fillId="0" borderId="47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46" xfId="0" applyFont="1" applyBorder="1" applyAlignment="1">
      <alignment horizontal="left" wrapText="1"/>
    </xf>
    <xf numFmtId="0" fontId="10" fillId="0" borderId="56" xfId="0" applyFont="1" applyBorder="1" applyAlignment="1">
      <alignment horizontal="left" vertical="center"/>
    </xf>
    <xf numFmtId="0" fontId="10" fillId="0" borderId="55" xfId="0" applyFont="1" applyBorder="1" applyAlignment="1">
      <alignment horizontal="left" vertical="center"/>
    </xf>
    <xf numFmtId="0" fontId="10" fillId="0" borderId="54" xfId="0" applyFont="1" applyBorder="1" applyAlignment="1">
      <alignment horizontal="left" vertical="center"/>
    </xf>
    <xf numFmtId="0" fontId="4" fillId="2" borderId="88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56" xfId="0" applyFont="1" applyFill="1" applyBorder="1" applyAlignment="1">
      <alignment horizontal="right" vertical="center"/>
    </xf>
    <xf numFmtId="0" fontId="4" fillId="2" borderId="76" xfId="0" applyFont="1" applyFill="1" applyBorder="1" applyAlignment="1">
      <alignment horizontal="right" vertical="center"/>
    </xf>
    <xf numFmtId="3" fontId="4" fillId="2" borderId="7" xfId="3" applyNumberFormat="1" applyFont="1" applyFill="1" applyBorder="1" applyAlignment="1">
      <alignment horizontal="center" vertical="center"/>
    </xf>
    <xf numFmtId="43" fontId="4" fillId="2" borderId="8" xfId="3" applyFont="1" applyFill="1" applyBorder="1" applyAlignment="1">
      <alignment horizontal="center" vertical="center" wrapText="1"/>
    </xf>
    <xf numFmtId="43" fontId="4" fillId="2" borderId="11" xfId="3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2" borderId="6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4" fillId="2" borderId="68" xfId="3" applyNumberFormat="1" applyFont="1" applyFill="1" applyBorder="1" applyAlignment="1">
      <alignment horizontal="center" vertical="center"/>
    </xf>
    <xf numFmtId="3" fontId="4" fillId="2" borderId="43" xfId="3" applyNumberFormat="1" applyFont="1" applyFill="1" applyBorder="1" applyAlignment="1">
      <alignment horizontal="center" vertical="center"/>
    </xf>
    <xf numFmtId="3" fontId="4" fillId="2" borderId="69" xfId="3" applyNumberFormat="1" applyFont="1" applyFill="1" applyBorder="1" applyAlignment="1">
      <alignment horizontal="center" vertical="center"/>
    </xf>
    <xf numFmtId="3" fontId="4" fillId="2" borderId="4" xfId="3" applyNumberFormat="1" applyFont="1" applyFill="1" applyBorder="1" applyAlignment="1">
      <alignment horizontal="center" vertical="center"/>
    </xf>
    <xf numFmtId="3" fontId="4" fillId="2" borderId="5" xfId="3" applyNumberFormat="1" applyFont="1" applyFill="1" applyBorder="1" applyAlignment="1">
      <alignment horizontal="center" vertical="center"/>
    </xf>
    <xf numFmtId="3" fontId="4" fillId="2" borderId="6" xfId="3" applyNumberFormat="1" applyFont="1" applyFill="1" applyBorder="1" applyAlignment="1">
      <alignment horizontal="center" vertical="center"/>
    </xf>
    <xf numFmtId="3" fontId="4" fillId="2" borderId="38" xfId="3" applyNumberFormat="1" applyFont="1" applyFill="1" applyBorder="1" applyAlignment="1">
      <alignment horizontal="center" vertical="center"/>
    </xf>
    <xf numFmtId="3" fontId="4" fillId="2" borderId="37" xfId="3" applyNumberFormat="1" applyFont="1" applyFill="1" applyBorder="1" applyAlignment="1">
      <alignment horizontal="center" vertical="center"/>
    </xf>
    <xf numFmtId="3" fontId="4" fillId="2" borderId="70" xfId="3" applyNumberFormat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right" vertical="center"/>
    </xf>
    <xf numFmtId="0" fontId="1" fillId="2" borderId="79" xfId="0" applyFont="1" applyFill="1" applyBorder="1" applyAlignment="1">
      <alignment vertical="center"/>
    </xf>
    <xf numFmtId="0" fontId="99" fillId="5" borderId="85" xfId="0" applyFont="1" applyFill="1" applyBorder="1" applyAlignment="1">
      <alignment horizontal="center" vertical="center" wrapText="1"/>
    </xf>
    <xf numFmtId="0" fontId="99" fillId="5" borderId="86" xfId="0" applyFont="1" applyFill="1" applyBorder="1" applyAlignment="1">
      <alignment horizontal="center" vertical="center" wrapText="1"/>
    </xf>
    <xf numFmtId="164" fontId="100" fillId="2" borderId="81" xfId="1" applyFont="1" applyFill="1" applyBorder="1" applyAlignment="1">
      <alignment horizontal="center" vertical="center" wrapText="1"/>
    </xf>
    <xf numFmtId="164" fontId="100" fillId="2" borderId="25" xfId="1" applyFont="1" applyFill="1" applyBorder="1" applyAlignment="1">
      <alignment horizontal="center" vertical="center" wrapText="1"/>
    </xf>
    <xf numFmtId="164" fontId="100" fillId="2" borderId="79" xfId="1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right" vertical="center" wrapText="1"/>
    </xf>
    <xf numFmtId="0" fontId="4" fillId="2" borderId="79" xfId="0" applyFont="1" applyFill="1" applyBorder="1" applyAlignment="1">
      <alignment horizontal="right" vertical="center" wrapText="1"/>
    </xf>
    <xf numFmtId="0" fontId="113" fillId="23" borderId="30" xfId="0" applyFont="1" applyFill="1" applyBorder="1" applyAlignment="1">
      <alignment horizontal="center" wrapText="1"/>
    </xf>
    <xf numFmtId="0" fontId="113" fillId="23" borderId="24" xfId="0" applyFont="1" applyFill="1" applyBorder="1" applyAlignment="1">
      <alignment horizontal="center" wrapText="1"/>
    </xf>
    <xf numFmtId="0" fontId="113" fillId="23" borderId="29" xfId="0" applyFont="1" applyFill="1" applyBorder="1" applyAlignment="1">
      <alignment horizontal="center" wrapText="1"/>
    </xf>
    <xf numFmtId="0" fontId="113" fillId="24" borderId="30" xfId="0" applyFont="1" applyFill="1" applyBorder="1" applyAlignment="1">
      <alignment horizontal="center" wrapText="1"/>
    </xf>
    <xf numFmtId="0" fontId="113" fillId="24" borderId="24" xfId="0" applyFont="1" applyFill="1" applyBorder="1" applyAlignment="1">
      <alignment horizontal="center" wrapText="1"/>
    </xf>
    <xf numFmtId="0" fontId="113" fillId="24" borderId="29" xfId="0" applyFont="1" applyFill="1" applyBorder="1" applyAlignment="1">
      <alignment horizontal="center" wrapText="1"/>
    </xf>
    <xf numFmtId="0" fontId="113" fillId="2" borderId="30" xfId="0" applyFont="1" applyFill="1" applyBorder="1" applyAlignment="1">
      <alignment horizontal="center"/>
    </xf>
    <xf numFmtId="0" fontId="113" fillId="2" borderId="19" xfId="0" applyFont="1" applyFill="1" applyBorder="1" applyAlignment="1">
      <alignment horizontal="center"/>
    </xf>
    <xf numFmtId="0" fontId="113" fillId="2" borderId="44" xfId="0" applyFont="1" applyFill="1" applyBorder="1" applyAlignment="1">
      <alignment horizontal="center"/>
    </xf>
    <xf numFmtId="0" fontId="113" fillId="4" borderId="96" xfId="0" applyFont="1" applyFill="1" applyBorder="1" applyAlignment="1">
      <alignment horizontal="center" vertical="center"/>
    </xf>
    <xf numFmtId="0" fontId="113" fillId="4" borderId="37" xfId="0" applyFont="1" applyFill="1" applyBorder="1" applyAlignment="1">
      <alignment horizontal="center" vertical="center"/>
    </xf>
    <xf numFmtId="0" fontId="113" fillId="4" borderId="96" xfId="0" applyFont="1" applyFill="1" applyBorder="1" applyAlignment="1">
      <alignment horizontal="center" vertical="center" wrapText="1"/>
    </xf>
    <xf numFmtId="0" fontId="113" fillId="4" borderId="70" xfId="0" applyFont="1" applyFill="1" applyBorder="1" applyAlignment="1">
      <alignment horizontal="center" vertical="center" wrapText="1"/>
    </xf>
    <xf numFmtId="0" fontId="113" fillId="19" borderId="98" xfId="0" applyFont="1" applyFill="1" applyBorder="1" applyAlignment="1">
      <alignment horizontal="center" vertical="center" wrapText="1"/>
    </xf>
    <xf numFmtId="0" fontId="113" fillId="19" borderId="99" xfId="0" applyFont="1" applyFill="1" applyBorder="1" applyAlignment="1">
      <alignment horizontal="center" vertical="center" wrapText="1"/>
    </xf>
    <xf numFmtId="0" fontId="111" fillId="20" borderId="30" xfId="0" applyFont="1" applyFill="1" applyBorder="1" applyAlignment="1">
      <alignment horizontal="center" vertical="center" wrapText="1"/>
    </xf>
    <xf numFmtId="0" fontId="111" fillId="20" borderId="29" xfId="0" applyFont="1" applyFill="1" applyBorder="1" applyAlignment="1">
      <alignment horizontal="center" vertical="center" wrapText="1"/>
    </xf>
    <xf numFmtId="0" fontId="113" fillId="21" borderId="98" xfId="0" applyFont="1" applyFill="1" applyBorder="1" applyAlignment="1">
      <alignment horizontal="center" vertical="center" wrapText="1"/>
    </xf>
    <xf numFmtId="0" fontId="113" fillId="21" borderId="99" xfId="0" applyFont="1" applyFill="1" applyBorder="1" applyAlignment="1">
      <alignment horizontal="center" vertical="center" wrapText="1"/>
    </xf>
    <xf numFmtId="0" fontId="111" fillId="0" borderId="19" xfId="0" applyFont="1" applyBorder="1" applyAlignment="1">
      <alignment horizontal="center" vertical="center"/>
    </xf>
    <xf numFmtId="0" fontId="111" fillId="4" borderId="30" xfId="0" applyFont="1" applyFill="1" applyBorder="1" applyAlignment="1">
      <alignment horizontal="center" vertical="center"/>
    </xf>
    <xf numFmtId="0" fontId="111" fillId="4" borderId="29" xfId="0" applyFont="1" applyFill="1" applyBorder="1" applyAlignment="1">
      <alignment horizontal="center" vertical="center"/>
    </xf>
    <xf numFmtId="0" fontId="113" fillId="19" borderId="24" xfId="0" applyFont="1" applyFill="1" applyBorder="1" applyAlignment="1">
      <alignment horizontal="center" vertical="center"/>
    </xf>
    <xf numFmtId="0" fontId="111" fillId="21" borderId="30" xfId="0" applyFont="1" applyFill="1" applyBorder="1" applyAlignment="1">
      <alignment horizontal="center" vertical="center"/>
    </xf>
    <xf numFmtId="0" fontId="111" fillId="21" borderId="29" xfId="0" applyFont="1" applyFill="1" applyBorder="1" applyAlignment="1">
      <alignment horizontal="center" vertical="center"/>
    </xf>
    <xf numFmtId="0" fontId="106" fillId="2" borderId="106" xfId="0" applyFont="1" applyFill="1" applyBorder="1" applyAlignment="1">
      <alignment horizontal="center" vertical="center"/>
    </xf>
    <xf numFmtId="0" fontId="106" fillId="2" borderId="107" xfId="0" applyFont="1" applyFill="1" applyBorder="1" applyAlignment="1">
      <alignment horizontal="center" vertical="center"/>
    </xf>
    <xf numFmtId="0" fontId="106" fillId="2" borderId="108" xfId="0" applyFont="1" applyFill="1" applyBorder="1" applyAlignment="1">
      <alignment horizontal="center" vertical="center"/>
    </xf>
    <xf numFmtId="17" fontId="107" fillId="4" borderId="43" xfId="0" applyNumberFormat="1" applyFont="1" applyFill="1" applyBorder="1" applyAlignment="1">
      <alignment horizontal="center" vertical="center" wrapText="1"/>
    </xf>
    <xf numFmtId="0" fontId="107" fillId="4" borderId="48" xfId="0" applyFont="1" applyFill="1" applyBorder="1" applyAlignment="1">
      <alignment horizontal="center" vertical="center" wrapText="1"/>
    </xf>
    <xf numFmtId="0" fontId="107" fillId="4" borderId="43" xfId="0" applyFont="1" applyFill="1" applyBorder="1" applyAlignment="1">
      <alignment horizontal="center" vertical="center" wrapText="1"/>
    </xf>
    <xf numFmtId="0" fontId="107" fillId="4" borderId="30" xfId="0" applyFont="1" applyFill="1" applyBorder="1" applyAlignment="1">
      <alignment horizontal="center" vertical="center" wrapText="1"/>
    </xf>
    <xf numFmtId="0" fontId="107" fillId="4" borderId="29" xfId="0" applyFont="1" applyFill="1" applyBorder="1" applyAlignment="1">
      <alignment horizontal="center" vertical="center" wrapText="1"/>
    </xf>
    <xf numFmtId="0" fontId="107" fillId="20" borderId="43" xfId="0" applyFont="1" applyFill="1" applyBorder="1" applyAlignment="1">
      <alignment horizontal="center" vertical="center" wrapText="1"/>
    </xf>
    <xf numFmtId="0" fontId="107" fillId="20" borderId="48" xfId="0" applyFont="1" applyFill="1" applyBorder="1" applyAlignment="1">
      <alignment horizontal="center" vertical="center" wrapText="1"/>
    </xf>
    <xf numFmtId="0" fontId="107" fillId="21" borderId="49" xfId="0" applyFont="1" applyFill="1" applyBorder="1" applyAlignment="1">
      <alignment horizontal="center" vertical="center" wrapText="1"/>
    </xf>
    <xf numFmtId="0" fontId="107" fillId="21" borderId="48" xfId="0" applyFont="1" applyFill="1" applyBorder="1" applyAlignment="1">
      <alignment horizontal="center" vertical="center" wrapText="1"/>
    </xf>
    <xf numFmtId="0" fontId="76" fillId="4" borderId="49" xfId="0" applyFont="1" applyFill="1" applyBorder="1" applyAlignment="1">
      <alignment horizontal="center" vertical="center"/>
    </xf>
    <xf numFmtId="0" fontId="76" fillId="4" borderId="43" xfId="0" applyFont="1" applyFill="1" applyBorder="1" applyAlignment="1">
      <alignment horizontal="center" vertical="center"/>
    </xf>
    <xf numFmtId="0" fontId="107" fillId="19" borderId="49" xfId="0" applyFont="1" applyFill="1" applyBorder="1" applyAlignment="1">
      <alignment horizontal="center" vertical="center" wrapText="1"/>
    </xf>
    <xf numFmtId="0" fontId="107" fillId="19" borderId="48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9" fillId="5" borderId="66" xfId="0" applyFont="1" applyFill="1" applyBorder="1" applyAlignment="1">
      <alignment horizontal="center" vertical="center"/>
    </xf>
    <xf numFmtId="0" fontId="10" fillId="5" borderId="69" xfId="0" applyFont="1" applyFill="1" applyBorder="1" applyAlignment="1">
      <alignment horizontal="center"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100" xfId="0" applyFont="1" applyFill="1" applyBorder="1" applyAlignment="1">
      <alignment horizontal="center" vertical="center"/>
    </xf>
    <xf numFmtId="3" fontId="10" fillId="5" borderId="68" xfId="3" applyNumberFormat="1" applyFont="1" applyFill="1" applyBorder="1" applyAlignment="1">
      <alignment horizontal="center" vertical="center"/>
    </xf>
    <xf numFmtId="3" fontId="10" fillId="5" borderId="69" xfId="3" applyNumberFormat="1" applyFont="1" applyFill="1" applyBorder="1" applyAlignment="1">
      <alignment horizontal="center" vertical="center"/>
    </xf>
    <xf numFmtId="3" fontId="110" fillId="5" borderId="92" xfId="3" applyNumberFormat="1" applyFont="1" applyFill="1" applyBorder="1" applyAlignment="1">
      <alignment horizontal="center" vertical="center"/>
    </xf>
    <xf numFmtId="3" fontId="110" fillId="5" borderId="24" xfId="3" applyNumberFormat="1" applyFont="1" applyFill="1" applyBorder="1" applyAlignment="1">
      <alignment horizontal="center" vertical="center"/>
    </xf>
    <xf numFmtId="3" fontId="110" fillId="5" borderId="29" xfId="3" applyNumberFormat="1" applyFont="1" applyFill="1" applyBorder="1" applyAlignment="1">
      <alignment horizontal="center" vertical="center"/>
    </xf>
    <xf numFmtId="3" fontId="10" fillId="5" borderId="98" xfId="3" applyNumberFormat="1" applyFont="1" applyFill="1" applyBorder="1" applyAlignment="1">
      <alignment horizontal="center" vertical="center"/>
    </xf>
    <xf numFmtId="3" fontId="10" fillId="5" borderId="87" xfId="3" applyNumberFormat="1" applyFont="1" applyFill="1" applyBorder="1" applyAlignment="1">
      <alignment horizontal="center" vertical="center"/>
    </xf>
    <xf numFmtId="3" fontId="10" fillId="5" borderId="99" xfId="3" applyNumberFormat="1" applyFont="1" applyFill="1" applyBorder="1" applyAlignment="1">
      <alignment horizontal="center" vertical="center"/>
    </xf>
    <xf numFmtId="0" fontId="76" fillId="0" borderId="91" xfId="0" applyFont="1" applyBorder="1" applyAlignment="1">
      <alignment horizontal="center" vertical="center"/>
    </xf>
    <xf numFmtId="0" fontId="76" fillId="0" borderId="23" xfId="0" applyFont="1" applyBorder="1" applyAlignment="1">
      <alignment horizontal="center" vertical="center"/>
    </xf>
    <xf numFmtId="0" fontId="107" fillId="0" borderId="91" xfId="0" applyFont="1" applyBorder="1" applyAlignment="1">
      <alignment horizontal="center" vertical="center" wrapText="1"/>
    </xf>
    <xf numFmtId="0" fontId="107" fillId="0" borderId="17" xfId="0" applyFont="1" applyBorder="1" applyAlignment="1">
      <alignment horizontal="center" vertical="center"/>
    </xf>
    <xf numFmtId="0" fontId="107" fillId="5" borderId="96" xfId="0" applyFont="1" applyFill="1" applyBorder="1" applyAlignment="1">
      <alignment horizontal="center" vertical="center"/>
    </xf>
    <xf numFmtId="0" fontId="107" fillId="5" borderId="37" xfId="0" applyFont="1" applyFill="1" applyBorder="1" applyAlignment="1">
      <alignment horizontal="center" vertical="center"/>
    </xf>
    <xf numFmtId="0" fontId="107" fillId="5" borderId="97" xfId="0" applyFont="1" applyFill="1" applyBorder="1" applyAlignment="1">
      <alignment horizontal="center" vertical="center"/>
    </xf>
    <xf numFmtId="0" fontId="106" fillId="0" borderId="36" xfId="0" applyFont="1" applyBorder="1" applyAlignment="1">
      <alignment horizontal="center" vertical="center" wrapText="1"/>
    </xf>
    <xf numFmtId="0" fontId="106" fillId="0" borderId="66" xfId="0" applyFont="1" applyBorder="1" applyAlignment="1">
      <alignment horizontal="center" vertical="center" wrapText="1"/>
    </xf>
    <xf numFmtId="0" fontId="99" fillId="22" borderId="30" xfId="0" applyFont="1" applyFill="1" applyBorder="1" applyAlignment="1">
      <alignment horizontal="center"/>
    </xf>
    <xf numFmtId="0" fontId="99" fillId="22" borderId="24" xfId="0" applyFont="1" applyFill="1" applyBorder="1" applyAlignment="1">
      <alignment horizontal="center"/>
    </xf>
    <xf numFmtId="0" fontId="99" fillId="22" borderId="29" xfId="0" applyFont="1" applyFill="1" applyBorder="1" applyAlignment="1">
      <alignment horizontal="center"/>
    </xf>
    <xf numFmtId="0" fontId="106" fillId="0" borderId="110" xfId="0" applyFont="1" applyBorder="1" applyAlignment="1">
      <alignment horizontal="center" vertical="center" wrapText="1"/>
    </xf>
    <xf numFmtId="0" fontId="106" fillId="0" borderId="53" xfId="0" applyFont="1" applyBorder="1" applyAlignment="1">
      <alignment horizontal="center" vertical="center" wrapText="1"/>
    </xf>
    <xf numFmtId="0" fontId="106" fillId="0" borderId="96" xfId="0" applyFont="1" applyBorder="1" applyAlignment="1">
      <alignment horizontal="center" vertical="center" wrapText="1"/>
    </xf>
    <xf numFmtId="0" fontId="106" fillId="0" borderId="37" xfId="0" applyFont="1" applyBorder="1" applyAlignment="1">
      <alignment horizontal="center" vertical="center" wrapText="1"/>
    </xf>
    <xf numFmtId="0" fontId="106" fillId="0" borderId="70" xfId="0" applyFont="1" applyBorder="1" applyAlignment="1">
      <alignment horizontal="center" vertical="center" wrapText="1"/>
    </xf>
    <xf numFmtId="0" fontId="106" fillId="0" borderId="3" xfId="0" applyFont="1" applyBorder="1"/>
    <xf numFmtId="164" fontId="106" fillId="0" borderId="3" xfId="1" applyFont="1" applyBorder="1"/>
    <xf numFmtId="0" fontId="0" fillId="0" borderId="3" xfId="0" applyBorder="1" applyAlignment="1">
      <alignment wrapText="1"/>
    </xf>
    <xf numFmtId="164" fontId="0" fillId="0" borderId="3" xfId="1" applyFont="1" applyBorder="1" applyAlignment="1">
      <alignment vertical="center"/>
    </xf>
    <xf numFmtId="0" fontId="117" fillId="0" borderId="3" xfId="0" applyFont="1" applyBorder="1"/>
    <xf numFmtId="164" fontId="106" fillId="0" borderId="3" xfId="1" applyFont="1" applyBorder="1" applyAlignment="1">
      <alignment vertical="center"/>
    </xf>
    <xf numFmtId="0" fontId="106" fillId="0" borderId="3" xfId="0" applyFont="1" applyBorder="1" applyAlignment="1">
      <alignment wrapText="1"/>
    </xf>
    <xf numFmtId="164" fontId="106" fillId="0" borderId="8" xfId="1" applyFont="1" applyBorder="1" applyAlignment="1">
      <alignment vertical="center"/>
    </xf>
  </cellXfs>
  <cellStyles count="344">
    <cellStyle name="(0.0%)" xfId="18" xr:uid="{00000000-0005-0000-0000-00000D000000}"/>
    <cellStyle name="??&amp;O?&amp;H?_x0008__x000f__x0007_?_x0007__x0001__x0001_" xfId="16" xr:uid="{00000000-0005-0000-0000-00000B000000}"/>
    <cellStyle name="??&amp;O?&amp;H?_x0008_??_x0007__x0001__x0001_" xfId="17" xr:uid="{00000000-0005-0000-0000-00000C000000}"/>
    <cellStyle name="???_??" xfId="15" xr:uid="{00000000-0005-0000-0000-00000A000000}"/>
    <cellStyle name="??_??" xfId="14" xr:uid="{00000000-0005-0000-0000-000009000000}"/>
    <cellStyle name="_20040916-2 元積BQ(為替レート変更)" xfId="5" xr:uid="{00000000-0005-0000-0000-000000000000}"/>
    <cellStyle name="_aka" xfId="6" xr:uid="{00000000-0005-0000-0000-000001000000}"/>
    <cellStyle name="_PCO 250 General Requirement rev0" xfId="7" xr:uid="{00000000-0005-0000-0000-000002000000}"/>
    <cellStyle name="_PCO 250 General Requirement rev0_CP29 - Negotiations Submission rev2" xfId="8" xr:uid="{00000000-0005-0000-0000-000003000000}"/>
    <cellStyle name="_PCO 250 General Requirement rev0_CP29 - Unit Rates Negotiations  rev22" xfId="9" xr:uid="{00000000-0005-0000-0000-000004000000}"/>
    <cellStyle name="_PCO 250 General Requirement rev0_Phase 2 Negotiation Adjustment Proposal (070323)" xfId="10" xr:uid="{00000000-0005-0000-0000-000005000000}"/>
    <cellStyle name="_TAISEI DOHA" xfId="11" xr:uid="{00000000-0005-0000-0000-000006000000}"/>
    <cellStyle name="_TAISEI DOHA_NDIA NOC1 BOQ Elec update -SOJV-rev090906-1" xfId="12" xr:uid="{00000000-0005-0000-0000-000007000000}"/>
    <cellStyle name="```" xfId="19" xr:uid="{00000000-0005-0000-0000-00000E000000}"/>
    <cellStyle name="–¢’è‹`" xfId="13" xr:uid="{00000000-0005-0000-0000-000008000000}"/>
    <cellStyle name="=C:\WINDOWS\SYSTEM32\COMMAND.COM" xfId="20" xr:uid="{00000000-0005-0000-0000-00000F000000}"/>
    <cellStyle name="2)" xfId="21" xr:uid="{00000000-0005-0000-0000-000010000000}"/>
    <cellStyle name="A Big heading" xfId="22" xr:uid="{00000000-0005-0000-0000-000011000000}"/>
    <cellStyle name="A body text" xfId="23" xr:uid="{00000000-0005-0000-0000-000012000000}"/>
    <cellStyle name="A smaller heading" xfId="24" xr:uid="{00000000-0005-0000-0000-000013000000}"/>
    <cellStyle name="ＡＡ" xfId="25" xr:uid="{00000000-0005-0000-0000-000014000000}"/>
    <cellStyle name="ÅëÈ­ [0]_´ë¿©ÀüÃ¼" xfId="26" xr:uid="{00000000-0005-0000-0000-000015000000}"/>
    <cellStyle name="AeE­ [0]_´eºnC￥ " xfId="27" xr:uid="{00000000-0005-0000-0000-000016000000}"/>
    <cellStyle name="ÅëÈ­_´ë¿©ÀüÃ¼" xfId="28" xr:uid="{00000000-0005-0000-0000-000017000000}"/>
    <cellStyle name="AeE­_´eºnC￥ " xfId="29" xr:uid="{00000000-0005-0000-0000-000018000000}"/>
    <cellStyle name="ÄÞ¸¶ [0]_´ë¿©ÀüÃ¼" xfId="30" xr:uid="{00000000-0005-0000-0000-000019000000}"/>
    <cellStyle name="AÞ¸¶ [0]_´eºnC￥ " xfId="31" xr:uid="{00000000-0005-0000-0000-00001A000000}"/>
    <cellStyle name="ÄÞ¸¶_´ë¿©ÀüÃ¼" xfId="32" xr:uid="{00000000-0005-0000-0000-00001B000000}"/>
    <cellStyle name="AÞ¸¶_´eºnC￥ " xfId="33" xr:uid="{00000000-0005-0000-0000-00001C000000}"/>
    <cellStyle name="_x0001_b" xfId="34" xr:uid="{00000000-0005-0000-0000-00001D000000}"/>
    <cellStyle name="blue bold end" xfId="35" xr:uid="{00000000-0005-0000-0000-00001E000000}"/>
    <cellStyle name="blue centre" xfId="36" xr:uid="{00000000-0005-0000-0000-00001F000000}"/>
    <cellStyle name="blue dollar" xfId="37" xr:uid="{00000000-0005-0000-0000-000020000000}"/>
    <cellStyle name="blue end" xfId="38" xr:uid="{00000000-0005-0000-0000-000021000000}"/>
    <cellStyle name="blue middle" xfId="39" xr:uid="{00000000-0005-0000-0000-000022000000}"/>
    <cellStyle name="Blue shade" xfId="40" xr:uid="{00000000-0005-0000-0000-000023000000}"/>
    <cellStyle name="Blue text" xfId="41" xr:uid="{00000000-0005-0000-0000-000024000000}"/>
    <cellStyle name="bold big" xfId="42" xr:uid="{00000000-0005-0000-0000-000025000000}"/>
    <cellStyle name="bold bot bord" xfId="43" xr:uid="{00000000-0005-0000-0000-000026000000}"/>
    <cellStyle name="bold underline" xfId="44" xr:uid="{00000000-0005-0000-0000-000027000000}"/>
    <cellStyle name="Border Bottom Thick" xfId="45" xr:uid="{00000000-0005-0000-0000-000028000000}"/>
    <cellStyle name="Border Top Thin" xfId="46" xr:uid="{00000000-0005-0000-0000-000029000000}"/>
    <cellStyle name="Ç¥ÁØ_´ë³»°ø¹® (2)" xfId="47" xr:uid="{00000000-0005-0000-0000-00002A000000}"/>
    <cellStyle name="C￥AØ_´eºnC￥ (2)_1_ºI´eAa°ø " xfId="48" xr:uid="{00000000-0005-0000-0000-00002B000000}"/>
    <cellStyle name="Calc Currency (0)" xfId="49" xr:uid="{00000000-0005-0000-0000-00002C000000}"/>
    <cellStyle name="Calc Currency (2)" xfId="50" xr:uid="{00000000-0005-0000-0000-00002D000000}"/>
    <cellStyle name="Calc Percent (0)" xfId="51" xr:uid="{00000000-0005-0000-0000-00002E000000}"/>
    <cellStyle name="Calc Percent (1)" xfId="52" xr:uid="{00000000-0005-0000-0000-00002F000000}"/>
    <cellStyle name="Calc Percent (2)" xfId="53" xr:uid="{00000000-0005-0000-0000-000030000000}"/>
    <cellStyle name="Calc Units (0)" xfId="54" xr:uid="{00000000-0005-0000-0000-000031000000}"/>
    <cellStyle name="Calc Units (1)" xfId="55" xr:uid="{00000000-0005-0000-0000-000032000000}"/>
    <cellStyle name="Calc Units (2)" xfId="56" xr:uid="{00000000-0005-0000-0000-000033000000}"/>
    <cellStyle name="Camp Sheet" xfId="57" xr:uid="{00000000-0005-0000-0000-000034000000}"/>
    <cellStyle name="Cancel" xfId="58" xr:uid="{00000000-0005-0000-0000-000035000000}"/>
    <cellStyle name="category" xfId="59" xr:uid="{00000000-0005-0000-0000-000036000000}"/>
    <cellStyle name="CENTER" xfId="60" xr:uid="{00000000-0005-0000-0000-000037000000}"/>
    <cellStyle name="Centre - gen" xfId="61" xr:uid="{00000000-0005-0000-0000-000038000000}"/>
    <cellStyle name="colour" xfId="62" xr:uid="{00000000-0005-0000-0000-000039000000}"/>
    <cellStyle name="Comma" xfId="1" builtinId="3"/>
    <cellStyle name="Comma  - Style1" xfId="63" xr:uid="{00000000-0005-0000-0000-00003B000000}"/>
    <cellStyle name="Comma  - Style2" xfId="64" xr:uid="{00000000-0005-0000-0000-00003C000000}"/>
    <cellStyle name="Comma  - Style3" xfId="65" xr:uid="{00000000-0005-0000-0000-00003D000000}"/>
    <cellStyle name="Comma  - Style4" xfId="66" xr:uid="{00000000-0005-0000-0000-00003E000000}"/>
    <cellStyle name="Comma  - Style5" xfId="67" xr:uid="{00000000-0005-0000-0000-00003F000000}"/>
    <cellStyle name="Comma  - Style6" xfId="68" xr:uid="{00000000-0005-0000-0000-000040000000}"/>
    <cellStyle name="Comma  - Style7" xfId="69" xr:uid="{00000000-0005-0000-0000-000041000000}"/>
    <cellStyle name="Comma [0] 2" xfId="70" xr:uid="{00000000-0005-0000-0000-000042000000}"/>
    <cellStyle name="Comma [0] 2 2" xfId="71" xr:uid="{00000000-0005-0000-0000-000043000000}"/>
    <cellStyle name="Comma [00]" xfId="72" xr:uid="{00000000-0005-0000-0000-000044000000}"/>
    <cellStyle name="Comma 2" xfId="73" xr:uid="{00000000-0005-0000-0000-000045000000}"/>
    <cellStyle name="Comma 2 2" xfId="74" xr:uid="{00000000-0005-0000-0000-000046000000}"/>
    <cellStyle name="Comma 2 2 2" xfId="3" xr:uid="{00000000-0005-0000-0000-000047000000}"/>
    <cellStyle name="Comma 2 3" xfId="4" xr:uid="{00000000-0005-0000-0000-000048000000}"/>
    <cellStyle name="Comma 3" xfId="75" xr:uid="{00000000-0005-0000-0000-000049000000}"/>
    <cellStyle name="Comma 3 2" xfId="76" xr:uid="{00000000-0005-0000-0000-00004A000000}"/>
    <cellStyle name="Comma 4" xfId="77" xr:uid="{00000000-0005-0000-0000-00004B000000}"/>
    <cellStyle name="Comma 4 2" xfId="78" xr:uid="{00000000-0005-0000-0000-00004C000000}"/>
    <cellStyle name="Comma 5" xfId="79" xr:uid="{00000000-0005-0000-0000-00004D000000}"/>
    <cellStyle name="Comma 6" xfId="80" xr:uid="{00000000-0005-0000-0000-00004E000000}"/>
    <cellStyle name="Comma 7" xfId="81" xr:uid="{00000000-0005-0000-0000-00004F000000}"/>
    <cellStyle name="Comma 8" xfId="82" xr:uid="{00000000-0005-0000-0000-000050000000}"/>
    <cellStyle name="Comma 9" xfId="83" xr:uid="{00000000-0005-0000-0000-000051000000}"/>
    <cellStyle name="Comma 9 2" xfId="84" xr:uid="{00000000-0005-0000-0000-000052000000}"/>
    <cellStyle name="comma zerodec" xfId="85" xr:uid="{00000000-0005-0000-0000-000053000000}"/>
    <cellStyle name="Comma0" xfId="86" xr:uid="{00000000-0005-0000-0000-000054000000}"/>
    <cellStyle name="Curren - Style1" xfId="87" xr:uid="{00000000-0005-0000-0000-000055000000}"/>
    <cellStyle name="Currency [00]" xfId="88" xr:uid="{00000000-0005-0000-0000-000056000000}"/>
    <cellStyle name="Currency 2" xfId="89" xr:uid="{00000000-0005-0000-0000-000057000000}"/>
    <cellStyle name="Currency0" xfId="90" xr:uid="{00000000-0005-0000-0000-000058000000}"/>
    <cellStyle name="Currency1" xfId="91" xr:uid="{00000000-0005-0000-0000-000059000000}"/>
    <cellStyle name="Date" xfId="92" xr:uid="{00000000-0005-0000-0000-00005A000000}"/>
    <cellStyle name="Date Short" xfId="93" xr:uid="{00000000-0005-0000-0000-00005B000000}"/>
    <cellStyle name="Date_050212_間接費試算" xfId="94" xr:uid="{00000000-0005-0000-0000-00005C000000}"/>
    <cellStyle name="daten" xfId="95" xr:uid="{00000000-0005-0000-0000-00005D000000}"/>
    <cellStyle name="DELTA" xfId="96" xr:uid="{00000000-0005-0000-0000-00005E000000}"/>
    <cellStyle name="Description" xfId="97" xr:uid="{00000000-0005-0000-0000-00005F000000}"/>
    <cellStyle name="Dezimal [0]_KHI_KAB1" xfId="98" xr:uid="{00000000-0005-0000-0000-000060000000}"/>
    <cellStyle name="Dezimal_KHI_KAB1" xfId="99" xr:uid="{00000000-0005-0000-0000-000061000000}"/>
    <cellStyle name="Dollar" xfId="100" xr:uid="{00000000-0005-0000-0000-000062000000}"/>
    <cellStyle name="Dollar (zero dec)" xfId="101" xr:uid="{00000000-0005-0000-0000-000063000000}"/>
    <cellStyle name="end" xfId="102" xr:uid="{00000000-0005-0000-0000-000064000000}"/>
    <cellStyle name="end blue" xfId="103" xr:uid="{00000000-0005-0000-0000-000065000000}"/>
    <cellStyle name="end yellow" xfId="104" xr:uid="{00000000-0005-0000-0000-000066000000}"/>
    <cellStyle name="end yellow bold" xfId="105" xr:uid="{00000000-0005-0000-0000-000067000000}"/>
    <cellStyle name="Enter Currency (0)" xfId="106" xr:uid="{00000000-0005-0000-0000-000068000000}"/>
    <cellStyle name="Enter Currency (2)" xfId="107" xr:uid="{00000000-0005-0000-0000-000069000000}"/>
    <cellStyle name="Enter Units (0)" xfId="108" xr:uid="{00000000-0005-0000-0000-00006A000000}"/>
    <cellStyle name="Enter Units (1)" xfId="109" xr:uid="{00000000-0005-0000-0000-00006B000000}"/>
    <cellStyle name="Enter Units (2)" xfId="110" xr:uid="{00000000-0005-0000-0000-00006C000000}"/>
    <cellStyle name="Euro" xfId="111" xr:uid="{00000000-0005-0000-0000-00006D000000}"/>
    <cellStyle name="F2" xfId="112" xr:uid="{00000000-0005-0000-0000-00006E000000}"/>
    <cellStyle name="F3" xfId="113" xr:uid="{00000000-0005-0000-0000-00006F000000}"/>
    <cellStyle name="F4" xfId="114" xr:uid="{00000000-0005-0000-0000-000070000000}"/>
    <cellStyle name="F5" xfId="115" xr:uid="{00000000-0005-0000-0000-000071000000}"/>
    <cellStyle name="F6" xfId="116" xr:uid="{00000000-0005-0000-0000-000072000000}"/>
    <cellStyle name="F7" xfId="117" xr:uid="{00000000-0005-0000-0000-000073000000}"/>
    <cellStyle name="F8" xfId="118" xr:uid="{00000000-0005-0000-0000-000074000000}"/>
    <cellStyle name="Fixed" xfId="119" xr:uid="{00000000-0005-0000-0000-000075000000}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RMAT 2" xfId="120" xr:uid="{00000000-0005-0000-0000-00007A000000}"/>
    <cellStyle name="Green shade" xfId="121" xr:uid="{00000000-0005-0000-0000-00007B000000}"/>
    <cellStyle name="Grey" xfId="122" xr:uid="{00000000-0005-0000-0000-00007C000000}"/>
    <cellStyle name="HEADER" xfId="123" xr:uid="{00000000-0005-0000-0000-00007D000000}"/>
    <cellStyle name="Header1" xfId="124" xr:uid="{00000000-0005-0000-0000-00007E000000}"/>
    <cellStyle name="Header2" xfId="125" xr:uid="{00000000-0005-0000-0000-00007F000000}"/>
    <cellStyle name="Heading" xfId="126" xr:uid="{00000000-0005-0000-0000-000080000000}"/>
    <cellStyle name="Heading1" xfId="127" xr:uid="{00000000-0005-0000-0000-000081000000}"/>
    <cellStyle name="Heading2" xfId="128" xr:uid="{00000000-0005-0000-0000-000082000000}"/>
    <cellStyle name="Helv 10 Bold" xfId="129" xr:uid="{00000000-0005-0000-0000-000083000000}"/>
    <cellStyle name="Helv 12 Bold" xfId="130" xr:uid="{00000000-0005-0000-0000-000084000000}"/>
    <cellStyle name="Helv8_PFD4.XLS" xfId="131" xr:uid="{00000000-0005-0000-0000-000085000000}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textový odkaz" xfId="132" xr:uid="{00000000-0005-0000-0000-00008A000000}"/>
    <cellStyle name="Input" xfId="343" builtinId="20"/>
    <cellStyle name="Input [yellow]" xfId="133" xr:uid="{00000000-0005-0000-0000-00008C000000}"/>
    <cellStyle name="Link Currency (0)" xfId="134" xr:uid="{00000000-0005-0000-0000-00008D000000}"/>
    <cellStyle name="Link Currency (2)" xfId="135" xr:uid="{00000000-0005-0000-0000-00008E000000}"/>
    <cellStyle name="Link Units (0)" xfId="136" xr:uid="{00000000-0005-0000-0000-00008F000000}"/>
    <cellStyle name="Link Units (1)" xfId="137" xr:uid="{00000000-0005-0000-0000-000090000000}"/>
    <cellStyle name="Link Units (2)" xfId="138" xr:uid="{00000000-0005-0000-0000-000091000000}"/>
    <cellStyle name="měny_Bill of Material" xfId="139" xr:uid="{00000000-0005-0000-0000-000092000000}"/>
    <cellStyle name="Milliers [0]_1_5" xfId="140" xr:uid="{00000000-0005-0000-0000-000093000000}"/>
    <cellStyle name="Milliers_1_5" xfId="141" xr:uid="{00000000-0005-0000-0000-000094000000}"/>
    <cellStyle name="Model" xfId="142" xr:uid="{00000000-0005-0000-0000-000095000000}"/>
    <cellStyle name="Monétaire [0]_1_5" xfId="143" xr:uid="{00000000-0005-0000-0000-000096000000}"/>
    <cellStyle name="Monétaire_1_5" xfId="144" xr:uid="{00000000-0005-0000-0000-000097000000}"/>
    <cellStyle name="Normal" xfId="0" builtinId="0"/>
    <cellStyle name="Normal - Style1" xfId="145" xr:uid="{00000000-0005-0000-0000-000099000000}"/>
    <cellStyle name="Normal - Style2" xfId="146" xr:uid="{00000000-0005-0000-0000-00009A000000}"/>
    <cellStyle name="Normal 10" xfId="147" xr:uid="{00000000-0005-0000-0000-00009B000000}"/>
    <cellStyle name="Normal 11" xfId="148" xr:uid="{00000000-0005-0000-0000-00009C000000}"/>
    <cellStyle name="Normal 12" xfId="149" xr:uid="{00000000-0005-0000-0000-00009D000000}"/>
    <cellStyle name="Normal 13" xfId="150" xr:uid="{00000000-0005-0000-0000-00009E000000}"/>
    <cellStyle name="Normal 14" xfId="151" xr:uid="{00000000-0005-0000-0000-00009F000000}"/>
    <cellStyle name="Normal 15" xfId="152" xr:uid="{00000000-0005-0000-0000-0000A0000000}"/>
    <cellStyle name="Normal 16" xfId="153" xr:uid="{00000000-0005-0000-0000-0000A1000000}"/>
    <cellStyle name="Normal 17" xfId="154" xr:uid="{00000000-0005-0000-0000-0000A2000000}"/>
    <cellStyle name="Normal 18" xfId="155" xr:uid="{00000000-0005-0000-0000-0000A3000000}"/>
    <cellStyle name="Normal 19" xfId="156" xr:uid="{00000000-0005-0000-0000-0000A4000000}"/>
    <cellStyle name="Normal 2" xfId="157" xr:uid="{00000000-0005-0000-0000-0000A5000000}"/>
    <cellStyle name="Normal 2 2" xfId="158" xr:uid="{00000000-0005-0000-0000-0000A6000000}"/>
    <cellStyle name="Normal 2 3" xfId="159" xr:uid="{00000000-0005-0000-0000-0000A7000000}"/>
    <cellStyle name="Normal 2 36" xfId="160" xr:uid="{00000000-0005-0000-0000-0000A8000000}"/>
    <cellStyle name="Normal 2 37" xfId="161" xr:uid="{00000000-0005-0000-0000-0000A9000000}"/>
    <cellStyle name="Normal 2 4" xfId="162" xr:uid="{00000000-0005-0000-0000-0000AA000000}"/>
    <cellStyle name="Normal 2 4 2" xfId="163" xr:uid="{00000000-0005-0000-0000-0000AB000000}"/>
    <cellStyle name="Normal 2 41" xfId="164" xr:uid="{00000000-0005-0000-0000-0000AC000000}"/>
    <cellStyle name="Normal 2 5" xfId="165" xr:uid="{00000000-0005-0000-0000-0000AD000000}"/>
    <cellStyle name="Normal 2 54" xfId="166" xr:uid="{00000000-0005-0000-0000-0000AE000000}"/>
    <cellStyle name="Normal 2 6" xfId="167" xr:uid="{00000000-0005-0000-0000-0000AF000000}"/>
    <cellStyle name="Normal 2 67" xfId="168" xr:uid="{00000000-0005-0000-0000-0000B0000000}"/>
    <cellStyle name="Normal 2 7" xfId="169" xr:uid="{00000000-0005-0000-0000-0000B1000000}"/>
    <cellStyle name="Normal 2 75" xfId="170" xr:uid="{00000000-0005-0000-0000-0000B2000000}"/>
    <cellStyle name="Normal 2 8" xfId="171" xr:uid="{00000000-0005-0000-0000-0000B3000000}"/>
    <cellStyle name="Normal 2 9" xfId="172" xr:uid="{00000000-0005-0000-0000-0000B4000000}"/>
    <cellStyle name="Normal 20" xfId="173" xr:uid="{00000000-0005-0000-0000-0000B5000000}"/>
    <cellStyle name="Normal 21" xfId="174" xr:uid="{00000000-0005-0000-0000-0000B6000000}"/>
    <cellStyle name="Normal 22" xfId="175" xr:uid="{00000000-0005-0000-0000-0000B7000000}"/>
    <cellStyle name="Normal 23" xfId="176" xr:uid="{00000000-0005-0000-0000-0000B8000000}"/>
    <cellStyle name="Normal 24" xfId="177" xr:uid="{00000000-0005-0000-0000-0000B9000000}"/>
    <cellStyle name="Normal 25" xfId="178" xr:uid="{00000000-0005-0000-0000-0000BA000000}"/>
    <cellStyle name="Normal 26" xfId="179" xr:uid="{00000000-0005-0000-0000-0000BB000000}"/>
    <cellStyle name="Normal 26 2" xfId="180" xr:uid="{00000000-0005-0000-0000-0000BC000000}"/>
    <cellStyle name="Normal 27" xfId="181" xr:uid="{00000000-0005-0000-0000-0000BD000000}"/>
    <cellStyle name="Normal 28" xfId="182" xr:uid="{00000000-0005-0000-0000-0000BE000000}"/>
    <cellStyle name="Normal 29" xfId="183" xr:uid="{00000000-0005-0000-0000-0000BF000000}"/>
    <cellStyle name="Normal 29 31" xfId="184" xr:uid="{00000000-0005-0000-0000-0000C0000000}"/>
    <cellStyle name="Normal 3" xfId="185" xr:uid="{00000000-0005-0000-0000-0000C1000000}"/>
    <cellStyle name="Normal 3 2" xfId="186" xr:uid="{00000000-0005-0000-0000-0000C2000000}"/>
    <cellStyle name="Normal 3 2 2" xfId="187" xr:uid="{00000000-0005-0000-0000-0000C3000000}"/>
    <cellStyle name="Normal 30" xfId="188" xr:uid="{00000000-0005-0000-0000-0000C4000000}"/>
    <cellStyle name="Normal 32" xfId="189" xr:uid="{00000000-0005-0000-0000-0000C5000000}"/>
    <cellStyle name="Normal 33" xfId="190" xr:uid="{00000000-0005-0000-0000-0000C6000000}"/>
    <cellStyle name="Normal 34" xfId="191" xr:uid="{00000000-0005-0000-0000-0000C7000000}"/>
    <cellStyle name="Normal 35" xfId="192" xr:uid="{00000000-0005-0000-0000-0000C8000000}"/>
    <cellStyle name="Normal 36" xfId="193" xr:uid="{00000000-0005-0000-0000-0000C9000000}"/>
    <cellStyle name="Normal 37" xfId="194" xr:uid="{00000000-0005-0000-0000-0000CA000000}"/>
    <cellStyle name="Normal 38" xfId="195" xr:uid="{00000000-0005-0000-0000-0000CB000000}"/>
    <cellStyle name="Normal 39" xfId="196" xr:uid="{00000000-0005-0000-0000-0000CC000000}"/>
    <cellStyle name="Normal 4" xfId="197" xr:uid="{00000000-0005-0000-0000-0000CD000000}"/>
    <cellStyle name="Normal 40" xfId="198" xr:uid="{00000000-0005-0000-0000-0000CE000000}"/>
    <cellStyle name="Normal 41" xfId="199" xr:uid="{00000000-0005-0000-0000-0000CF000000}"/>
    <cellStyle name="Normal 42" xfId="200" xr:uid="{00000000-0005-0000-0000-0000D0000000}"/>
    <cellStyle name="Normal 43" xfId="201" xr:uid="{00000000-0005-0000-0000-0000D1000000}"/>
    <cellStyle name="Normal 44" xfId="202" xr:uid="{00000000-0005-0000-0000-0000D2000000}"/>
    <cellStyle name="Normal 45" xfId="203" xr:uid="{00000000-0005-0000-0000-0000D3000000}"/>
    <cellStyle name="Normal 46" xfId="204" xr:uid="{00000000-0005-0000-0000-0000D4000000}"/>
    <cellStyle name="Normal 49" xfId="205" xr:uid="{00000000-0005-0000-0000-0000D5000000}"/>
    <cellStyle name="Normal 5" xfId="206" xr:uid="{00000000-0005-0000-0000-0000D6000000}"/>
    <cellStyle name="Normal 50" xfId="207" xr:uid="{00000000-0005-0000-0000-0000D7000000}"/>
    <cellStyle name="Normal 51" xfId="208" xr:uid="{00000000-0005-0000-0000-0000D8000000}"/>
    <cellStyle name="Normal 52" xfId="209" xr:uid="{00000000-0005-0000-0000-0000D9000000}"/>
    <cellStyle name="Normal 53" xfId="210" xr:uid="{00000000-0005-0000-0000-0000DA000000}"/>
    <cellStyle name="Normal 54" xfId="211" xr:uid="{00000000-0005-0000-0000-0000DB000000}"/>
    <cellStyle name="Normal 55" xfId="212" xr:uid="{00000000-0005-0000-0000-0000DC000000}"/>
    <cellStyle name="Normal 56" xfId="213" xr:uid="{00000000-0005-0000-0000-0000DD000000}"/>
    <cellStyle name="Normal 57" xfId="214" xr:uid="{00000000-0005-0000-0000-0000DE000000}"/>
    <cellStyle name="Normal 58" xfId="215" xr:uid="{00000000-0005-0000-0000-0000DF000000}"/>
    <cellStyle name="Normal 59" xfId="216" xr:uid="{00000000-0005-0000-0000-0000E0000000}"/>
    <cellStyle name="Normal 6" xfId="217" xr:uid="{00000000-0005-0000-0000-0000E1000000}"/>
    <cellStyle name="Normal 60" xfId="218" xr:uid="{00000000-0005-0000-0000-0000E2000000}"/>
    <cellStyle name="Normal 61" xfId="219" xr:uid="{00000000-0005-0000-0000-0000E3000000}"/>
    <cellStyle name="Normal 62" xfId="220" xr:uid="{00000000-0005-0000-0000-0000E4000000}"/>
    <cellStyle name="Normal 63" xfId="221" xr:uid="{00000000-0005-0000-0000-0000E5000000}"/>
    <cellStyle name="Normal 64" xfId="222" xr:uid="{00000000-0005-0000-0000-0000E6000000}"/>
    <cellStyle name="Normal 65" xfId="223" xr:uid="{00000000-0005-0000-0000-0000E7000000}"/>
    <cellStyle name="Normal 66" xfId="224" xr:uid="{00000000-0005-0000-0000-0000E8000000}"/>
    <cellStyle name="Normal 67" xfId="225" xr:uid="{00000000-0005-0000-0000-0000E9000000}"/>
    <cellStyle name="Normal 68" xfId="226" xr:uid="{00000000-0005-0000-0000-0000EA000000}"/>
    <cellStyle name="Normal 69" xfId="227" xr:uid="{00000000-0005-0000-0000-0000EB000000}"/>
    <cellStyle name="Normal 7" xfId="228" xr:uid="{00000000-0005-0000-0000-0000EC000000}"/>
    <cellStyle name="Normal 70" xfId="229" xr:uid="{00000000-0005-0000-0000-0000ED000000}"/>
    <cellStyle name="Normal 71" xfId="230" xr:uid="{00000000-0005-0000-0000-0000EE000000}"/>
    <cellStyle name="Normal 72" xfId="231" xr:uid="{00000000-0005-0000-0000-0000EF000000}"/>
    <cellStyle name="Normal 73" xfId="232" xr:uid="{00000000-0005-0000-0000-0000F0000000}"/>
    <cellStyle name="Normal 74" xfId="233" xr:uid="{00000000-0005-0000-0000-0000F1000000}"/>
    <cellStyle name="Normal 75" xfId="234" xr:uid="{00000000-0005-0000-0000-0000F2000000}"/>
    <cellStyle name="Normal 76" xfId="235" xr:uid="{00000000-0005-0000-0000-0000F3000000}"/>
    <cellStyle name="Normal 77" xfId="236" xr:uid="{00000000-0005-0000-0000-0000F4000000}"/>
    <cellStyle name="Normal 78" xfId="237" xr:uid="{00000000-0005-0000-0000-0000F5000000}"/>
    <cellStyle name="Normal 79" xfId="238" xr:uid="{00000000-0005-0000-0000-0000F6000000}"/>
    <cellStyle name="Normal 8" xfId="239" xr:uid="{00000000-0005-0000-0000-0000F7000000}"/>
    <cellStyle name="Normal 80" xfId="240" xr:uid="{00000000-0005-0000-0000-0000F8000000}"/>
    <cellStyle name="Normal 81" xfId="241" xr:uid="{00000000-0005-0000-0000-0000F9000000}"/>
    <cellStyle name="Normal 82" xfId="242" xr:uid="{00000000-0005-0000-0000-0000FA000000}"/>
    <cellStyle name="Normal 83" xfId="243" xr:uid="{00000000-0005-0000-0000-0000FB000000}"/>
    <cellStyle name="Normal 84" xfId="244" xr:uid="{00000000-0005-0000-0000-0000FC000000}"/>
    <cellStyle name="Normal 85" xfId="245" xr:uid="{00000000-0005-0000-0000-0000FD000000}"/>
    <cellStyle name="Normal 86" xfId="246" xr:uid="{00000000-0005-0000-0000-0000FE000000}"/>
    <cellStyle name="Normal 87" xfId="247" xr:uid="{00000000-0005-0000-0000-0000FF000000}"/>
    <cellStyle name="Normal 88" xfId="248" xr:uid="{00000000-0005-0000-0000-000000010000}"/>
    <cellStyle name="Normal 89" xfId="249" xr:uid="{00000000-0005-0000-0000-000001010000}"/>
    <cellStyle name="Normal 9" xfId="250" xr:uid="{00000000-0005-0000-0000-000002010000}"/>
    <cellStyle name="Normal 90" xfId="251" xr:uid="{00000000-0005-0000-0000-000003010000}"/>
    <cellStyle name="normální_Bill of Material" xfId="252" xr:uid="{00000000-0005-0000-0000-000004010000}"/>
    <cellStyle name="paint" xfId="253" xr:uid="{00000000-0005-0000-0000-000005010000}"/>
    <cellStyle name="Percent" xfId="2" builtinId="5"/>
    <cellStyle name="Percent [0]" xfId="254" xr:uid="{00000000-0005-0000-0000-000007010000}"/>
    <cellStyle name="Percent [00]" xfId="255" xr:uid="{00000000-0005-0000-0000-000008010000}"/>
    <cellStyle name="Percent [2]" xfId="256" xr:uid="{00000000-0005-0000-0000-000009010000}"/>
    <cellStyle name="Percent 2" xfId="257" xr:uid="{00000000-0005-0000-0000-00000A010000}"/>
    <cellStyle name="Percent 2 2" xfId="258" xr:uid="{00000000-0005-0000-0000-00000B010000}"/>
    <cellStyle name="Percent 3" xfId="259" xr:uid="{00000000-0005-0000-0000-00000C010000}"/>
    <cellStyle name="Percent-0.0%" xfId="260" xr:uid="{00000000-0005-0000-0000-00000D010000}"/>
    <cellStyle name="Percent-no dec" xfId="261" xr:uid="{00000000-0005-0000-0000-00000E010000}"/>
    <cellStyle name="Popis" xfId="262" xr:uid="{00000000-0005-0000-0000-00000F010000}"/>
    <cellStyle name="PrePop Currency (0)" xfId="263" xr:uid="{00000000-0005-0000-0000-000010010000}"/>
    <cellStyle name="PrePop Currency (2)" xfId="264" xr:uid="{00000000-0005-0000-0000-000011010000}"/>
    <cellStyle name="PrePop Units (0)" xfId="265" xr:uid="{00000000-0005-0000-0000-000012010000}"/>
    <cellStyle name="PrePop Units (1)" xfId="266" xr:uid="{00000000-0005-0000-0000-000013010000}"/>
    <cellStyle name="PrePop Units (2)" xfId="267" xr:uid="{00000000-0005-0000-0000-000014010000}"/>
    <cellStyle name="Prozent_laroux" xfId="268" xr:uid="{00000000-0005-0000-0000-000015010000}"/>
    <cellStyle name="Red" xfId="269" xr:uid="{00000000-0005-0000-0000-000016010000}"/>
    <cellStyle name="Red shade" xfId="270" xr:uid="{00000000-0005-0000-0000-000017010000}"/>
    <cellStyle name="Red text" xfId="271" xr:uid="{00000000-0005-0000-0000-000018010000}"/>
    <cellStyle name="Sledovaný hypertextový odkaz" xfId="272" xr:uid="{00000000-0005-0000-0000-000019010000}"/>
    <cellStyle name="Standard_4710.0000" xfId="273" xr:uid="{00000000-0005-0000-0000-00001A010000}"/>
    <cellStyle name="Style 1" xfId="274" xr:uid="{00000000-0005-0000-0000-00001B010000}"/>
    <cellStyle name="Sub heading" xfId="275" xr:uid="{00000000-0005-0000-0000-00001C010000}"/>
    <cellStyle name="Sub totals" xfId="276" xr:uid="{00000000-0005-0000-0000-00001D010000}"/>
    <cellStyle name="subhead" xfId="278" xr:uid="{00000000-0005-0000-0000-00001F010000}"/>
    <cellStyle name="Sub-title" xfId="277" xr:uid="{00000000-0005-0000-0000-00001E010000}"/>
    <cellStyle name="t" xfId="279" xr:uid="{00000000-0005-0000-0000-000020010000}"/>
    <cellStyle name="Table grid" xfId="280" xr:uid="{00000000-0005-0000-0000-000021010000}"/>
    <cellStyle name="Text Indent A" xfId="281" xr:uid="{00000000-0005-0000-0000-000022010000}"/>
    <cellStyle name="Text Indent B" xfId="282" xr:uid="{00000000-0005-0000-0000-000023010000}"/>
    <cellStyle name="Text Indent C" xfId="283" xr:uid="{00000000-0005-0000-0000-000024010000}"/>
    <cellStyle name="Totals" xfId="284" xr:uid="{00000000-0005-0000-0000-000025010000}"/>
    <cellStyle name="Unit-Qty" xfId="285" xr:uid="{00000000-0005-0000-0000-000026010000}"/>
    <cellStyle name="Virg・ [0]_RESULTS" xfId="286" xr:uid="{00000000-0005-0000-0000-000027010000}"/>
    <cellStyle name="Virg・_RESULTS" xfId="287" xr:uid="{00000000-0005-0000-0000-000028010000}"/>
    <cellStyle name="W?rung [0]_KHI_KAB1" xfId="288" xr:uid="{00000000-0005-0000-0000-000029010000}"/>
    <cellStyle name="W?rung_KHI_KAB1" xfId="289" xr:uid="{00000000-0005-0000-0000-00002A010000}"/>
    <cellStyle name="Währung [0]_laroux" xfId="290" xr:uid="{00000000-0005-0000-0000-00002B010000}"/>
    <cellStyle name="Währung_laroux" xfId="291" xr:uid="{00000000-0005-0000-0000-00002C010000}"/>
    <cellStyle name="Wrapped" xfId="292" xr:uid="{00000000-0005-0000-0000-00002D010000}"/>
    <cellStyle name="yellow" xfId="293" xr:uid="{00000000-0005-0000-0000-00002E010000}"/>
    <cellStyle name="Yellow shade" xfId="294" xr:uid="{00000000-0005-0000-0000-00002F010000}"/>
    <cellStyle name="ﾄ褊褂燾・[0]_PERSONAL" xfId="320" xr:uid="{00000000-0005-0000-0000-000049010000}"/>
    <cellStyle name="ﾄ褊褂燾饑PERSONAL" xfId="321" xr:uid="{00000000-0005-0000-0000-00004A010000}"/>
    <cellStyle name="ﾎ磊隆_PERSONAL" xfId="322" xr:uid="{00000000-0005-0000-0000-00004B010000}"/>
    <cellStyle name="ﾔ竟瑙糺・[0]_PERSONAL" xfId="323" xr:uid="{00000000-0005-0000-0000-00004C010000}"/>
    <cellStyle name="ﾔ竟瑙糺饑PERSONAL" xfId="324" xr:uid="{00000000-0005-0000-0000-00004D010000}"/>
    <cellStyle name="고정소숫점" xfId="295" xr:uid="{00000000-0005-0000-0000-000030010000}"/>
    <cellStyle name="고정출력1" xfId="296" xr:uid="{00000000-0005-0000-0000-000031010000}"/>
    <cellStyle name="고정출력2" xfId="297" xr:uid="{00000000-0005-0000-0000-000032010000}"/>
    <cellStyle name="날짜" xfId="298" xr:uid="{00000000-0005-0000-0000-000033010000}"/>
    <cellStyle name="달러" xfId="299" xr:uid="{00000000-0005-0000-0000-000034010000}"/>
    <cellStyle name="뒤에 오는 하이퍼링크_구매환Risk_0312" xfId="300" xr:uid="{00000000-0005-0000-0000-000035010000}"/>
    <cellStyle name="똿뗦먛귟 [0.00]_PRODUCT DETAIL Q1" xfId="301" xr:uid="{00000000-0005-0000-0000-000036010000}"/>
    <cellStyle name="똿뗦먛귟_PRODUCT DETAIL Q1" xfId="302" xr:uid="{00000000-0005-0000-0000-000037010000}"/>
    <cellStyle name="믅됞 [0.00]_PRODUCT DETAIL Q1" xfId="303" xr:uid="{00000000-0005-0000-0000-000038010000}"/>
    <cellStyle name="믅됞_PRODUCT DETAIL Q1" xfId="304" xr:uid="{00000000-0005-0000-0000-000039010000}"/>
    <cellStyle name="뷭?_BOOKSHIP_Sheet1" xfId="305" xr:uid="{00000000-0005-0000-0000-00003A010000}"/>
    <cellStyle name="숫자(R)" xfId="306" xr:uid="{00000000-0005-0000-0000-00003B010000}"/>
    <cellStyle name="쉼표 [0]_050220 Burj (Comm) Bid Sum_Rev.01" xfId="307" xr:uid="{00000000-0005-0000-0000-00003C010000}"/>
    <cellStyle name="안건회계법인" xfId="308" xr:uid="{00000000-0005-0000-0000-00003D010000}"/>
    <cellStyle name="자리수" xfId="309" xr:uid="{00000000-0005-0000-0000-00003E010000}"/>
    <cellStyle name="자리수0" xfId="310" xr:uid="{00000000-0005-0000-0000-00003F010000}"/>
    <cellStyle name="지정되지 않음" xfId="311" xr:uid="{00000000-0005-0000-0000-000040010000}"/>
    <cellStyle name="콤마 [0]_  종  합  " xfId="312" xr:uid="{00000000-0005-0000-0000-000041010000}"/>
    <cellStyle name="콤마_  종  합  " xfId="313" xr:uid="{00000000-0005-0000-0000-000042010000}"/>
    <cellStyle name="퍼센트" xfId="314" xr:uid="{00000000-0005-0000-0000-000043010000}"/>
    <cellStyle name="표준 2" xfId="315" xr:uid="{00000000-0005-0000-0000-000044010000}"/>
    <cellStyle name="표준_01" xfId="316" xr:uid="{00000000-0005-0000-0000-000045010000}"/>
    <cellStyle name="합산" xfId="317" xr:uid="{00000000-0005-0000-0000-000046010000}"/>
    <cellStyle name="화폐기호" xfId="318" xr:uid="{00000000-0005-0000-0000-000047010000}"/>
    <cellStyle name="화폐기호0" xfId="319" xr:uid="{00000000-0005-0000-0000-000048010000}"/>
    <cellStyle name="一般_Sheet1" xfId="325" xr:uid="{00000000-0005-0000-0000-00004E010000}"/>
    <cellStyle name="千位分隔[0]_BOQ" xfId="327" xr:uid="{00000000-0005-0000-0000-000050010000}"/>
    <cellStyle name="千位分隔_BOQ" xfId="326" xr:uid="{00000000-0005-0000-0000-00004F010000}"/>
    <cellStyle name="常规_BOQ" xfId="328" xr:uid="{00000000-0005-0000-0000-000051010000}"/>
    <cellStyle name="未定義" xfId="329" xr:uid="{00000000-0005-0000-0000-000052010000}"/>
    <cellStyle name="桁区切り [0.00]_Sheet1" xfId="330" xr:uid="{00000000-0005-0000-0000-000053010000}"/>
    <cellStyle name="货币[0]_BOQ" xfId="332" xr:uid="{00000000-0005-0000-0000-000055010000}"/>
    <cellStyle name="货币_BOQ" xfId="331" xr:uid="{00000000-0005-0000-0000-000054010000}"/>
    <cellStyle name="通浦 [0.00]_laroux" xfId="333" xr:uid="{00000000-0005-0000-0000-000056010000}"/>
    <cellStyle name="通浦_laroux" xfId="334" xr:uid="{00000000-0005-0000-0000-000057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zi/Desktop/October%20USB/Dorchester/Payment%20Certificates/Progress%20claim/January%202023/TWIC%20Insulation%20Progress%20Claim%20January%202023%20Epoxy%20Floor%20Coating%20DORCHE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_INVOICE"/>
      <sheetName val="BOQ January 2023"/>
      <sheetName val="CUMULATIVE EPOXY TO BOH ROOMS"/>
      <sheetName val="Cumulative UCRETE Flooring"/>
      <sheetName val="Carpark coating"/>
      <sheetName val="Carpark Detailed calculation"/>
      <sheetName val="Stai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G8">
            <v>611.89</v>
          </cell>
        </row>
        <row r="9">
          <cell r="G9">
            <v>537.5</v>
          </cell>
        </row>
        <row r="12">
          <cell r="G12">
            <v>548.87</v>
          </cell>
        </row>
        <row r="13">
          <cell r="G13">
            <v>398.75</v>
          </cell>
        </row>
        <row r="16">
          <cell r="G16">
            <v>2097.0099999999998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64"/>
  <sheetViews>
    <sheetView showGridLines="0" view="pageBreakPreview" topLeftCell="A42" zoomScaleSheetLayoutView="100" workbookViewId="0">
      <selection activeCell="D46" sqref="D46"/>
    </sheetView>
  </sheetViews>
  <sheetFormatPr defaultColWidth="8.6640625" defaultRowHeight="14.4"/>
  <cols>
    <col min="1" max="1" width="1.6640625" style="27" customWidth="1"/>
    <col min="2" max="2" width="4" style="28" customWidth="1"/>
    <col min="3" max="4" width="8.6640625" style="27"/>
    <col min="5" max="5" width="7.6640625" style="27" customWidth="1"/>
    <col min="6" max="6" width="9.44140625" style="27" customWidth="1"/>
    <col min="7" max="7" width="18.44140625" style="27" customWidth="1"/>
    <col min="8" max="8" width="20.6640625" style="27" customWidth="1"/>
    <col min="9" max="9" width="25.109375" style="27" customWidth="1"/>
    <col min="10" max="10" width="27.6640625" style="27" customWidth="1"/>
    <col min="11" max="11" width="19.6640625" style="27" customWidth="1"/>
    <col min="12" max="12" width="4.6640625" style="27" customWidth="1"/>
    <col min="13" max="13" width="16.44140625" style="27" customWidth="1"/>
    <col min="14" max="16384" width="8.6640625" style="27"/>
  </cols>
  <sheetData>
    <row r="2" spans="2:11" ht="15" thickBot="1"/>
    <row r="3" spans="2:11">
      <c r="B3" s="164"/>
      <c r="C3" s="163"/>
      <c r="D3" s="163"/>
      <c r="E3" s="163"/>
      <c r="F3" s="163"/>
      <c r="G3" s="163"/>
      <c r="H3" s="163"/>
      <c r="I3" s="163"/>
      <c r="J3" s="163"/>
      <c r="K3" s="162"/>
    </row>
    <row r="4" spans="2:11" ht="30">
      <c r="B4" s="67"/>
      <c r="C4" s="161" t="s">
        <v>121</v>
      </c>
      <c r="D4" s="161"/>
      <c r="E4" s="161"/>
      <c r="F4" s="161"/>
      <c r="K4" s="158"/>
    </row>
    <row r="5" spans="2:11" ht="30">
      <c r="B5" s="67"/>
      <c r="C5" s="160" t="s">
        <v>120</v>
      </c>
      <c r="D5" s="159"/>
      <c r="E5" s="159"/>
      <c r="F5" s="159"/>
      <c r="K5" s="158"/>
    </row>
    <row r="6" spans="2:11">
      <c r="B6" s="67"/>
      <c r="K6" s="158"/>
    </row>
    <row r="7" spans="2:11" ht="10.95" customHeight="1">
      <c r="B7" s="929"/>
      <c r="C7" s="930"/>
      <c r="D7" s="930"/>
      <c r="E7" s="930"/>
      <c r="F7" s="930"/>
      <c r="G7" s="930"/>
      <c r="H7" s="930"/>
      <c r="I7" s="930"/>
      <c r="J7" s="930"/>
      <c r="K7" s="931"/>
    </row>
    <row r="8" spans="2:11" ht="25.2" customHeight="1">
      <c r="B8" s="154"/>
      <c r="C8" s="926" t="s">
        <v>119</v>
      </c>
      <c r="D8" s="926"/>
      <c r="E8" s="926"/>
      <c r="F8" s="926"/>
      <c r="G8" s="926"/>
      <c r="H8" s="926"/>
      <c r="I8" s="926"/>
      <c r="J8" s="153"/>
      <c r="K8" s="152"/>
    </row>
    <row r="9" spans="2:11" ht="15" customHeight="1">
      <c r="B9" s="154"/>
      <c r="C9" s="153"/>
      <c r="D9" s="153"/>
      <c r="E9" s="153"/>
      <c r="F9" s="153"/>
      <c r="G9" s="153"/>
      <c r="H9" s="153"/>
      <c r="I9" s="153"/>
      <c r="J9" s="153"/>
      <c r="K9" s="152"/>
    </row>
    <row r="10" spans="2:11" ht="10.95" customHeight="1">
      <c r="B10" s="154"/>
      <c r="C10" s="157"/>
      <c r="D10" s="157"/>
      <c r="E10" s="157"/>
      <c r="F10" s="157"/>
      <c r="G10" s="157"/>
      <c r="H10" s="153"/>
      <c r="I10" s="153"/>
      <c r="J10" s="153"/>
      <c r="K10" s="152"/>
    </row>
    <row r="11" spans="2:11" ht="19.2" customHeight="1">
      <c r="B11" s="154"/>
      <c r="D11" s="156"/>
      <c r="E11" s="156"/>
      <c r="F11" s="156"/>
      <c r="G11" s="156"/>
      <c r="H11" s="155" t="s">
        <v>118</v>
      </c>
      <c r="I11" s="153"/>
      <c r="J11" s="153"/>
      <c r="K11" s="152"/>
    </row>
    <row r="12" spans="2:11" ht="19.2" customHeight="1">
      <c r="B12" s="154"/>
      <c r="D12" s="156"/>
      <c r="E12" s="156"/>
      <c r="F12" s="156"/>
      <c r="G12" s="156"/>
      <c r="H12" s="155"/>
      <c r="I12" s="153"/>
      <c r="J12" s="153"/>
      <c r="K12" s="152"/>
    </row>
    <row r="13" spans="2:11" ht="15" customHeight="1" thickBot="1">
      <c r="B13" s="154"/>
      <c r="C13" s="153"/>
      <c r="D13" s="153"/>
      <c r="E13" s="153"/>
      <c r="F13" s="153"/>
      <c r="G13" s="153"/>
      <c r="H13" s="153"/>
      <c r="I13" s="153"/>
      <c r="J13" s="153"/>
      <c r="K13" s="152"/>
    </row>
    <row r="14" spans="2:11" ht="16.2" thickBot="1">
      <c r="B14" s="67"/>
      <c r="C14" s="75" t="s">
        <v>117</v>
      </c>
      <c r="D14" s="71"/>
      <c r="E14" s="71"/>
      <c r="F14" s="71"/>
      <c r="G14" s="151"/>
      <c r="H14" s="29"/>
      <c r="I14" s="147" t="s">
        <v>116</v>
      </c>
      <c r="J14" s="150">
        <v>404</v>
      </c>
      <c r="K14" s="138"/>
    </row>
    <row r="15" spans="2:11" ht="16.2" thickBot="1">
      <c r="B15" s="67"/>
      <c r="C15" s="66" t="s">
        <v>115</v>
      </c>
      <c r="D15" s="7"/>
      <c r="E15" s="7"/>
      <c r="F15" s="7"/>
      <c r="G15" s="138"/>
      <c r="H15" s="29"/>
      <c r="I15" s="147" t="s">
        <v>114</v>
      </c>
      <c r="J15" s="149">
        <v>44982</v>
      </c>
      <c r="K15" s="138"/>
    </row>
    <row r="16" spans="2:11" ht="16.2" customHeight="1" thickBot="1">
      <c r="B16" s="67"/>
      <c r="C16" s="936" t="s">
        <v>113</v>
      </c>
      <c r="D16" s="937"/>
      <c r="E16" s="937"/>
      <c r="F16" s="937"/>
      <c r="G16" s="938"/>
      <c r="H16" s="29"/>
      <c r="I16" s="147" t="s">
        <v>112</v>
      </c>
      <c r="J16" s="149">
        <v>45046</v>
      </c>
      <c r="K16" s="138"/>
    </row>
    <row r="17" spans="2:13" ht="16.2" thickBot="1">
      <c r="B17" s="67"/>
      <c r="C17" s="66" t="s">
        <v>111</v>
      </c>
      <c r="D17" s="7"/>
      <c r="E17" s="7"/>
      <c r="F17" s="7"/>
      <c r="G17" s="138"/>
      <c r="H17" s="29"/>
      <c r="I17" s="147" t="s">
        <v>110</v>
      </c>
      <c r="J17" s="148" t="s">
        <v>0</v>
      </c>
      <c r="K17" s="138"/>
    </row>
    <row r="18" spans="2:13" ht="16.2" thickBot="1">
      <c r="B18" s="67"/>
      <c r="C18" s="66" t="s">
        <v>109</v>
      </c>
      <c r="D18" s="7"/>
      <c r="E18" s="7"/>
      <c r="F18" s="7"/>
      <c r="G18" s="138"/>
      <c r="H18" s="29"/>
      <c r="I18" s="147" t="s">
        <v>108</v>
      </c>
      <c r="J18" s="146">
        <v>44958</v>
      </c>
      <c r="K18" s="138"/>
    </row>
    <row r="19" spans="2:13" ht="16.2" thickBot="1">
      <c r="B19" s="67"/>
      <c r="C19" s="66" t="s">
        <v>107</v>
      </c>
      <c r="D19" s="7"/>
      <c r="E19" s="7"/>
      <c r="F19" s="7"/>
      <c r="G19" s="138"/>
      <c r="H19" s="29"/>
      <c r="I19" s="145" t="s">
        <v>106</v>
      </c>
      <c r="J19" s="144" t="s">
        <v>105</v>
      </c>
      <c r="K19" s="138"/>
    </row>
    <row r="20" spans="2:13" ht="16.2" thickBot="1">
      <c r="B20" s="67"/>
      <c r="C20" s="63" t="s">
        <v>104</v>
      </c>
      <c r="D20" s="143" t="s">
        <v>103</v>
      </c>
      <c r="E20" s="143"/>
      <c r="F20" s="62"/>
      <c r="G20" s="142"/>
      <c r="H20" s="29"/>
      <c r="I20" s="140" t="s">
        <v>102</v>
      </c>
      <c r="J20" s="141" t="s">
        <v>101</v>
      </c>
      <c r="K20" s="138"/>
    </row>
    <row r="21" spans="2:13" ht="16.2" thickBot="1">
      <c r="B21" s="67"/>
      <c r="C21" s="7"/>
      <c r="D21" s="7"/>
      <c r="E21" s="7"/>
      <c r="F21" s="7"/>
      <c r="G21" s="29"/>
      <c r="H21" s="29"/>
      <c r="I21" s="140" t="s">
        <v>100</v>
      </c>
      <c r="J21" s="141" t="s">
        <v>99</v>
      </c>
      <c r="K21" s="138"/>
    </row>
    <row r="22" spans="2:13" ht="16.2" thickBot="1">
      <c r="B22" s="67"/>
      <c r="C22" s="29"/>
      <c r="D22" s="29"/>
      <c r="E22" s="29"/>
      <c r="F22" s="29"/>
      <c r="G22" s="29"/>
      <c r="H22" s="29"/>
      <c r="I22" s="140" t="s">
        <v>98</v>
      </c>
      <c r="J22" s="139" t="s">
        <v>97</v>
      </c>
      <c r="K22" s="138"/>
    </row>
    <row r="23" spans="2:13" ht="15.6">
      <c r="B23" s="67"/>
      <c r="C23" s="29"/>
      <c r="D23" s="29"/>
      <c r="E23" s="29"/>
      <c r="F23" s="29"/>
      <c r="G23" s="29"/>
      <c r="H23" s="29"/>
      <c r="I23" s="29"/>
      <c r="J23" s="29"/>
      <c r="K23" s="138"/>
    </row>
    <row r="24" spans="2:13" ht="16.2" thickBot="1">
      <c r="B24" s="67"/>
      <c r="C24" s="29"/>
      <c r="D24" s="29"/>
      <c r="E24" s="29"/>
      <c r="F24" s="29"/>
      <c r="G24" s="29"/>
      <c r="H24" s="29"/>
      <c r="I24" s="29"/>
      <c r="J24" s="29"/>
      <c r="K24" s="138"/>
    </row>
    <row r="25" spans="2:13" ht="28.2" thickBot="1">
      <c r="B25" s="67"/>
      <c r="C25" s="932" t="s">
        <v>96</v>
      </c>
      <c r="D25" s="933"/>
      <c r="E25" s="933"/>
      <c r="F25" s="933"/>
      <c r="G25" s="934"/>
      <c r="H25" s="137" t="s">
        <v>95</v>
      </c>
      <c r="I25" s="137" t="s">
        <v>94</v>
      </c>
      <c r="J25" s="136" t="s">
        <v>160</v>
      </c>
      <c r="K25" s="135" t="s">
        <v>93</v>
      </c>
      <c r="M25" s="134"/>
    </row>
    <row r="26" spans="2:13">
      <c r="B26" s="67"/>
      <c r="C26" s="66"/>
      <c r="D26" s="7"/>
      <c r="E26" s="7"/>
      <c r="F26" s="7"/>
      <c r="G26" s="85"/>
      <c r="H26" s="85"/>
      <c r="I26" s="85"/>
      <c r="J26" s="85"/>
      <c r="K26" s="132"/>
    </row>
    <row r="27" spans="2:13">
      <c r="B27" s="67"/>
      <c r="C27" s="133" t="s">
        <v>92</v>
      </c>
      <c r="D27" s="7"/>
      <c r="E27" s="7"/>
      <c r="F27" s="7"/>
      <c r="G27" s="85"/>
      <c r="H27" s="85"/>
      <c r="I27" s="85"/>
      <c r="J27" s="85"/>
      <c r="K27" s="132"/>
    </row>
    <row r="28" spans="2:13">
      <c r="B28" s="67"/>
      <c r="C28" s="66" t="s">
        <v>0</v>
      </c>
      <c r="D28" s="7"/>
      <c r="E28" s="7"/>
      <c r="F28" s="7"/>
      <c r="G28" s="85"/>
      <c r="H28" s="85"/>
      <c r="I28" s="85"/>
      <c r="J28" s="85"/>
      <c r="K28" s="132"/>
    </row>
    <row r="29" spans="2:13" ht="15" thickBot="1">
      <c r="B29" s="67"/>
      <c r="C29" s="66" t="s">
        <v>91</v>
      </c>
      <c r="D29" s="7"/>
      <c r="E29" s="7"/>
      <c r="F29" s="7"/>
      <c r="G29" s="85"/>
      <c r="H29" s="102">
        <v>1183329.4099999999</v>
      </c>
      <c r="I29" s="131">
        <f>'BOQ March 2023'!K122</f>
        <v>545540.45227233577</v>
      </c>
      <c r="J29" s="297">
        <f>'BOQ March 2023'!L122</f>
        <v>168589.698559304</v>
      </c>
      <c r="K29" s="102">
        <f>J29+I29</f>
        <v>714130.15083163977</v>
      </c>
      <c r="M29" s="99"/>
    </row>
    <row r="30" spans="2:13" ht="15" thickTop="1">
      <c r="B30" s="67"/>
      <c r="C30" s="66" t="s">
        <v>0</v>
      </c>
      <c r="D30" s="7"/>
      <c r="E30" s="7"/>
      <c r="F30" s="7"/>
      <c r="G30" s="85"/>
      <c r="H30" s="129"/>
      <c r="I30" s="130"/>
      <c r="J30" s="298" t="s">
        <v>0</v>
      </c>
      <c r="K30" s="129"/>
      <c r="M30" s="99"/>
    </row>
    <row r="31" spans="2:13" ht="13.5" customHeight="1">
      <c r="B31" s="67"/>
      <c r="C31" s="128" t="s">
        <v>0</v>
      </c>
      <c r="D31" s="127"/>
      <c r="E31" s="127"/>
      <c r="F31" s="127"/>
      <c r="G31" s="126"/>
      <c r="H31" s="125"/>
      <c r="I31" s="124" t="s">
        <v>0</v>
      </c>
      <c r="J31" s="123" t="s">
        <v>0</v>
      </c>
      <c r="K31" s="122" t="s">
        <v>0</v>
      </c>
      <c r="M31" s="99"/>
    </row>
    <row r="32" spans="2:13" ht="22.5" customHeight="1" thickBot="1">
      <c r="B32" s="67"/>
      <c r="C32" s="97" t="s">
        <v>0</v>
      </c>
      <c r="D32" s="96"/>
      <c r="E32" s="96"/>
      <c r="F32" s="96"/>
      <c r="G32" s="98"/>
      <c r="H32" s="121"/>
      <c r="I32" s="120" t="s">
        <v>0</v>
      </c>
      <c r="J32" s="119" t="s">
        <v>0</v>
      </c>
      <c r="K32" s="118" t="s">
        <v>0</v>
      </c>
      <c r="M32" s="99"/>
    </row>
    <row r="33" spans="2:13" ht="22.5" customHeight="1" thickTop="1">
      <c r="B33" s="67"/>
      <c r="C33" s="97" t="s">
        <v>0</v>
      </c>
      <c r="D33" s="96"/>
      <c r="E33" s="96"/>
      <c r="F33" s="96"/>
      <c r="G33" s="117" t="s">
        <v>0</v>
      </c>
      <c r="H33" s="116"/>
      <c r="I33" s="115"/>
      <c r="J33" s="114" t="s">
        <v>0</v>
      </c>
      <c r="K33" s="113" t="s">
        <v>0</v>
      </c>
      <c r="M33" s="99"/>
    </row>
    <row r="34" spans="2:13" ht="22.5" customHeight="1">
      <c r="B34" s="67"/>
      <c r="C34" s="97" t="s">
        <v>90</v>
      </c>
      <c r="D34" s="96"/>
      <c r="E34" s="96"/>
      <c r="F34" s="96"/>
      <c r="G34" s="98"/>
      <c r="H34" s="96"/>
      <c r="I34" s="84"/>
      <c r="J34" s="105"/>
      <c r="K34" s="82"/>
      <c r="M34" s="99"/>
    </row>
    <row r="35" spans="2:13" ht="27" customHeight="1" thickBot="1">
      <c r="B35" s="67"/>
      <c r="C35" s="97" t="s">
        <v>89</v>
      </c>
      <c r="D35" s="96"/>
      <c r="E35" s="96"/>
      <c r="F35" s="96"/>
      <c r="G35" s="98"/>
      <c r="H35" s="96"/>
      <c r="I35" s="112"/>
      <c r="J35" s="111"/>
      <c r="K35" s="110"/>
      <c r="M35" s="99"/>
    </row>
    <row r="36" spans="2:13" ht="22.5" customHeight="1" thickBot="1">
      <c r="B36" s="67"/>
      <c r="C36" s="97" t="s">
        <v>88</v>
      </c>
      <c r="D36" s="96"/>
      <c r="E36" s="96"/>
      <c r="F36" s="109" t="s">
        <v>85</v>
      </c>
      <c r="G36" s="108">
        <v>0.1</v>
      </c>
      <c r="H36" s="96"/>
      <c r="I36" s="84">
        <f>0.1*I29</f>
        <v>54554.045227233582</v>
      </c>
      <c r="J36" s="105">
        <f>J29*G36</f>
        <v>16858.969855930402</v>
      </c>
      <c r="K36" s="82">
        <f>J36+I36</f>
        <v>71413.015083163977</v>
      </c>
      <c r="M36" s="99"/>
    </row>
    <row r="37" spans="2:13" ht="19.2" customHeight="1">
      <c r="B37" s="67"/>
      <c r="C37" s="97" t="s">
        <v>0</v>
      </c>
      <c r="D37" s="96"/>
      <c r="E37" s="96"/>
      <c r="F37" s="107" t="s">
        <v>0</v>
      </c>
      <c r="G37" s="106" t="s">
        <v>0</v>
      </c>
      <c r="H37" s="93"/>
      <c r="I37" s="84" t="s">
        <v>0</v>
      </c>
      <c r="J37" s="105" t="s">
        <v>0</v>
      </c>
      <c r="K37" s="82" t="s">
        <v>0</v>
      </c>
      <c r="M37" s="99"/>
    </row>
    <row r="38" spans="2:13" ht="10.199999999999999" customHeight="1">
      <c r="B38" s="67"/>
      <c r="C38" s="97"/>
      <c r="D38" s="96"/>
      <c r="E38" s="96"/>
      <c r="F38" s="96"/>
      <c r="G38" s="104"/>
      <c r="H38" s="96"/>
      <c r="I38" s="84"/>
      <c r="J38" s="105"/>
      <c r="K38" s="82"/>
      <c r="M38" s="99"/>
    </row>
    <row r="39" spans="2:13" ht="22.5" customHeight="1" thickBot="1">
      <c r="B39" s="67"/>
      <c r="C39" s="97" t="s">
        <v>87</v>
      </c>
      <c r="D39" s="96"/>
      <c r="E39" s="96"/>
      <c r="F39" s="96" t="s">
        <v>0</v>
      </c>
      <c r="G39" s="104" t="s">
        <v>0</v>
      </c>
      <c r="H39" s="103"/>
      <c r="I39" s="102">
        <f>I29-I36</f>
        <v>490986.40704510221</v>
      </c>
      <c r="J39" s="101">
        <f>J29-J36</f>
        <v>151730.72870337361</v>
      </c>
      <c r="K39" s="100">
        <f>K29-K36</f>
        <v>642717.13574847579</v>
      </c>
      <c r="M39" s="99"/>
    </row>
    <row r="40" spans="2:13" ht="22.5" customHeight="1" thickTop="1" thickBot="1">
      <c r="B40" s="67"/>
      <c r="C40" s="97"/>
      <c r="D40" s="96"/>
      <c r="E40" s="96"/>
      <c r="F40" s="96"/>
      <c r="G40" s="98"/>
      <c r="H40" s="96"/>
      <c r="I40" s="84" t="s">
        <v>0</v>
      </c>
      <c r="J40" s="84" t="s">
        <v>0</v>
      </c>
      <c r="K40" s="82" t="s">
        <v>0</v>
      </c>
      <c r="M40" s="76" t="s">
        <v>0</v>
      </c>
    </row>
    <row r="41" spans="2:13" ht="22.5" customHeight="1">
      <c r="B41" s="67"/>
      <c r="C41" s="97" t="s">
        <v>86</v>
      </c>
      <c r="D41" s="96"/>
      <c r="E41" s="96"/>
      <c r="F41" s="95" t="s">
        <v>85</v>
      </c>
      <c r="G41" s="94">
        <v>0.05</v>
      </c>
      <c r="H41" s="93"/>
      <c r="I41" s="92">
        <f>I39*G41</f>
        <v>24549.320352255112</v>
      </c>
      <c r="J41" s="92">
        <f>0.05*J39</f>
        <v>7586.5364351686803</v>
      </c>
      <c r="K41" s="91">
        <f>J41+I41</f>
        <v>32135.856787423792</v>
      </c>
      <c r="M41" s="90"/>
    </row>
    <row r="42" spans="2:13" ht="28.2" customHeight="1" thickBot="1">
      <c r="B42" s="67"/>
      <c r="C42" s="939" t="s">
        <v>84</v>
      </c>
      <c r="D42" s="940"/>
      <c r="E42" s="940"/>
      <c r="F42" s="940"/>
      <c r="G42" s="941"/>
      <c r="H42" s="89"/>
      <c r="I42" s="88">
        <f>I39+I41</f>
        <v>515535.72739735735</v>
      </c>
      <c r="J42" s="87">
        <f>J41+J39</f>
        <v>159317.26513854228</v>
      </c>
      <c r="K42" s="86">
        <f>J42+I42</f>
        <v>674852.99253589963</v>
      </c>
    </row>
    <row r="43" spans="2:13" ht="28.95" customHeight="1" thickBot="1">
      <c r="B43" s="67"/>
      <c r="C43" s="66" t="s">
        <v>83</v>
      </c>
      <c r="D43" s="7"/>
      <c r="E43" s="7"/>
      <c r="F43" s="7"/>
      <c r="G43" s="85"/>
      <c r="H43" s="7"/>
      <c r="I43" s="84"/>
      <c r="J43" s="83"/>
      <c r="K43" s="82">
        <f>K42-J42</f>
        <v>515535.72739735735</v>
      </c>
    </row>
    <row r="44" spans="2:13" ht="28.95" customHeight="1" thickTop="1" thickBot="1">
      <c r="B44" s="67"/>
      <c r="C44" s="81" t="s">
        <v>82</v>
      </c>
      <c r="D44" s="80"/>
      <c r="E44" s="80"/>
      <c r="F44" s="80"/>
      <c r="G44" s="80"/>
      <c r="H44" s="80"/>
      <c r="I44" s="79"/>
      <c r="J44" s="78"/>
      <c r="K44" s="77">
        <f>K42-K43</f>
        <v>159317.26513854228</v>
      </c>
      <c r="M44" s="76"/>
    </row>
    <row r="45" spans="2:13" ht="28.95" customHeight="1" thickBot="1">
      <c r="B45" s="67"/>
      <c r="C45" s="75"/>
      <c r="D45" s="935" t="s">
        <v>719</v>
      </c>
      <c r="E45" s="935"/>
      <c r="F45" s="935"/>
      <c r="G45" s="935"/>
      <c r="H45" s="935"/>
      <c r="I45" s="935"/>
      <c r="J45" s="69"/>
      <c r="K45" s="74"/>
      <c r="M45" s="27" t="s">
        <v>0</v>
      </c>
    </row>
    <row r="46" spans="2:13" ht="17.399999999999999">
      <c r="B46" s="67"/>
      <c r="C46" s="73" t="s">
        <v>81</v>
      </c>
      <c r="D46" s="71"/>
      <c r="E46" s="71"/>
      <c r="F46" s="72"/>
      <c r="G46" s="71"/>
      <c r="H46" s="71"/>
      <c r="I46" s="70"/>
      <c r="J46" s="69"/>
      <c r="K46" s="68"/>
      <c r="M46" s="27" t="s">
        <v>0</v>
      </c>
    </row>
    <row r="47" spans="2:13" ht="17.399999999999999">
      <c r="B47" s="67"/>
      <c r="C47" s="66" t="s">
        <v>80</v>
      </c>
      <c r="D47" s="7"/>
      <c r="E47" s="7"/>
      <c r="F47" s="7"/>
      <c r="G47" s="7"/>
      <c r="H47" s="7"/>
      <c r="I47" s="7"/>
      <c r="J47" s="41"/>
      <c r="K47" s="65"/>
      <c r="M47" s="27" t="s">
        <v>0</v>
      </c>
    </row>
    <row r="48" spans="2:13" ht="18" thickBot="1">
      <c r="B48" s="64"/>
      <c r="C48" s="63" t="s">
        <v>79</v>
      </c>
      <c r="D48" s="62"/>
      <c r="E48" s="62"/>
      <c r="F48" s="62"/>
      <c r="G48" s="62"/>
      <c r="H48" s="62"/>
      <c r="I48" s="62"/>
      <c r="J48" s="61"/>
      <c r="K48" s="60"/>
      <c r="M48" s="27" t="s">
        <v>0</v>
      </c>
    </row>
    <row r="49" spans="2:13" ht="15.6">
      <c r="B49" s="59"/>
      <c r="C49" s="58"/>
      <c r="D49" s="57"/>
      <c r="E49" s="57"/>
      <c r="F49" s="57"/>
      <c r="G49" s="57"/>
      <c r="H49" s="57"/>
      <c r="I49" s="57"/>
      <c r="J49" s="56"/>
      <c r="K49" s="55"/>
      <c r="M49" s="27" t="s">
        <v>0</v>
      </c>
    </row>
    <row r="50" spans="2:13" ht="33" customHeight="1">
      <c r="C50" s="927"/>
      <c r="D50" s="927"/>
      <c r="E50" s="927"/>
      <c r="F50" s="927"/>
      <c r="G50" s="48"/>
      <c r="H50" s="48"/>
      <c r="I50" s="54" t="s">
        <v>78</v>
      </c>
      <c r="J50" s="53" t="s">
        <v>77</v>
      </c>
      <c r="K50" s="52"/>
    </row>
    <row r="51" spans="2:13" ht="17.399999999999999">
      <c r="C51" s="928"/>
      <c r="D51" s="928"/>
      <c r="E51" s="928"/>
      <c r="F51" s="928"/>
      <c r="G51" s="48"/>
      <c r="H51" s="48"/>
      <c r="I51" s="46"/>
      <c r="J51" s="45"/>
      <c r="K51" s="44"/>
    </row>
    <row r="52" spans="2:13" ht="17.399999999999999">
      <c r="C52" s="927"/>
      <c r="D52" s="927"/>
      <c r="E52" s="927"/>
      <c r="F52" s="927"/>
      <c r="G52" s="48"/>
      <c r="H52" s="48"/>
      <c r="I52" s="46" t="s">
        <v>76</v>
      </c>
      <c r="J52" s="45" t="s">
        <v>75</v>
      </c>
      <c r="K52" s="44"/>
    </row>
    <row r="53" spans="2:13" ht="17.399999999999999">
      <c r="C53" s="928"/>
      <c r="D53" s="928"/>
      <c r="E53" s="928"/>
      <c r="F53" s="928"/>
      <c r="G53" s="48"/>
      <c r="H53" s="48"/>
      <c r="I53" s="46"/>
      <c r="J53" s="45" t="s">
        <v>74</v>
      </c>
      <c r="K53" s="44"/>
    </row>
    <row r="54" spans="2:13" ht="17.25" customHeight="1">
      <c r="C54" s="927"/>
      <c r="D54" s="927"/>
      <c r="E54" s="927"/>
      <c r="F54" s="927"/>
      <c r="G54" s="51"/>
      <c r="H54" s="50"/>
      <c r="I54" s="49"/>
      <c r="J54" s="45" t="s">
        <v>73</v>
      </c>
      <c r="K54" s="44"/>
    </row>
    <row r="55" spans="2:13" ht="17.25" customHeight="1">
      <c r="C55" s="48"/>
      <c r="D55" s="41"/>
      <c r="E55" s="41"/>
      <c r="F55" s="41"/>
      <c r="G55" s="40"/>
      <c r="H55" s="40"/>
      <c r="I55" s="46"/>
      <c r="J55" s="45" t="s">
        <v>72</v>
      </c>
      <c r="K55" s="44"/>
    </row>
    <row r="56" spans="2:13" ht="17.399999999999999">
      <c r="C56" s="48"/>
      <c r="D56" s="41"/>
      <c r="E56" s="41"/>
      <c r="F56" s="41"/>
      <c r="G56" s="47"/>
      <c r="H56" s="47"/>
      <c r="I56" s="46"/>
      <c r="J56" s="45" t="s">
        <v>71</v>
      </c>
      <c r="K56" s="44"/>
    </row>
    <row r="57" spans="2:13" ht="14.25" customHeight="1">
      <c r="C57" s="43"/>
      <c r="D57" s="42"/>
      <c r="E57" s="42"/>
      <c r="F57" s="41"/>
      <c r="G57" s="40"/>
      <c r="H57" s="40"/>
      <c r="I57" s="39"/>
      <c r="J57" s="38" t="s">
        <v>70</v>
      </c>
      <c r="K57" s="37"/>
    </row>
    <row r="58" spans="2:13" ht="15.6">
      <c r="C58" s="36"/>
      <c r="D58" s="29"/>
      <c r="E58" s="29"/>
      <c r="F58" s="29"/>
      <c r="G58" s="29"/>
      <c r="H58" s="29"/>
      <c r="I58" s="29"/>
      <c r="J58" s="32"/>
      <c r="K58" s="31"/>
    </row>
    <row r="59" spans="2:13" ht="15.6">
      <c r="C59" s="24" t="s">
        <v>69</v>
      </c>
      <c r="E59" s="35"/>
      <c r="F59" s="29"/>
      <c r="G59" s="29"/>
      <c r="H59" s="29"/>
      <c r="I59" s="29"/>
      <c r="J59" s="32"/>
      <c r="K59" s="31"/>
    </row>
    <row r="60" spans="2:13" ht="15.6">
      <c r="C60" s="34" t="s">
        <v>0</v>
      </c>
      <c r="E60" s="33"/>
      <c r="F60" s="29"/>
      <c r="G60" s="29"/>
      <c r="H60" s="29"/>
      <c r="I60" s="29"/>
      <c r="J60" s="32"/>
      <c r="K60" s="31"/>
    </row>
    <row r="61" spans="2:13" ht="15.6">
      <c r="C61" s="24" t="s">
        <v>0</v>
      </c>
      <c r="E61" s="33"/>
      <c r="F61" s="29"/>
      <c r="G61" s="29"/>
      <c r="H61" s="29"/>
      <c r="I61" s="29"/>
      <c r="J61" s="32"/>
      <c r="K61" s="31"/>
    </row>
    <row r="62" spans="2:13" ht="15.6">
      <c r="C62" s="29"/>
      <c r="D62" s="29"/>
      <c r="E62" s="29"/>
      <c r="F62" s="29"/>
      <c r="G62" s="29"/>
      <c r="H62" s="29"/>
      <c r="I62" s="29"/>
      <c r="J62" s="29"/>
      <c r="K62" s="29"/>
    </row>
    <row r="63" spans="2:13" ht="15.6">
      <c r="C63" s="30"/>
      <c r="D63" s="29"/>
      <c r="E63" s="29"/>
      <c r="F63" s="29"/>
      <c r="G63" s="29"/>
      <c r="H63" s="29"/>
      <c r="I63" s="29"/>
      <c r="J63" s="29"/>
      <c r="K63" s="29"/>
    </row>
    <row r="64" spans="2:13" ht="15.6">
      <c r="C64" s="30"/>
      <c r="D64" s="29"/>
      <c r="E64" s="29"/>
      <c r="F64" s="29"/>
      <c r="G64" s="29"/>
      <c r="H64" s="29"/>
      <c r="I64" s="29"/>
      <c r="J64" s="29"/>
      <c r="K64" s="29"/>
    </row>
  </sheetData>
  <mergeCells count="11">
    <mergeCell ref="C8:I8"/>
    <mergeCell ref="C52:F52"/>
    <mergeCell ref="C53:F53"/>
    <mergeCell ref="C54:F54"/>
    <mergeCell ref="B7:K7"/>
    <mergeCell ref="C25:G25"/>
    <mergeCell ref="C50:F50"/>
    <mergeCell ref="C51:F51"/>
    <mergeCell ref="D45:I45"/>
    <mergeCell ref="C16:G16"/>
    <mergeCell ref="C42:G42"/>
  </mergeCells>
  <phoneticPr fontId="103" type="noConversion"/>
  <pageMargins left="0.7" right="0.7" top="0.75" bottom="0.75" header="0.3" footer="0.3"/>
  <pageSetup paperSize="9" scale="57" orientation="portrait" r:id="rId1"/>
  <extLst>
    <ext xmlns:mx="http://schemas.microsoft.com/office/mac/excel/2008/main" uri="{64002731-A6B0-56B0-2670-7721B7C09600}">
      <mx:PLV Mode="0" OnePage="0" WScale="57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32C8-52FC-4AE1-A407-84B6BCE4B0BA}">
  <dimension ref="A1:E18"/>
  <sheetViews>
    <sheetView tabSelected="1" view="pageBreakPreview" zoomScaleNormal="100" zoomScaleSheetLayoutView="100" workbookViewId="0">
      <selection activeCell="J14" sqref="I14:J14"/>
    </sheetView>
  </sheetViews>
  <sheetFormatPr defaultRowHeight="14.4"/>
  <cols>
    <col min="2" max="2" width="31.21875" customWidth="1"/>
    <col min="3" max="3" width="13.5546875" style="825" customWidth="1"/>
    <col min="4" max="5" width="13.5546875" customWidth="1"/>
  </cols>
  <sheetData>
    <row r="1" spans="1:5" ht="27.45" customHeight="1">
      <c r="A1" s="819" t="s">
        <v>720</v>
      </c>
      <c r="B1" s="819" t="s">
        <v>721</v>
      </c>
      <c r="C1" s="820" t="s">
        <v>722</v>
      </c>
      <c r="D1" s="820" t="s">
        <v>723</v>
      </c>
      <c r="E1" s="820" t="s">
        <v>724</v>
      </c>
    </row>
    <row r="2" spans="1:5">
      <c r="A2" s="821"/>
      <c r="B2" s="821" t="s">
        <v>788</v>
      </c>
      <c r="C2" s="822">
        <f>'BOQ March 2023'!K56</f>
        <v>0</v>
      </c>
      <c r="D2" s="822">
        <f>'BOQ March 2023'!L56</f>
        <v>0</v>
      </c>
      <c r="E2" s="822">
        <f>'BOQ March 2023'!M56</f>
        <v>0</v>
      </c>
    </row>
    <row r="3" spans="1:5">
      <c r="A3" s="821"/>
      <c r="B3" s="821" t="s">
        <v>789</v>
      </c>
      <c r="C3" s="1051">
        <f>'BOQ March 2023'!K73</f>
        <v>166340.28540256084</v>
      </c>
      <c r="D3" s="1051">
        <f>'BOQ March 2023'!L73</f>
        <v>41296.793987304016</v>
      </c>
      <c r="E3" s="1051">
        <f>'BOQ March 2023'!M73</f>
        <v>207637.07938986487</v>
      </c>
    </row>
    <row r="4" spans="1:5" s="904" customFormat="1">
      <c r="A4" s="821"/>
      <c r="B4" s="821" t="s">
        <v>784</v>
      </c>
      <c r="C4" s="1051">
        <f>'BOQ March 2023'!K120</f>
        <v>51944.800000000003</v>
      </c>
      <c r="D4" s="1051">
        <f>'BOQ March 2023'!L120</f>
        <v>0</v>
      </c>
      <c r="E4" s="1051">
        <f>'BOQ March 2023'!M120</f>
        <v>51944.800000000003</v>
      </c>
    </row>
    <row r="5" spans="1:5" s="302" customFormat="1">
      <c r="A5" s="1048"/>
      <c r="B5" s="1048" t="s">
        <v>14</v>
      </c>
      <c r="C5" s="1055">
        <f>SUM(C2:C4)</f>
        <v>218285.08540256083</v>
      </c>
      <c r="D5" s="1055">
        <f t="shared" ref="D5:E5" si="0">SUM(D2:D4)</f>
        <v>41296.793987304016</v>
      </c>
      <c r="E5" s="1055">
        <f t="shared" si="0"/>
        <v>259581.87938986486</v>
      </c>
    </row>
    <row r="6" spans="1:5" s="302" customFormat="1">
      <c r="A6" s="1048"/>
      <c r="B6" s="1048"/>
      <c r="C6" s="1053"/>
      <c r="D6" s="1053"/>
      <c r="E6" s="1053"/>
    </row>
    <row r="7" spans="1:5" s="904" customFormat="1">
      <c r="A7" s="821"/>
      <c r="B7" s="1052" t="s">
        <v>783</v>
      </c>
      <c r="C7" s="1051"/>
      <c r="D7" s="1051"/>
      <c r="E7" s="1051"/>
    </row>
    <row r="8" spans="1:5" s="904" customFormat="1" ht="29.4" customHeight="1">
      <c r="A8" s="821"/>
      <c r="B8" s="1050" t="s">
        <v>785</v>
      </c>
      <c r="C8" s="1051">
        <f>'BOQ March 2023'!K95</f>
        <v>203621.76686977496</v>
      </c>
      <c r="D8" s="1051">
        <f>'BOQ March 2023'!L95</f>
        <v>20059.179571999994</v>
      </c>
      <c r="E8" s="1051">
        <f>'BOQ March 2023'!M95</f>
        <v>223680.94644177496</v>
      </c>
    </row>
    <row r="9" spans="1:5" s="904" customFormat="1" ht="29.4" customHeight="1">
      <c r="A9" s="821"/>
      <c r="B9" s="1050" t="s">
        <v>786</v>
      </c>
      <c r="C9" s="1051">
        <f>'BOQ March 2023'!K118</f>
        <v>123633.60000000001</v>
      </c>
      <c r="D9" s="1051">
        <f>'BOQ March 2023'!L118</f>
        <v>107233.72499999999</v>
      </c>
      <c r="E9" s="1051">
        <f>'BOQ March 2023'!M118</f>
        <v>230867.32500000001</v>
      </c>
    </row>
    <row r="10" spans="1:5" s="302" customFormat="1">
      <c r="A10" s="1048"/>
      <c r="B10" s="1054" t="s">
        <v>791</v>
      </c>
      <c r="C10" s="1055">
        <f>SUM(C8:C9)</f>
        <v>327255.366869775</v>
      </c>
      <c r="D10" s="1055">
        <f t="shared" ref="D10:E10" si="1">SUM(D8:D9)</f>
        <v>127292.90457199998</v>
      </c>
      <c r="E10" s="1055">
        <f t="shared" si="1"/>
        <v>454548.27144177497</v>
      </c>
    </row>
    <row r="11" spans="1:5" s="904" customFormat="1" ht="15" customHeight="1">
      <c r="A11" s="821"/>
      <c r="B11" s="821"/>
      <c r="C11" s="822"/>
      <c r="D11" s="822"/>
      <c r="E11" s="822"/>
    </row>
    <row r="12" spans="1:5" s="302" customFormat="1">
      <c r="A12" s="1048"/>
      <c r="B12" s="1048" t="s">
        <v>792</v>
      </c>
      <c r="C12" s="1049">
        <f t="shared" ref="C12:D12" si="2">C10+C5</f>
        <v>545540.45227233577</v>
      </c>
      <c r="D12" s="1049">
        <f t="shared" si="2"/>
        <v>168589.698559304</v>
      </c>
      <c r="E12" s="1049">
        <f>E10+E5</f>
        <v>714130.15083163977</v>
      </c>
    </row>
    <row r="13" spans="1:5">
      <c r="A13" s="821"/>
      <c r="B13" s="821"/>
      <c r="C13" s="822"/>
      <c r="D13" s="822"/>
      <c r="E13" s="822"/>
    </row>
    <row r="14" spans="1:5">
      <c r="A14" s="821"/>
      <c r="B14" s="821"/>
      <c r="C14" s="822"/>
      <c r="D14" s="822"/>
      <c r="E14" s="822"/>
    </row>
    <row r="15" spans="1:5">
      <c r="A15" s="823"/>
      <c r="B15" s="823"/>
      <c r="C15" s="824"/>
      <c r="D15" s="824"/>
      <c r="E15" s="824"/>
    </row>
    <row r="17" spans="2:5">
      <c r="B17" t="s">
        <v>725</v>
      </c>
      <c r="C17" s="825">
        <v>428574.99</v>
      </c>
      <c r="D17" s="825">
        <v>124804.39000000001</v>
      </c>
      <c r="E17" s="825">
        <v>553379.38</v>
      </c>
    </row>
    <row r="18" spans="2:5">
      <c r="B18" t="s">
        <v>726</v>
      </c>
      <c r="C18" s="826">
        <f>C2-C17</f>
        <v>-428574.99</v>
      </c>
      <c r="D18" s="826">
        <f>D2-D17</f>
        <v>-124804.39000000001</v>
      </c>
      <c r="E18" s="826">
        <f>E2-E17</f>
        <v>-553379.38</v>
      </c>
    </row>
  </sheetData>
  <phoneticPr fontId="10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  <pageSetUpPr fitToPage="1"/>
  </sheetPr>
  <dimension ref="A1:M122"/>
  <sheetViews>
    <sheetView showGridLines="0" showZeros="0" topLeftCell="A7" zoomScale="75" zoomScaleNormal="75" zoomScaleSheetLayoutView="48" zoomScalePageLayoutView="75" workbookViewId="0">
      <pane xSplit="6" ySplit="5" topLeftCell="G59" activePane="bottomRight" state="frozen"/>
      <selection activeCell="A7" sqref="A7"/>
      <selection pane="topRight" activeCell="G7" sqref="G7"/>
      <selection pane="bottomLeft" activeCell="A12" sqref="A12"/>
      <selection pane="bottomRight" activeCell="F56" activeCellId="1" sqref="F73 F56"/>
    </sheetView>
  </sheetViews>
  <sheetFormatPr defaultColWidth="8.6640625" defaultRowHeight="13.8"/>
  <cols>
    <col min="1" max="1" width="8" style="7" customWidth="1"/>
    <col min="2" max="2" width="56.6640625" style="12" customWidth="1"/>
    <col min="3" max="3" width="12.6640625" style="9" customWidth="1"/>
    <col min="4" max="4" width="8.33203125" style="7" customWidth="1"/>
    <col min="5" max="5" width="12.77734375" style="7" customWidth="1"/>
    <col min="6" max="6" width="16.44140625" style="13" customWidth="1"/>
    <col min="7" max="8" width="12.6640625" style="13" customWidth="1"/>
    <col min="9" max="9" width="13.6640625" style="13" customWidth="1"/>
    <col min="10" max="10" width="11.5546875" style="14" customWidth="1"/>
    <col min="11" max="11" width="14.109375" style="7" customWidth="1"/>
    <col min="12" max="12" width="15.109375" style="7" customWidth="1"/>
    <col min="13" max="13" width="17.77734375" style="7" customWidth="1"/>
    <col min="14" max="14" width="8.6640625" style="7"/>
    <col min="15" max="15" width="18.33203125" style="7" customWidth="1"/>
    <col min="16" max="251" width="8.6640625" style="7"/>
    <col min="252" max="252" width="3.109375" style="7" bestFit="1" customWidth="1"/>
    <col min="253" max="253" width="10.6640625" style="7" customWidth="1"/>
    <col min="254" max="254" width="1.44140625" style="7" bestFit="1" customWidth="1"/>
    <col min="255" max="255" width="41" style="7" customWidth="1"/>
    <col min="256" max="256" width="17.6640625" style="7" bestFit="1" customWidth="1"/>
    <col min="257" max="257" width="27" style="7" bestFit="1" customWidth="1"/>
    <col min="258" max="258" width="12.44140625" style="7" customWidth="1"/>
    <col min="259" max="259" width="11.6640625" style="7" customWidth="1"/>
    <col min="260" max="260" width="10.6640625" style="7" customWidth="1"/>
    <col min="261" max="261" width="14.33203125" style="7" bestFit="1" customWidth="1"/>
    <col min="262" max="262" width="15.33203125" style="7" bestFit="1" customWidth="1"/>
    <col min="263" max="263" width="17.33203125" style="7" customWidth="1"/>
    <col min="264" max="507" width="8.6640625" style="7"/>
    <col min="508" max="508" width="3.109375" style="7" bestFit="1" customWidth="1"/>
    <col min="509" max="509" width="10.6640625" style="7" customWidth="1"/>
    <col min="510" max="510" width="1.44140625" style="7" bestFit="1" customWidth="1"/>
    <col min="511" max="511" width="41" style="7" customWidth="1"/>
    <col min="512" max="512" width="17.6640625" style="7" bestFit="1" customWidth="1"/>
    <col min="513" max="513" width="27" style="7" bestFit="1" customWidth="1"/>
    <col min="514" max="514" width="12.44140625" style="7" customWidth="1"/>
    <col min="515" max="515" width="11.6640625" style="7" customWidth="1"/>
    <col min="516" max="516" width="10.6640625" style="7" customWidth="1"/>
    <col min="517" max="517" width="14.33203125" style="7" bestFit="1" customWidth="1"/>
    <col min="518" max="518" width="15.33203125" style="7" bestFit="1" customWidth="1"/>
    <col min="519" max="519" width="17.33203125" style="7" customWidth="1"/>
    <col min="520" max="763" width="8.6640625" style="7"/>
    <col min="764" max="764" width="3.109375" style="7" bestFit="1" customWidth="1"/>
    <col min="765" max="765" width="10.6640625" style="7" customWidth="1"/>
    <col min="766" max="766" width="1.44140625" style="7" bestFit="1" customWidth="1"/>
    <col min="767" max="767" width="41" style="7" customWidth="1"/>
    <col min="768" max="768" width="17.6640625" style="7" bestFit="1" customWidth="1"/>
    <col min="769" max="769" width="27" style="7" bestFit="1" customWidth="1"/>
    <col min="770" max="770" width="12.44140625" style="7" customWidth="1"/>
    <col min="771" max="771" width="11.6640625" style="7" customWidth="1"/>
    <col min="772" max="772" width="10.6640625" style="7" customWidth="1"/>
    <col min="773" max="773" width="14.33203125" style="7" bestFit="1" customWidth="1"/>
    <col min="774" max="774" width="15.33203125" style="7" bestFit="1" customWidth="1"/>
    <col min="775" max="775" width="17.33203125" style="7" customWidth="1"/>
    <col min="776" max="1019" width="8.6640625" style="7"/>
    <col min="1020" max="1020" width="3.109375" style="7" bestFit="1" customWidth="1"/>
    <col min="1021" max="1021" width="10.6640625" style="7" customWidth="1"/>
    <col min="1022" max="1022" width="1.44140625" style="7" bestFit="1" customWidth="1"/>
    <col min="1023" max="1023" width="41" style="7" customWidth="1"/>
    <col min="1024" max="1024" width="17.6640625" style="7" bestFit="1" customWidth="1"/>
    <col min="1025" max="1025" width="27" style="7" bestFit="1" customWidth="1"/>
    <col min="1026" max="1026" width="12.44140625" style="7" customWidth="1"/>
    <col min="1027" max="1027" width="11.6640625" style="7" customWidth="1"/>
    <col min="1028" max="1028" width="10.6640625" style="7" customWidth="1"/>
    <col min="1029" max="1029" width="14.33203125" style="7" bestFit="1" customWidth="1"/>
    <col min="1030" max="1030" width="15.33203125" style="7" bestFit="1" customWidth="1"/>
    <col min="1031" max="1031" width="17.33203125" style="7" customWidth="1"/>
    <col min="1032" max="1275" width="8.6640625" style="7"/>
    <col min="1276" max="1276" width="3.109375" style="7" bestFit="1" customWidth="1"/>
    <col min="1277" max="1277" width="10.6640625" style="7" customWidth="1"/>
    <col min="1278" max="1278" width="1.44140625" style="7" bestFit="1" customWidth="1"/>
    <col min="1279" max="1279" width="41" style="7" customWidth="1"/>
    <col min="1280" max="1280" width="17.6640625" style="7" bestFit="1" customWidth="1"/>
    <col min="1281" max="1281" width="27" style="7" bestFit="1" customWidth="1"/>
    <col min="1282" max="1282" width="12.44140625" style="7" customWidth="1"/>
    <col min="1283" max="1283" width="11.6640625" style="7" customWidth="1"/>
    <col min="1284" max="1284" width="10.6640625" style="7" customWidth="1"/>
    <col min="1285" max="1285" width="14.33203125" style="7" bestFit="1" customWidth="1"/>
    <col min="1286" max="1286" width="15.33203125" style="7" bestFit="1" customWidth="1"/>
    <col min="1287" max="1287" width="17.33203125" style="7" customWidth="1"/>
    <col min="1288" max="1531" width="8.6640625" style="7"/>
    <col min="1532" max="1532" width="3.109375" style="7" bestFit="1" customWidth="1"/>
    <col min="1533" max="1533" width="10.6640625" style="7" customWidth="1"/>
    <col min="1534" max="1534" width="1.44140625" style="7" bestFit="1" customWidth="1"/>
    <col min="1535" max="1535" width="41" style="7" customWidth="1"/>
    <col min="1536" max="1536" width="17.6640625" style="7" bestFit="1" customWidth="1"/>
    <col min="1537" max="1537" width="27" style="7" bestFit="1" customWidth="1"/>
    <col min="1538" max="1538" width="12.44140625" style="7" customWidth="1"/>
    <col min="1539" max="1539" width="11.6640625" style="7" customWidth="1"/>
    <col min="1540" max="1540" width="10.6640625" style="7" customWidth="1"/>
    <col min="1541" max="1541" width="14.33203125" style="7" bestFit="1" customWidth="1"/>
    <col min="1542" max="1542" width="15.33203125" style="7" bestFit="1" customWidth="1"/>
    <col min="1543" max="1543" width="17.33203125" style="7" customWidth="1"/>
    <col min="1544" max="1787" width="8.6640625" style="7"/>
    <col min="1788" max="1788" width="3.109375" style="7" bestFit="1" customWidth="1"/>
    <col min="1789" max="1789" width="10.6640625" style="7" customWidth="1"/>
    <col min="1790" max="1790" width="1.44140625" style="7" bestFit="1" customWidth="1"/>
    <col min="1791" max="1791" width="41" style="7" customWidth="1"/>
    <col min="1792" max="1792" width="17.6640625" style="7" bestFit="1" customWidth="1"/>
    <col min="1793" max="1793" width="27" style="7" bestFit="1" customWidth="1"/>
    <col min="1794" max="1794" width="12.44140625" style="7" customWidth="1"/>
    <col min="1795" max="1795" width="11.6640625" style="7" customWidth="1"/>
    <col min="1796" max="1796" width="10.6640625" style="7" customWidth="1"/>
    <col min="1797" max="1797" width="14.33203125" style="7" bestFit="1" customWidth="1"/>
    <col min="1798" max="1798" width="15.33203125" style="7" bestFit="1" customWidth="1"/>
    <col min="1799" max="1799" width="17.33203125" style="7" customWidth="1"/>
    <col min="1800" max="2043" width="8.6640625" style="7"/>
    <col min="2044" max="2044" width="3.109375" style="7" bestFit="1" customWidth="1"/>
    <col min="2045" max="2045" width="10.6640625" style="7" customWidth="1"/>
    <col min="2046" max="2046" width="1.44140625" style="7" bestFit="1" customWidth="1"/>
    <col min="2047" max="2047" width="41" style="7" customWidth="1"/>
    <col min="2048" max="2048" width="17.6640625" style="7" bestFit="1" customWidth="1"/>
    <col min="2049" max="2049" width="27" style="7" bestFit="1" customWidth="1"/>
    <col min="2050" max="2050" width="12.44140625" style="7" customWidth="1"/>
    <col min="2051" max="2051" width="11.6640625" style="7" customWidth="1"/>
    <col min="2052" max="2052" width="10.6640625" style="7" customWidth="1"/>
    <col min="2053" max="2053" width="14.33203125" style="7" bestFit="1" customWidth="1"/>
    <col min="2054" max="2054" width="15.33203125" style="7" bestFit="1" customWidth="1"/>
    <col min="2055" max="2055" width="17.33203125" style="7" customWidth="1"/>
    <col min="2056" max="2299" width="8.6640625" style="7"/>
    <col min="2300" max="2300" width="3.109375" style="7" bestFit="1" customWidth="1"/>
    <col min="2301" max="2301" width="10.6640625" style="7" customWidth="1"/>
    <col min="2302" max="2302" width="1.44140625" style="7" bestFit="1" customWidth="1"/>
    <col min="2303" max="2303" width="41" style="7" customWidth="1"/>
    <col min="2304" max="2304" width="17.6640625" style="7" bestFit="1" customWidth="1"/>
    <col min="2305" max="2305" width="27" style="7" bestFit="1" customWidth="1"/>
    <col min="2306" max="2306" width="12.44140625" style="7" customWidth="1"/>
    <col min="2307" max="2307" width="11.6640625" style="7" customWidth="1"/>
    <col min="2308" max="2308" width="10.6640625" style="7" customWidth="1"/>
    <col min="2309" max="2309" width="14.33203125" style="7" bestFit="1" customWidth="1"/>
    <col min="2310" max="2310" width="15.33203125" style="7" bestFit="1" customWidth="1"/>
    <col min="2311" max="2311" width="17.33203125" style="7" customWidth="1"/>
    <col min="2312" max="2555" width="8.6640625" style="7"/>
    <col min="2556" max="2556" width="3.109375" style="7" bestFit="1" customWidth="1"/>
    <col min="2557" max="2557" width="10.6640625" style="7" customWidth="1"/>
    <col min="2558" max="2558" width="1.44140625" style="7" bestFit="1" customWidth="1"/>
    <col min="2559" max="2559" width="41" style="7" customWidth="1"/>
    <col min="2560" max="2560" width="17.6640625" style="7" bestFit="1" customWidth="1"/>
    <col min="2561" max="2561" width="27" style="7" bestFit="1" customWidth="1"/>
    <col min="2562" max="2562" width="12.44140625" style="7" customWidth="1"/>
    <col min="2563" max="2563" width="11.6640625" style="7" customWidth="1"/>
    <col min="2564" max="2564" width="10.6640625" style="7" customWidth="1"/>
    <col min="2565" max="2565" width="14.33203125" style="7" bestFit="1" customWidth="1"/>
    <col min="2566" max="2566" width="15.33203125" style="7" bestFit="1" customWidth="1"/>
    <col min="2567" max="2567" width="17.33203125" style="7" customWidth="1"/>
    <col min="2568" max="2811" width="8.6640625" style="7"/>
    <col min="2812" max="2812" width="3.109375" style="7" bestFit="1" customWidth="1"/>
    <col min="2813" max="2813" width="10.6640625" style="7" customWidth="1"/>
    <col min="2814" max="2814" width="1.44140625" style="7" bestFit="1" customWidth="1"/>
    <col min="2815" max="2815" width="41" style="7" customWidth="1"/>
    <col min="2816" max="2816" width="17.6640625" style="7" bestFit="1" customWidth="1"/>
    <col min="2817" max="2817" width="27" style="7" bestFit="1" customWidth="1"/>
    <col min="2818" max="2818" width="12.44140625" style="7" customWidth="1"/>
    <col min="2819" max="2819" width="11.6640625" style="7" customWidth="1"/>
    <col min="2820" max="2820" width="10.6640625" style="7" customWidth="1"/>
    <col min="2821" max="2821" width="14.33203125" style="7" bestFit="1" customWidth="1"/>
    <col min="2822" max="2822" width="15.33203125" style="7" bestFit="1" customWidth="1"/>
    <col min="2823" max="2823" width="17.33203125" style="7" customWidth="1"/>
    <col min="2824" max="3067" width="8.6640625" style="7"/>
    <col min="3068" max="3068" width="3.109375" style="7" bestFit="1" customWidth="1"/>
    <col min="3069" max="3069" width="10.6640625" style="7" customWidth="1"/>
    <col min="3070" max="3070" width="1.44140625" style="7" bestFit="1" customWidth="1"/>
    <col min="3071" max="3071" width="41" style="7" customWidth="1"/>
    <col min="3072" max="3072" width="17.6640625" style="7" bestFit="1" customWidth="1"/>
    <col min="3073" max="3073" width="27" style="7" bestFit="1" customWidth="1"/>
    <col min="3074" max="3074" width="12.44140625" style="7" customWidth="1"/>
    <col min="3075" max="3075" width="11.6640625" style="7" customWidth="1"/>
    <col min="3076" max="3076" width="10.6640625" style="7" customWidth="1"/>
    <col min="3077" max="3077" width="14.33203125" style="7" bestFit="1" customWidth="1"/>
    <col min="3078" max="3078" width="15.33203125" style="7" bestFit="1" customWidth="1"/>
    <col min="3079" max="3079" width="17.33203125" style="7" customWidth="1"/>
    <col min="3080" max="3323" width="8.6640625" style="7"/>
    <col min="3324" max="3324" width="3.109375" style="7" bestFit="1" customWidth="1"/>
    <col min="3325" max="3325" width="10.6640625" style="7" customWidth="1"/>
    <col min="3326" max="3326" width="1.44140625" style="7" bestFit="1" customWidth="1"/>
    <col min="3327" max="3327" width="41" style="7" customWidth="1"/>
    <col min="3328" max="3328" width="17.6640625" style="7" bestFit="1" customWidth="1"/>
    <col min="3329" max="3329" width="27" style="7" bestFit="1" customWidth="1"/>
    <col min="3330" max="3330" width="12.44140625" style="7" customWidth="1"/>
    <col min="3331" max="3331" width="11.6640625" style="7" customWidth="1"/>
    <col min="3332" max="3332" width="10.6640625" style="7" customWidth="1"/>
    <col min="3333" max="3333" width="14.33203125" style="7" bestFit="1" customWidth="1"/>
    <col min="3334" max="3334" width="15.33203125" style="7" bestFit="1" customWidth="1"/>
    <col min="3335" max="3335" width="17.33203125" style="7" customWidth="1"/>
    <col min="3336" max="3579" width="8.6640625" style="7"/>
    <col min="3580" max="3580" width="3.109375" style="7" bestFit="1" customWidth="1"/>
    <col min="3581" max="3581" width="10.6640625" style="7" customWidth="1"/>
    <col min="3582" max="3582" width="1.44140625" style="7" bestFit="1" customWidth="1"/>
    <col min="3583" max="3583" width="41" style="7" customWidth="1"/>
    <col min="3584" max="3584" width="17.6640625" style="7" bestFit="1" customWidth="1"/>
    <col min="3585" max="3585" width="27" style="7" bestFit="1" customWidth="1"/>
    <col min="3586" max="3586" width="12.44140625" style="7" customWidth="1"/>
    <col min="3587" max="3587" width="11.6640625" style="7" customWidth="1"/>
    <col min="3588" max="3588" width="10.6640625" style="7" customWidth="1"/>
    <col min="3589" max="3589" width="14.33203125" style="7" bestFit="1" customWidth="1"/>
    <col min="3590" max="3590" width="15.33203125" style="7" bestFit="1" customWidth="1"/>
    <col min="3591" max="3591" width="17.33203125" style="7" customWidth="1"/>
    <col min="3592" max="3835" width="8.6640625" style="7"/>
    <col min="3836" max="3836" width="3.109375" style="7" bestFit="1" customWidth="1"/>
    <col min="3837" max="3837" width="10.6640625" style="7" customWidth="1"/>
    <col min="3838" max="3838" width="1.44140625" style="7" bestFit="1" customWidth="1"/>
    <col min="3839" max="3839" width="41" style="7" customWidth="1"/>
    <col min="3840" max="3840" width="17.6640625" style="7" bestFit="1" customWidth="1"/>
    <col min="3841" max="3841" width="27" style="7" bestFit="1" customWidth="1"/>
    <col min="3842" max="3842" width="12.44140625" style="7" customWidth="1"/>
    <col min="3843" max="3843" width="11.6640625" style="7" customWidth="1"/>
    <col min="3844" max="3844" width="10.6640625" style="7" customWidth="1"/>
    <col min="3845" max="3845" width="14.33203125" style="7" bestFit="1" customWidth="1"/>
    <col min="3846" max="3846" width="15.33203125" style="7" bestFit="1" customWidth="1"/>
    <col min="3847" max="3847" width="17.33203125" style="7" customWidth="1"/>
    <col min="3848" max="4091" width="8.6640625" style="7"/>
    <col min="4092" max="4092" width="3.109375" style="7" bestFit="1" customWidth="1"/>
    <col min="4093" max="4093" width="10.6640625" style="7" customWidth="1"/>
    <col min="4094" max="4094" width="1.44140625" style="7" bestFit="1" customWidth="1"/>
    <col min="4095" max="4095" width="41" style="7" customWidth="1"/>
    <col min="4096" max="4096" width="17.6640625" style="7" bestFit="1" customWidth="1"/>
    <col min="4097" max="4097" width="27" style="7" bestFit="1" customWidth="1"/>
    <col min="4098" max="4098" width="12.44140625" style="7" customWidth="1"/>
    <col min="4099" max="4099" width="11.6640625" style="7" customWidth="1"/>
    <col min="4100" max="4100" width="10.6640625" style="7" customWidth="1"/>
    <col min="4101" max="4101" width="14.33203125" style="7" bestFit="1" customWidth="1"/>
    <col min="4102" max="4102" width="15.33203125" style="7" bestFit="1" customWidth="1"/>
    <col min="4103" max="4103" width="17.33203125" style="7" customWidth="1"/>
    <col min="4104" max="4347" width="8.6640625" style="7"/>
    <col min="4348" max="4348" width="3.109375" style="7" bestFit="1" customWidth="1"/>
    <col min="4349" max="4349" width="10.6640625" style="7" customWidth="1"/>
    <col min="4350" max="4350" width="1.44140625" style="7" bestFit="1" customWidth="1"/>
    <col min="4351" max="4351" width="41" style="7" customWidth="1"/>
    <col min="4352" max="4352" width="17.6640625" style="7" bestFit="1" customWidth="1"/>
    <col min="4353" max="4353" width="27" style="7" bestFit="1" customWidth="1"/>
    <col min="4354" max="4354" width="12.44140625" style="7" customWidth="1"/>
    <col min="4355" max="4355" width="11.6640625" style="7" customWidth="1"/>
    <col min="4356" max="4356" width="10.6640625" style="7" customWidth="1"/>
    <col min="4357" max="4357" width="14.33203125" style="7" bestFit="1" customWidth="1"/>
    <col min="4358" max="4358" width="15.33203125" style="7" bestFit="1" customWidth="1"/>
    <col min="4359" max="4359" width="17.33203125" style="7" customWidth="1"/>
    <col min="4360" max="4603" width="8.6640625" style="7"/>
    <col min="4604" max="4604" width="3.109375" style="7" bestFit="1" customWidth="1"/>
    <col min="4605" max="4605" width="10.6640625" style="7" customWidth="1"/>
    <col min="4606" max="4606" width="1.44140625" style="7" bestFit="1" customWidth="1"/>
    <col min="4607" max="4607" width="41" style="7" customWidth="1"/>
    <col min="4608" max="4608" width="17.6640625" style="7" bestFit="1" customWidth="1"/>
    <col min="4609" max="4609" width="27" style="7" bestFit="1" customWidth="1"/>
    <col min="4610" max="4610" width="12.44140625" style="7" customWidth="1"/>
    <col min="4611" max="4611" width="11.6640625" style="7" customWidth="1"/>
    <col min="4612" max="4612" width="10.6640625" style="7" customWidth="1"/>
    <col min="4613" max="4613" width="14.33203125" style="7" bestFit="1" customWidth="1"/>
    <col min="4614" max="4614" width="15.33203125" style="7" bestFit="1" customWidth="1"/>
    <col min="4615" max="4615" width="17.33203125" style="7" customWidth="1"/>
    <col min="4616" max="4859" width="8.6640625" style="7"/>
    <col min="4860" max="4860" width="3.109375" style="7" bestFit="1" customWidth="1"/>
    <col min="4861" max="4861" width="10.6640625" style="7" customWidth="1"/>
    <col min="4862" max="4862" width="1.44140625" style="7" bestFit="1" customWidth="1"/>
    <col min="4863" max="4863" width="41" style="7" customWidth="1"/>
    <col min="4864" max="4864" width="17.6640625" style="7" bestFit="1" customWidth="1"/>
    <col min="4865" max="4865" width="27" style="7" bestFit="1" customWidth="1"/>
    <col min="4866" max="4866" width="12.44140625" style="7" customWidth="1"/>
    <col min="4867" max="4867" width="11.6640625" style="7" customWidth="1"/>
    <col min="4868" max="4868" width="10.6640625" style="7" customWidth="1"/>
    <col min="4869" max="4869" width="14.33203125" style="7" bestFit="1" customWidth="1"/>
    <col min="4870" max="4870" width="15.33203125" style="7" bestFit="1" customWidth="1"/>
    <col min="4871" max="4871" width="17.33203125" style="7" customWidth="1"/>
    <col min="4872" max="5115" width="8.6640625" style="7"/>
    <col min="5116" max="5116" width="3.109375" style="7" bestFit="1" customWidth="1"/>
    <col min="5117" max="5117" width="10.6640625" style="7" customWidth="1"/>
    <col min="5118" max="5118" width="1.44140625" style="7" bestFit="1" customWidth="1"/>
    <col min="5119" max="5119" width="41" style="7" customWidth="1"/>
    <col min="5120" max="5120" width="17.6640625" style="7" bestFit="1" customWidth="1"/>
    <col min="5121" max="5121" width="27" style="7" bestFit="1" customWidth="1"/>
    <col min="5122" max="5122" width="12.44140625" style="7" customWidth="1"/>
    <col min="5123" max="5123" width="11.6640625" style="7" customWidth="1"/>
    <col min="5124" max="5124" width="10.6640625" style="7" customWidth="1"/>
    <col min="5125" max="5125" width="14.33203125" style="7" bestFit="1" customWidth="1"/>
    <col min="5126" max="5126" width="15.33203125" style="7" bestFit="1" customWidth="1"/>
    <col min="5127" max="5127" width="17.33203125" style="7" customWidth="1"/>
    <col min="5128" max="5371" width="8.6640625" style="7"/>
    <col min="5372" max="5372" width="3.109375" style="7" bestFit="1" customWidth="1"/>
    <col min="5373" max="5373" width="10.6640625" style="7" customWidth="1"/>
    <col min="5374" max="5374" width="1.44140625" style="7" bestFit="1" customWidth="1"/>
    <col min="5375" max="5375" width="41" style="7" customWidth="1"/>
    <col min="5376" max="5376" width="17.6640625" style="7" bestFit="1" customWidth="1"/>
    <col min="5377" max="5377" width="27" style="7" bestFit="1" customWidth="1"/>
    <col min="5378" max="5378" width="12.44140625" style="7" customWidth="1"/>
    <col min="5379" max="5379" width="11.6640625" style="7" customWidth="1"/>
    <col min="5380" max="5380" width="10.6640625" style="7" customWidth="1"/>
    <col min="5381" max="5381" width="14.33203125" style="7" bestFit="1" customWidth="1"/>
    <col min="5382" max="5382" width="15.33203125" style="7" bestFit="1" customWidth="1"/>
    <col min="5383" max="5383" width="17.33203125" style="7" customWidth="1"/>
    <col min="5384" max="5627" width="8.6640625" style="7"/>
    <col min="5628" max="5628" width="3.109375" style="7" bestFit="1" customWidth="1"/>
    <col min="5629" max="5629" width="10.6640625" style="7" customWidth="1"/>
    <col min="5630" max="5630" width="1.44140625" style="7" bestFit="1" customWidth="1"/>
    <col min="5631" max="5631" width="41" style="7" customWidth="1"/>
    <col min="5632" max="5632" width="17.6640625" style="7" bestFit="1" customWidth="1"/>
    <col min="5633" max="5633" width="27" style="7" bestFit="1" customWidth="1"/>
    <col min="5634" max="5634" width="12.44140625" style="7" customWidth="1"/>
    <col min="5635" max="5635" width="11.6640625" style="7" customWidth="1"/>
    <col min="5636" max="5636" width="10.6640625" style="7" customWidth="1"/>
    <col min="5637" max="5637" width="14.33203125" style="7" bestFit="1" customWidth="1"/>
    <col min="5638" max="5638" width="15.33203125" style="7" bestFit="1" customWidth="1"/>
    <col min="5639" max="5639" width="17.33203125" style="7" customWidth="1"/>
    <col min="5640" max="5883" width="8.6640625" style="7"/>
    <col min="5884" max="5884" width="3.109375" style="7" bestFit="1" customWidth="1"/>
    <col min="5885" max="5885" width="10.6640625" style="7" customWidth="1"/>
    <col min="5886" max="5886" width="1.44140625" style="7" bestFit="1" customWidth="1"/>
    <col min="5887" max="5887" width="41" style="7" customWidth="1"/>
    <col min="5888" max="5888" width="17.6640625" style="7" bestFit="1" customWidth="1"/>
    <col min="5889" max="5889" width="27" style="7" bestFit="1" customWidth="1"/>
    <col min="5890" max="5890" width="12.44140625" style="7" customWidth="1"/>
    <col min="5891" max="5891" width="11.6640625" style="7" customWidth="1"/>
    <col min="5892" max="5892" width="10.6640625" style="7" customWidth="1"/>
    <col min="5893" max="5893" width="14.33203125" style="7" bestFit="1" customWidth="1"/>
    <col min="5894" max="5894" width="15.33203125" style="7" bestFit="1" customWidth="1"/>
    <col min="5895" max="5895" width="17.33203125" style="7" customWidth="1"/>
    <col min="5896" max="6139" width="8.6640625" style="7"/>
    <col min="6140" max="6140" width="3.109375" style="7" bestFit="1" customWidth="1"/>
    <col min="6141" max="6141" width="10.6640625" style="7" customWidth="1"/>
    <col min="6142" max="6142" width="1.44140625" style="7" bestFit="1" customWidth="1"/>
    <col min="6143" max="6143" width="41" style="7" customWidth="1"/>
    <col min="6144" max="6144" width="17.6640625" style="7" bestFit="1" customWidth="1"/>
    <col min="6145" max="6145" width="27" style="7" bestFit="1" customWidth="1"/>
    <col min="6146" max="6146" width="12.44140625" style="7" customWidth="1"/>
    <col min="6147" max="6147" width="11.6640625" style="7" customWidth="1"/>
    <col min="6148" max="6148" width="10.6640625" style="7" customWidth="1"/>
    <col min="6149" max="6149" width="14.33203125" style="7" bestFit="1" customWidth="1"/>
    <col min="6150" max="6150" width="15.33203125" style="7" bestFit="1" customWidth="1"/>
    <col min="6151" max="6151" width="17.33203125" style="7" customWidth="1"/>
    <col min="6152" max="6395" width="8.6640625" style="7"/>
    <col min="6396" max="6396" width="3.109375" style="7" bestFit="1" customWidth="1"/>
    <col min="6397" max="6397" width="10.6640625" style="7" customWidth="1"/>
    <col min="6398" max="6398" width="1.44140625" style="7" bestFit="1" customWidth="1"/>
    <col min="6399" max="6399" width="41" style="7" customWidth="1"/>
    <col min="6400" max="6400" width="17.6640625" style="7" bestFit="1" customWidth="1"/>
    <col min="6401" max="6401" width="27" style="7" bestFit="1" customWidth="1"/>
    <col min="6402" max="6402" width="12.44140625" style="7" customWidth="1"/>
    <col min="6403" max="6403" width="11.6640625" style="7" customWidth="1"/>
    <col min="6404" max="6404" width="10.6640625" style="7" customWidth="1"/>
    <col min="6405" max="6405" width="14.33203125" style="7" bestFit="1" customWidth="1"/>
    <col min="6406" max="6406" width="15.33203125" style="7" bestFit="1" customWidth="1"/>
    <col min="6407" max="6407" width="17.33203125" style="7" customWidth="1"/>
    <col min="6408" max="6651" width="8.6640625" style="7"/>
    <col min="6652" max="6652" width="3.109375" style="7" bestFit="1" customWidth="1"/>
    <col min="6653" max="6653" width="10.6640625" style="7" customWidth="1"/>
    <col min="6654" max="6654" width="1.44140625" style="7" bestFit="1" customWidth="1"/>
    <col min="6655" max="6655" width="41" style="7" customWidth="1"/>
    <col min="6656" max="6656" width="17.6640625" style="7" bestFit="1" customWidth="1"/>
    <col min="6657" max="6657" width="27" style="7" bestFit="1" customWidth="1"/>
    <col min="6658" max="6658" width="12.44140625" style="7" customWidth="1"/>
    <col min="6659" max="6659" width="11.6640625" style="7" customWidth="1"/>
    <col min="6660" max="6660" width="10.6640625" style="7" customWidth="1"/>
    <col min="6661" max="6661" width="14.33203125" style="7" bestFit="1" customWidth="1"/>
    <col min="6662" max="6662" width="15.33203125" style="7" bestFit="1" customWidth="1"/>
    <col min="6663" max="6663" width="17.33203125" style="7" customWidth="1"/>
    <col min="6664" max="6907" width="8.6640625" style="7"/>
    <col min="6908" max="6908" width="3.109375" style="7" bestFit="1" customWidth="1"/>
    <col min="6909" max="6909" width="10.6640625" style="7" customWidth="1"/>
    <col min="6910" max="6910" width="1.44140625" style="7" bestFit="1" customWidth="1"/>
    <col min="6911" max="6911" width="41" style="7" customWidth="1"/>
    <col min="6912" max="6912" width="17.6640625" style="7" bestFit="1" customWidth="1"/>
    <col min="6913" max="6913" width="27" style="7" bestFit="1" customWidth="1"/>
    <col min="6914" max="6914" width="12.44140625" style="7" customWidth="1"/>
    <col min="6915" max="6915" width="11.6640625" style="7" customWidth="1"/>
    <col min="6916" max="6916" width="10.6640625" style="7" customWidth="1"/>
    <col min="6917" max="6917" width="14.33203125" style="7" bestFit="1" customWidth="1"/>
    <col min="6918" max="6918" width="15.33203125" style="7" bestFit="1" customWidth="1"/>
    <col min="6919" max="6919" width="17.33203125" style="7" customWidth="1"/>
    <col min="6920" max="7163" width="8.6640625" style="7"/>
    <col min="7164" max="7164" width="3.109375" style="7" bestFit="1" customWidth="1"/>
    <col min="7165" max="7165" width="10.6640625" style="7" customWidth="1"/>
    <col min="7166" max="7166" width="1.44140625" style="7" bestFit="1" customWidth="1"/>
    <col min="7167" max="7167" width="41" style="7" customWidth="1"/>
    <col min="7168" max="7168" width="17.6640625" style="7" bestFit="1" customWidth="1"/>
    <col min="7169" max="7169" width="27" style="7" bestFit="1" customWidth="1"/>
    <col min="7170" max="7170" width="12.44140625" style="7" customWidth="1"/>
    <col min="7171" max="7171" width="11.6640625" style="7" customWidth="1"/>
    <col min="7172" max="7172" width="10.6640625" style="7" customWidth="1"/>
    <col min="7173" max="7173" width="14.33203125" style="7" bestFit="1" customWidth="1"/>
    <col min="7174" max="7174" width="15.33203125" style="7" bestFit="1" customWidth="1"/>
    <col min="7175" max="7175" width="17.33203125" style="7" customWidth="1"/>
    <col min="7176" max="7419" width="8.6640625" style="7"/>
    <col min="7420" max="7420" width="3.109375" style="7" bestFit="1" customWidth="1"/>
    <col min="7421" max="7421" width="10.6640625" style="7" customWidth="1"/>
    <col min="7422" max="7422" width="1.44140625" style="7" bestFit="1" customWidth="1"/>
    <col min="7423" max="7423" width="41" style="7" customWidth="1"/>
    <col min="7424" max="7424" width="17.6640625" style="7" bestFit="1" customWidth="1"/>
    <col min="7425" max="7425" width="27" style="7" bestFit="1" customWidth="1"/>
    <col min="7426" max="7426" width="12.44140625" style="7" customWidth="1"/>
    <col min="7427" max="7427" width="11.6640625" style="7" customWidth="1"/>
    <col min="7428" max="7428" width="10.6640625" style="7" customWidth="1"/>
    <col min="7429" max="7429" width="14.33203125" style="7" bestFit="1" customWidth="1"/>
    <col min="7430" max="7430" width="15.33203125" style="7" bestFit="1" customWidth="1"/>
    <col min="7431" max="7431" width="17.33203125" style="7" customWidth="1"/>
    <col min="7432" max="7675" width="8.6640625" style="7"/>
    <col min="7676" max="7676" width="3.109375" style="7" bestFit="1" customWidth="1"/>
    <col min="7677" max="7677" width="10.6640625" style="7" customWidth="1"/>
    <col min="7678" max="7678" width="1.44140625" style="7" bestFit="1" customWidth="1"/>
    <col min="7679" max="7679" width="41" style="7" customWidth="1"/>
    <col min="7680" max="7680" width="17.6640625" style="7" bestFit="1" customWidth="1"/>
    <col min="7681" max="7681" width="27" style="7" bestFit="1" customWidth="1"/>
    <col min="7682" max="7682" width="12.44140625" style="7" customWidth="1"/>
    <col min="7683" max="7683" width="11.6640625" style="7" customWidth="1"/>
    <col min="7684" max="7684" width="10.6640625" style="7" customWidth="1"/>
    <col min="7685" max="7685" width="14.33203125" style="7" bestFit="1" customWidth="1"/>
    <col min="7686" max="7686" width="15.33203125" style="7" bestFit="1" customWidth="1"/>
    <col min="7687" max="7687" width="17.33203125" style="7" customWidth="1"/>
    <col min="7688" max="7931" width="8.6640625" style="7"/>
    <col min="7932" max="7932" width="3.109375" style="7" bestFit="1" customWidth="1"/>
    <col min="7933" max="7933" width="10.6640625" style="7" customWidth="1"/>
    <col min="7934" max="7934" width="1.44140625" style="7" bestFit="1" customWidth="1"/>
    <col min="7935" max="7935" width="41" style="7" customWidth="1"/>
    <col min="7936" max="7936" width="17.6640625" style="7" bestFit="1" customWidth="1"/>
    <col min="7937" max="7937" width="27" style="7" bestFit="1" customWidth="1"/>
    <col min="7938" max="7938" width="12.44140625" style="7" customWidth="1"/>
    <col min="7939" max="7939" width="11.6640625" style="7" customWidth="1"/>
    <col min="7940" max="7940" width="10.6640625" style="7" customWidth="1"/>
    <col min="7941" max="7941" width="14.33203125" style="7" bestFit="1" customWidth="1"/>
    <col min="7942" max="7942" width="15.33203125" style="7" bestFit="1" customWidth="1"/>
    <col min="7943" max="7943" width="17.33203125" style="7" customWidth="1"/>
    <col min="7944" max="8187" width="8.6640625" style="7"/>
    <col min="8188" max="8188" width="3.109375" style="7" bestFit="1" customWidth="1"/>
    <col min="8189" max="8189" width="10.6640625" style="7" customWidth="1"/>
    <col min="8190" max="8190" width="1.44140625" style="7" bestFit="1" customWidth="1"/>
    <col min="8191" max="8191" width="41" style="7" customWidth="1"/>
    <col min="8192" max="8192" width="17.6640625" style="7" bestFit="1" customWidth="1"/>
    <col min="8193" max="8193" width="27" style="7" bestFit="1" customWidth="1"/>
    <col min="8194" max="8194" width="12.44140625" style="7" customWidth="1"/>
    <col min="8195" max="8195" width="11.6640625" style="7" customWidth="1"/>
    <col min="8196" max="8196" width="10.6640625" style="7" customWidth="1"/>
    <col min="8197" max="8197" width="14.33203125" style="7" bestFit="1" customWidth="1"/>
    <col min="8198" max="8198" width="15.33203125" style="7" bestFit="1" customWidth="1"/>
    <col min="8199" max="8199" width="17.33203125" style="7" customWidth="1"/>
    <col min="8200" max="8443" width="8.6640625" style="7"/>
    <col min="8444" max="8444" width="3.109375" style="7" bestFit="1" customWidth="1"/>
    <col min="8445" max="8445" width="10.6640625" style="7" customWidth="1"/>
    <col min="8446" max="8446" width="1.44140625" style="7" bestFit="1" customWidth="1"/>
    <col min="8447" max="8447" width="41" style="7" customWidth="1"/>
    <col min="8448" max="8448" width="17.6640625" style="7" bestFit="1" customWidth="1"/>
    <col min="8449" max="8449" width="27" style="7" bestFit="1" customWidth="1"/>
    <col min="8450" max="8450" width="12.44140625" style="7" customWidth="1"/>
    <col min="8451" max="8451" width="11.6640625" style="7" customWidth="1"/>
    <col min="8452" max="8452" width="10.6640625" style="7" customWidth="1"/>
    <col min="8453" max="8453" width="14.33203125" style="7" bestFit="1" customWidth="1"/>
    <col min="8454" max="8454" width="15.33203125" style="7" bestFit="1" customWidth="1"/>
    <col min="8455" max="8455" width="17.33203125" style="7" customWidth="1"/>
    <col min="8456" max="8699" width="8.6640625" style="7"/>
    <col min="8700" max="8700" width="3.109375" style="7" bestFit="1" customWidth="1"/>
    <col min="8701" max="8701" width="10.6640625" style="7" customWidth="1"/>
    <col min="8702" max="8702" width="1.44140625" style="7" bestFit="1" customWidth="1"/>
    <col min="8703" max="8703" width="41" style="7" customWidth="1"/>
    <col min="8704" max="8704" width="17.6640625" style="7" bestFit="1" customWidth="1"/>
    <col min="8705" max="8705" width="27" style="7" bestFit="1" customWidth="1"/>
    <col min="8706" max="8706" width="12.44140625" style="7" customWidth="1"/>
    <col min="8707" max="8707" width="11.6640625" style="7" customWidth="1"/>
    <col min="8708" max="8708" width="10.6640625" style="7" customWidth="1"/>
    <col min="8709" max="8709" width="14.33203125" style="7" bestFit="1" customWidth="1"/>
    <col min="8710" max="8710" width="15.33203125" style="7" bestFit="1" customWidth="1"/>
    <col min="8711" max="8711" width="17.33203125" style="7" customWidth="1"/>
    <col min="8712" max="8955" width="8.6640625" style="7"/>
    <col min="8956" max="8956" width="3.109375" style="7" bestFit="1" customWidth="1"/>
    <col min="8957" max="8957" width="10.6640625" style="7" customWidth="1"/>
    <col min="8958" max="8958" width="1.44140625" style="7" bestFit="1" customWidth="1"/>
    <col min="8959" max="8959" width="41" style="7" customWidth="1"/>
    <col min="8960" max="8960" width="17.6640625" style="7" bestFit="1" customWidth="1"/>
    <col min="8961" max="8961" width="27" style="7" bestFit="1" customWidth="1"/>
    <col min="8962" max="8962" width="12.44140625" style="7" customWidth="1"/>
    <col min="8963" max="8963" width="11.6640625" style="7" customWidth="1"/>
    <col min="8964" max="8964" width="10.6640625" style="7" customWidth="1"/>
    <col min="8965" max="8965" width="14.33203125" style="7" bestFit="1" customWidth="1"/>
    <col min="8966" max="8966" width="15.33203125" style="7" bestFit="1" customWidth="1"/>
    <col min="8967" max="8967" width="17.33203125" style="7" customWidth="1"/>
    <col min="8968" max="9211" width="8.6640625" style="7"/>
    <col min="9212" max="9212" width="3.109375" style="7" bestFit="1" customWidth="1"/>
    <col min="9213" max="9213" width="10.6640625" style="7" customWidth="1"/>
    <col min="9214" max="9214" width="1.44140625" style="7" bestFit="1" customWidth="1"/>
    <col min="9215" max="9215" width="41" style="7" customWidth="1"/>
    <col min="9216" max="9216" width="17.6640625" style="7" bestFit="1" customWidth="1"/>
    <col min="9217" max="9217" width="27" style="7" bestFit="1" customWidth="1"/>
    <col min="9218" max="9218" width="12.44140625" style="7" customWidth="1"/>
    <col min="9219" max="9219" width="11.6640625" style="7" customWidth="1"/>
    <col min="9220" max="9220" width="10.6640625" style="7" customWidth="1"/>
    <col min="9221" max="9221" width="14.33203125" style="7" bestFit="1" customWidth="1"/>
    <col min="9222" max="9222" width="15.33203125" style="7" bestFit="1" customWidth="1"/>
    <col min="9223" max="9223" width="17.33203125" style="7" customWidth="1"/>
    <col min="9224" max="9467" width="8.6640625" style="7"/>
    <col min="9468" max="9468" width="3.109375" style="7" bestFit="1" customWidth="1"/>
    <col min="9469" max="9469" width="10.6640625" style="7" customWidth="1"/>
    <col min="9470" max="9470" width="1.44140625" style="7" bestFit="1" customWidth="1"/>
    <col min="9471" max="9471" width="41" style="7" customWidth="1"/>
    <col min="9472" max="9472" width="17.6640625" style="7" bestFit="1" customWidth="1"/>
    <col min="9473" max="9473" width="27" style="7" bestFit="1" customWidth="1"/>
    <col min="9474" max="9474" width="12.44140625" style="7" customWidth="1"/>
    <col min="9475" max="9475" width="11.6640625" style="7" customWidth="1"/>
    <col min="9476" max="9476" width="10.6640625" style="7" customWidth="1"/>
    <col min="9477" max="9477" width="14.33203125" style="7" bestFit="1" customWidth="1"/>
    <col min="9478" max="9478" width="15.33203125" style="7" bestFit="1" customWidth="1"/>
    <col min="9479" max="9479" width="17.33203125" style="7" customWidth="1"/>
    <col min="9480" max="9723" width="8.6640625" style="7"/>
    <col min="9724" max="9724" width="3.109375" style="7" bestFit="1" customWidth="1"/>
    <col min="9725" max="9725" width="10.6640625" style="7" customWidth="1"/>
    <col min="9726" max="9726" width="1.44140625" style="7" bestFit="1" customWidth="1"/>
    <col min="9727" max="9727" width="41" style="7" customWidth="1"/>
    <col min="9728" max="9728" width="17.6640625" style="7" bestFit="1" customWidth="1"/>
    <col min="9729" max="9729" width="27" style="7" bestFit="1" customWidth="1"/>
    <col min="9730" max="9730" width="12.44140625" style="7" customWidth="1"/>
    <col min="9731" max="9731" width="11.6640625" style="7" customWidth="1"/>
    <col min="9732" max="9732" width="10.6640625" style="7" customWidth="1"/>
    <col min="9733" max="9733" width="14.33203125" style="7" bestFit="1" customWidth="1"/>
    <col min="9734" max="9734" width="15.33203125" style="7" bestFit="1" customWidth="1"/>
    <col min="9735" max="9735" width="17.33203125" style="7" customWidth="1"/>
    <col min="9736" max="9979" width="8.6640625" style="7"/>
    <col min="9980" max="9980" width="3.109375" style="7" bestFit="1" customWidth="1"/>
    <col min="9981" max="9981" width="10.6640625" style="7" customWidth="1"/>
    <col min="9982" max="9982" width="1.44140625" style="7" bestFit="1" customWidth="1"/>
    <col min="9983" max="9983" width="41" style="7" customWidth="1"/>
    <col min="9984" max="9984" width="17.6640625" style="7" bestFit="1" customWidth="1"/>
    <col min="9985" max="9985" width="27" style="7" bestFit="1" customWidth="1"/>
    <col min="9986" max="9986" width="12.44140625" style="7" customWidth="1"/>
    <col min="9987" max="9987" width="11.6640625" style="7" customWidth="1"/>
    <col min="9988" max="9988" width="10.6640625" style="7" customWidth="1"/>
    <col min="9989" max="9989" width="14.33203125" style="7" bestFit="1" customWidth="1"/>
    <col min="9990" max="9990" width="15.33203125" style="7" bestFit="1" customWidth="1"/>
    <col min="9991" max="9991" width="17.33203125" style="7" customWidth="1"/>
    <col min="9992" max="10235" width="8.6640625" style="7"/>
    <col min="10236" max="10236" width="3.109375" style="7" bestFit="1" customWidth="1"/>
    <col min="10237" max="10237" width="10.6640625" style="7" customWidth="1"/>
    <col min="10238" max="10238" width="1.44140625" style="7" bestFit="1" customWidth="1"/>
    <col min="10239" max="10239" width="41" style="7" customWidth="1"/>
    <col min="10240" max="10240" width="17.6640625" style="7" bestFit="1" customWidth="1"/>
    <col min="10241" max="10241" width="27" style="7" bestFit="1" customWidth="1"/>
    <col min="10242" max="10242" width="12.44140625" style="7" customWidth="1"/>
    <col min="10243" max="10243" width="11.6640625" style="7" customWidth="1"/>
    <col min="10244" max="10244" width="10.6640625" style="7" customWidth="1"/>
    <col min="10245" max="10245" width="14.33203125" style="7" bestFit="1" customWidth="1"/>
    <col min="10246" max="10246" width="15.33203125" style="7" bestFit="1" customWidth="1"/>
    <col min="10247" max="10247" width="17.33203125" style="7" customWidth="1"/>
    <col min="10248" max="10491" width="8.6640625" style="7"/>
    <col min="10492" max="10492" width="3.109375" style="7" bestFit="1" customWidth="1"/>
    <col min="10493" max="10493" width="10.6640625" style="7" customWidth="1"/>
    <col min="10494" max="10494" width="1.44140625" style="7" bestFit="1" customWidth="1"/>
    <col min="10495" max="10495" width="41" style="7" customWidth="1"/>
    <col min="10496" max="10496" width="17.6640625" style="7" bestFit="1" customWidth="1"/>
    <col min="10497" max="10497" width="27" style="7" bestFit="1" customWidth="1"/>
    <col min="10498" max="10498" width="12.44140625" style="7" customWidth="1"/>
    <col min="10499" max="10499" width="11.6640625" style="7" customWidth="1"/>
    <col min="10500" max="10500" width="10.6640625" style="7" customWidth="1"/>
    <col min="10501" max="10501" width="14.33203125" style="7" bestFit="1" customWidth="1"/>
    <col min="10502" max="10502" width="15.33203125" style="7" bestFit="1" customWidth="1"/>
    <col min="10503" max="10503" width="17.33203125" style="7" customWidth="1"/>
    <col min="10504" max="10747" width="8.6640625" style="7"/>
    <col min="10748" max="10748" width="3.109375" style="7" bestFit="1" customWidth="1"/>
    <col min="10749" max="10749" width="10.6640625" style="7" customWidth="1"/>
    <col min="10750" max="10750" width="1.44140625" style="7" bestFit="1" customWidth="1"/>
    <col min="10751" max="10751" width="41" style="7" customWidth="1"/>
    <col min="10752" max="10752" width="17.6640625" style="7" bestFit="1" customWidth="1"/>
    <col min="10753" max="10753" width="27" style="7" bestFit="1" customWidth="1"/>
    <col min="10754" max="10754" width="12.44140625" style="7" customWidth="1"/>
    <col min="10755" max="10755" width="11.6640625" style="7" customWidth="1"/>
    <col min="10756" max="10756" width="10.6640625" style="7" customWidth="1"/>
    <col min="10757" max="10757" width="14.33203125" style="7" bestFit="1" customWidth="1"/>
    <col min="10758" max="10758" width="15.33203125" style="7" bestFit="1" customWidth="1"/>
    <col min="10759" max="10759" width="17.33203125" style="7" customWidth="1"/>
    <col min="10760" max="11003" width="8.6640625" style="7"/>
    <col min="11004" max="11004" width="3.109375" style="7" bestFit="1" customWidth="1"/>
    <col min="11005" max="11005" width="10.6640625" style="7" customWidth="1"/>
    <col min="11006" max="11006" width="1.44140625" style="7" bestFit="1" customWidth="1"/>
    <col min="11007" max="11007" width="41" style="7" customWidth="1"/>
    <col min="11008" max="11008" width="17.6640625" style="7" bestFit="1" customWidth="1"/>
    <col min="11009" max="11009" width="27" style="7" bestFit="1" customWidth="1"/>
    <col min="11010" max="11010" width="12.44140625" style="7" customWidth="1"/>
    <col min="11011" max="11011" width="11.6640625" style="7" customWidth="1"/>
    <col min="11012" max="11012" width="10.6640625" style="7" customWidth="1"/>
    <col min="11013" max="11013" width="14.33203125" style="7" bestFit="1" customWidth="1"/>
    <col min="11014" max="11014" width="15.33203125" style="7" bestFit="1" customWidth="1"/>
    <col min="11015" max="11015" width="17.33203125" style="7" customWidth="1"/>
    <col min="11016" max="11259" width="8.6640625" style="7"/>
    <col min="11260" max="11260" width="3.109375" style="7" bestFit="1" customWidth="1"/>
    <col min="11261" max="11261" width="10.6640625" style="7" customWidth="1"/>
    <col min="11262" max="11262" width="1.44140625" style="7" bestFit="1" customWidth="1"/>
    <col min="11263" max="11263" width="41" style="7" customWidth="1"/>
    <col min="11264" max="11264" width="17.6640625" style="7" bestFit="1" customWidth="1"/>
    <col min="11265" max="11265" width="27" style="7" bestFit="1" customWidth="1"/>
    <col min="11266" max="11266" width="12.44140625" style="7" customWidth="1"/>
    <col min="11267" max="11267" width="11.6640625" style="7" customWidth="1"/>
    <col min="11268" max="11268" width="10.6640625" style="7" customWidth="1"/>
    <col min="11269" max="11269" width="14.33203125" style="7" bestFit="1" customWidth="1"/>
    <col min="11270" max="11270" width="15.33203125" style="7" bestFit="1" customWidth="1"/>
    <col min="11271" max="11271" width="17.33203125" style="7" customWidth="1"/>
    <col min="11272" max="11515" width="8.6640625" style="7"/>
    <col min="11516" max="11516" width="3.109375" style="7" bestFit="1" customWidth="1"/>
    <col min="11517" max="11517" width="10.6640625" style="7" customWidth="1"/>
    <col min="11518" max="11518" width="1.44140625" style="7" bestFit="1" customWidth="1"/>
    <col min="11519" max="11519" width="41" style="7" customWidth="1"/>
    <col min="11520" max="11520" width="17.6640625" style="7" bestFit="1" customWidth="1"/>
    <col min="11521" max="11521" width="27" style="7" bestFit="1" customWidth="1"/>
    <col min="11522" max="11522" width="12.44140625" style="7" customWidth="1"/>
    <col min="11523" max="11523" width="11.6640625" style="7" customWidth="1"/>
    <col min="11524" max="11524" width="10.6640625" style="7" customWidth="1"/>
    <col min="11525" max="11525" width="14.33203125" style="7" bestFit="1" customWidth="1"/>
    <col min="11526" max="11526" width="15.33203125" style="7" bestFit="1" customWidth="1"/>
    <col min="11527" max="11527" width="17.33203125" style="7" customWidth="1"/>
    <col min="11528" max="11771" width="8.6640625" style="7"/>
    <col min="11772" max="11772" width="3.109375" style="7" bestFit="1" customWidth="1"/>
    <col min="11773" max="11773" width="10.6640625" style="7" customWidth="1"/>
    <col min="11774" max="11774" width="1.44140625" style="7" bestFit="1" customWidth="1"/>
    <col min="11775" max="11775" width="41" style="7" customWidth="1"/>
    <col min="11776" max="11776" width="17.6640625" style="7" bestFit="1" customWidth="1"/>
    <col min="11777" max="11777" width="27" style="7" bestFit="1" customWidth="1"/>
    <col min="11778" max="11778" width="12.44140625" style="7" customWidth="1"/>
    <col min="11779" max="11779" width="11.6640625" style="7" customWidth="1"/>
    <col min="11780" max="11780" width="10.6640625" style="7" customWidth="1"/>
    <col min="11781" max="11781" width="14.33203125" style="7" bestFit="1" customWidth="1"/>
    <col min="11782" max="11782" width="15.33203125" style="7" bestFit="1" customWidth="1"/>
    <col min="11783" max="11783" width="17.33203125" style="7" customWidth="1"/>
    <col min="11784" max="12027" width="8.6640625" style="7"/>
    <col min="12028" max="12028" width="3.109375" style="7" bestFit="1" customWidth="1"/>
    <col min="12029" max="12029" width="10.6640625" style="7" customWidth="1"/>
    <col min="12030" max="12030" width="1.44140625" style="7" bestFit="1" customWidth="1"/>
    <col min="12031" max="12031" width="41" style="7" customWidth="1"/>
    <col min="12032" max="12032" width="17.6640625" style="7" bestFit="1" customWidth="1"/>
    <col min="12033" max="12033" width="27" style="7" bestFit="1" customWidth="1"/>
    <col min="12034" max="12034" width="12.44140625" style="7" customWidth="1"/>
    <col min="12035" max="12035" width="11.6640625" style="7" customWidth="1"/>
    <col min="12036" max="12036" width="10.6640625" style="7" customWidth="1"/>
    <col min="12037" max="12037" width="14.33203125" style="7" bestFit="1" customWidth="1"/>
    <col min="12038" max="12038" width="15.33203125" style="7" bestFit="1" customWidth="1"/>
    <col min="12039" max="12039" width="17.33203125" style="7" customWidth="1"/>
    <col min="12040" max="12283" width="8.6640625" style="7"/>
    <col min="12284" max="12284" width="3.109375" style="7" bestFit="1" customWidth="1"/>
    <col min="12285" max="12285" width="10.6640625" style="7" customWidth="1"/>
    <col min="12286" max="12286" width="1.44140625" style="7" bestFit="1" customWidth="1"/>
    <col min="12287" max="12287" width="41" style="7" customWidth="1"/>
    <col min="12288" max="12288" width="17.6640625" style="7" bestFit="1" customWidth="1"/>
    <col min="12289" max="12289" width="27" style="7" bestFit="1" customWidth="1"/>
    <col min="12290" max="12290" width="12.44140625" style="7" customWidth="1"/>
    <col min="12291" max="12291" width="11.6640625" style="7" customWidth="1"/>
    <col min="12292" max="12292" width="10.6640625" style="7" customWidth="1"/>
    <col min="12293" max="12293" width="14.33203125" style="7" bestFit="1" customWidth="1"/>
    <col min="12294" max="12294" width="15.33203125" style="7" bestFit="1" customWidth="1"/>
    <col min="12295" max="12295" width="17.33203125" style="7" customWidth="1"/>
    <col min="12296" max="12539" width="8.6640625" style="7"/>
    <col min="12540" max="12540" width="3.109375" style="7" bestFit="1" customWidth="1"/>
    <col min="12541" max="12541" width="10.6640625" style="7" customWidth="1"/>
    <col min="12542" max="12542" width="1.44140625" style="7" bestFit="1" customWidth="1"/>
    <col min="12543" max="12543" width="41" style="7" customWidth="1"/>
    <col min="12544" max="12544" width="17.6640625" style="7" bestFit="1" customWidth="1"/>
    <col min="12545" max="12545" width="27" style="7" bestFit="1" customWidth="1"/>
    <col min="12546" max="12546" width="12.44140625" style="7" customWidth="1"/>
    <col min="12547" max="12547" width="11.6640625" style="7" customWidth="1"/>
    <col min="12548" max="12548" width="10.6640625" style="7" customWidth="1"/>
    <col min="12549" max="12549" width="14.33203125" style="7" bestFit="1" customWidth="1"/>
    <col min="12550" max="12550" width="15.33203125" style="7" bestFit="1" customWidth="1"/>
    <col min="12551" max="12551" width="17.33203125" style="7" customWidth="1"/>
    <col min="12552" max="12795" width="8.6640625" style="7"/>
    <col min="12796" max="12796" width="3.109375" style="7" bestFit="1" customWidth="1"/>
    <col min="12797" max="12797" width="10.6640625" style="7" customWidth="1"/>
    <col min="12798" max="12798" width="1.44140625" style="7" bestFit="1" customWidth="1"/>
    <col min="12799" max="12799" width="41" style="7" customWidth="1"/>
    <col min="12800" max="12800" width="17.6640625" style="7" bestFit="1" customWidth="1"/>
    <col min="12801" max="12801" width="27" style="7" bestFit="1" customWidth="1"/>
    <col min="12802" max="12802" width="12.44140625" style="7" customWidth="1"/>
    <col min="12803" max="12803" width="11.6640625" style="7" customWidth="1"/>
    <col min="12804" max="12804" width="10.6640625" style="7" customWidth="1"/>
    <col min="12805" max="12805" width="14.33203125" style="7" bestFit="1" customWidth="1"/>
    <col min="12806" max="12806" width="15.33203125" style="7" bestFit="1" customWidth="1"/>
    <col min="12807" max="12807" width="17.33203125" style="7" customWidth="1"/>
    <col min="12808" max="13051" width="8.6640625" style="7"/>
    <col min="13052" max="13052" width="3.109375" style="7" bestFit="1" customWidth="1"/>
    <col min="13053" max="13053" width="10.6640625" style="7" customWidth="1"/>
    <col min="13054" max="13054" width="1.44140625" style="7" bestFit="1" customWidth="1"/>
    <col min="13055" max="13055" width="41" style="7" customWidth="1"/>
    <col min="13056" max="13056" width="17.6640625" style="7" bestFit="1" customWidth="1"/>
    <col min="13057" max="13057" width="27" style="7" bestFit="1" customWidth="1"/>
    <col min="13058" max="13058" width="12.44140625" style="7" customWidth="1"/>
    <col min="13059" max="13059" width="11.6640625" style="7" customWidth="1"/>
    <col min="13060" max="13060" width="10.6640625" style="7" customWidth="1"/>
    <col min="13061" max="13061" width="14.33203125" style="7" bestFit="1" customWidth="1"/>
    <col min="13062" max="13062" width="15.33203125" style="7" bestFit="1" customWidth="1"/>
    <col min="13063" max="13063" width="17.33203125" style="7" customWidth="1"/>
    <col min="13064" max="13307" width="8.6640625" style="7"/>
    <col min="13308" max="13308" width="3.109375" style="7" bestFit="1" customWidth="1"/>
    <col min="13309" max="13309" width="10.6640625" style="7" customWidth="1"/>
    <col min="13310" max="13310" width="1.44140625" style="7" bestFit="1" customWidth="1"/>
    <col min="13311" max="13311" width="41" style="7" customWidth="1"/>
    <col min="13312" max="13312" width="17.6640625" style="7" bestFit="1" customWidth="1"/>
    <col min="13313" max="13313" width="27" style="7" bestFit="1" customWidth="1"/>
    <col min="13314" max="13314" width="12.44140625" style="7" customWidth="1"/>
    <col min="13315" max="13315" width="11.6640625" style="7" customWidth="1"/>
    <col min="13316" max="13316" width="10.6640625" style="7" customWidth="1"/>
    <col min="13317" max="13317" width="14.33203125" style="7" bestFit="1" customWidth="1"/>
    <col min="13318" max="13318" width="15.33203125" style="7" bestFit="1" customWidth="1"/>
    <col min="13319" max="13319" width="17.33203125" style="7" customWidth="1"/>
    <col min="13320" max="13563" width="8.6640625" style="7"/>
    <col min="13564" max="13564" width="3.109375" style="7" bestFit="1" customWidth="1"/>
    <col min="13565" max="13565" width="10.6640625" style="7" customWidth="1"/>
    <col min="13566" max="13566" width="1.44140625" style="7" bestFit="1" customWidth="1"/>
    <col min="13567" max="13567" width="41" style="7" customWidth="1"/>
    <col min="13568" max="13568" width="17.6640625" style="7" bestFit="1" customWidth="1"/>
    <col min="13569" max="13569" width="27" style="7" bestFit="1" customWidth="1"/>
    <col min="13570" max="13570" width="12.44140625" style="7" customWidth="1"/>
    <col min="13571" max="13571" width="11.6640625" style="7" customWidth="1"/>
    <col min="13572" max="13572" width="10.6640625" style="7" customWidth="1"/>
    <col min="13573" max="13573" width="14.33203125" style="7" bestFit="1" customWidth="1"/>
    <col min="13574" max="13574" width="15.33203125" style="7" bestFit="1" customWidth="1"/>
    <col min="13575" max="13575" width="17.33203125" style="7" customWidth="1"/>
    <col min="13576" max="13819" width="8.6640625" style="7"/>
    <col min="13820" max="13820" width="3.109375" style="7" bestFit="1" customWidth="1"/>
    <col min="13821" max="13821" width="10.6640625" style="7" customWidth="1"/>
    <col min="13822" max="13822" width="1.44140625" style="7" bestFit="1" customWidth="1"/>
    <col min="13823" max="13823" width="41" style="7" customWidth="1"/>
    <col min="13824" max="13824" width="17.6640625" style="7" bestFit="1" customWidth="1"/>
    <col min="13825" max="13825" width="27" style="7" bestFit="1" customWidth="1"/>
    <col min="13826" max="13826" width="12.44140625" style="7" customWidth="1"/>
    <col min="13827" max="13827" width="11.6640625" style="7" customWidth="1"/>
    <col min="13828" max="13828" width="10.6640625" style="7" customWidth="1"/>
    <col min="13829" max="13829" width="14.33203125" style="7" bestFit="1" customWidth="1"/>
    <col min="13830" max="13830" width="15.33203125" style="7" bestFit="1" customWidth="1"/>
    <col min="13831" max="13831" width="17.33203125" style="7" customWidth="1"/>
    <col min="13832" max="14075" width="8.6640625" style="7"/>
    <col min="14076" max="14076" width="3.109375" style="7" bestFit="1" customWidth="1"/>
    <col min="14077" max="14077" width="10.6640625" style="7" customWidth="1"/>
    <col min="14078" max="14078" width="1.44140625" style="7" bestFit="1" customWidth="1"/>
    <col min="14079" max="14079" width="41" style="7" customWidth="1"/>
    <col min="14080" max="14080" width="17.6640625" style="7" bestFit="1" customWidth="1"/>
    <col min="14081" max="14081" width="27" style="7" bestFit="1" customWidth="1"/>
    <col min="14082" max="14082" width="12.44140625" style="7" customWidth="1"/>
    <col min="14083" max="14083" width="11.6640625" style="7" customWidth="1"/>
    <col min="14084" max="14084" width="10.6640625" style="7" customWidth="1"/>
    <col min="14085" max="14085" width="14.33203125" style="7" bestFit="1" customWidth="1"/>
    <col min="14086" max="14086" width="15.33203125" style="7" bestFit="1" customWidth="1"/>
    <col min="14087" max="14087" width="17.33203125" style="7" customWidth="1"/>
    <col min="14088" max="14331" width="8.6640625" style="7"/>
    <col min="14332" max="14332" width="3.109375" style="7" bestFit="1" customWidth="1"/>
    <col min="14333" max="14333" width="10.6640625" style="7" customWidth="1"/>
    <col min="14334" max="14334" width="1.44140625" style="7" bestFit="1" customWidth="1"/>
    <col min="14335" max="14335" width="41" style="7" customWidth="1"/>
    <col min="14336" max="14336" width="17.6640625" style="7" bestFit="1" customWidth="1"/>
    <col min="14337" max="14337" width="27" style="7" bestFit="1" customWidth="1"/>
    <col min="14338" max="14338" width="12.44140625" style="7" customWidth="1"/>
    <col min="14339" max="14339" width="11.6640625" style="7" customWidth="1"/>
    <col min="14340" max="14340" width="10.6640625" style="7" customWidth="1"/>
    <col min="14341" max="14341" width="14.33203125" style="7" bestFit="1" customWidth="1"/>
    <col min="14342" max="14342" width="15.33203125" style="7" bestFit="1" customWidth="1"/>
    <col min="14343" max="14343" width="17.33203125" style="7" customWidth="1"/>
    <col min="14344" max="14587" width="8.6640625" style="7"/>
    <col min="14588" max="14588" width="3.109375" style="7" bestFit="1" customWidth="1"/>
    <col min="14589" max="14589" width="10.6640625" style="7" customWidth="1"/>
    <col min="14590" max="14590" width="1.44140625" style="7" bestFit="1" customWidth="1"/>
    <col min="14591" max="14591" width="41" style="7" customWidth="1"/>
    <col min="14592" max="14592" width="17.6640625" style="7" bestFit="1" customWidth="1"/>
    <col min="14593" max="14593" width="27" style="7" bestFit="1" customWidth="1"/>
    <col min="14594" max="14594" width="12.44140625" style="7" customWidth="1"/>
    <col min="14595" max="14595" width="11.6640625" style="7" customWidth="1"/>
    <col min="14596" max="14596" width="10.6640625" style="7" customWidth="1"/>
    <col min="14597" max="14597" width="14.33203125" style="7" bestFit="1" customWidth="1"/>
    <col min="14598" max="14598" width="15.33203125" style="7" bestFit="1" customWidth="1"/>
    <col min="14599" max="14599" width="17.33203125" style="7" customWidth="1"/>
    <col min="14600" max="14843" width="8.6640625" style="7"/>
    <col min="14844" max="14844" width="3.109375" style="7" bestFit="1" customWidth="1"/>
    <col min="14845" max="14845" width="10.6640625" style="7" customWidth="1"/>
    <col min="14846" max="14846" width="1.44140625" style="7" bestFit="1" customWidth="1"/>
    <col min="14847" max="14847" width="41" style="7" customWidth="1"/>
    <col min="14848" max="14848" width="17.6640625" style="7" bestFit="1" customWidth="1"/>
    <col min="14849" max="14849" width="27" style="7" bestFit="1" customWidth="1"/>
    <col min="14850" max="14850" width="12.44140625" style="7" customWidth="1"/>
    <col min="14851" max="14851" width="11.6640625" style="7" customWidth="1"/>
    <col min="14852" max="14852" width="10.6640625" style="7" customWidth="1"/>
    <col min="14853" max="14853" width="14.33203125" style="7" bestFit="1" customWidth="1"/>
    <col min="14854" max="14854" width="15.33203125" style="7" bestFit="1" customWidth="1"/>
    <col min="14855" max="14855" width="17.33203125" style="7" customWidth="1"/>
    <col min="14856" max="15099" width="8.6640625" style="7"/>
    <col min="15100" max="15100" width="3.109375" style="7" bestFit="1" customWidth="1"/>
    <col min="15101" max="15101" width="10.6640625" style="7" customWidth="1"/>
    <col min="15102" max="15102" width="1.44140625" style="7" bestFit="1" customWidth="1"/>
    <col min="15103" max="15103" width="41" style="7" customWidth="1"/>
    <col min="15104" max="15104" width="17.6640625" style="7" bestFit="1" customWidth="1"/>
    <col min="15105" max="15105" width="27" style="7" bestFit="1" customWidth="1"/>
    <col min="15106" max="15106" width="12.44140625" style="7" customWidth="1"/>
    <col min="15107" max="15107" width="11.6640625" style="7" customWidth="1"/>
    <col min="15108" max="15108" width="10.6640625" style="7" customWidth="1"/>
    <col min="15109" max="15109" width="14.33203125" style="7" bestFit="1" customWidth="1"/>
    <col min="15110" max="15110" width="15.33203125" style="7" bestFit="1" customWidth="1"/>
    <col min="15111" max="15111" width="17.33203125" style="7" customWidth="1"/>
    <col min="15112" max="15355" width="8.6640625" style="7"/>
    <col min="15356" max="15356" width="3.109375" style="7" bestFit="1" customWidth="1"/>
    <col min="15357" max="15357" width="10.6640625" style="7" customWidth="1"/>
    <col min="15358" max="15358" width="1.44140625" style="7" bestFit="1" customWidth="1"/>
    <col min="15359" max="15359" width="41" style="7" customWidth="1"/>
    <col min="15360" max="15360" width="17.6640625" style="7" bestFit="1" customWidth="1"/>
    <col min="15361" max="15361" width="27" style="7" bestFit="1" customWidth="1"/>
    <col min="15362" max="15362" width="12.44140625" style="7" customWidth="1"/>
    <col min="15363" max="15363" width="11.6640625" style="7" customWidth="1"/>
    <col min="15364" max="15364" width="10.6640625" style="7" customWidth="1"/>
    <col min="15365" max="15365" width="14.33203125" style="7" bestFit="1" customWidth="1"/>
    <col min="15366" max="15366" width="15.33203125" style="7" bestFit="1" customWidth="1"/>
    <col min="15367" max="15367" width="17.33203125" style="7" customWidth="1"/>
    <col min="15368" max="15611" width="8.6640625" style="7"/>
    <col min="15612" max="15612" width="3.109375" style="7" bestFit="1" customWidth="1"/>
    <col min="15613" max="15613" width="10.6640625" style="7" customWidth="1"/>
    <col min="15614" max="15614" width="1.44140625" style="7" bestFit="1" customWidth="1"/>
    <col min="15615" max="15615" width="41" style="7" customWidth="1"/>
    <col min="15616" max="15616" width="17.6640625" style="7" bestFit="1" customWidth="1"/>
    <col min="15617" max="15617" width="27" style="7" bestFit="1" customWidth="1"/>
    <col min="15618" max="15618" width="12.44140625" style="7" customWidth="1"/>
    <col min="15619" max="15619" width="11.6640625" style="7" customWidth="1"/>
    <col min="15620" max="15620" width="10.6640625" style="7" customWidth="1"/>
    <col min="15621" max="15621" width="14.33203125" style="7" bestFit="1" customWidth="1"/>
    <col min="15622" max="15622" width="15.33203125" style="7" bestFit="1" customWidth="1"/>
    <col min="15623" max="15623" width="17.33203125" style="7" customWidth="1"/>
    <col min="15624" max="15867" width="8.6640625" style="7"/>
    <col min="15868" max="15868" width="3.109375" style="7" bestFit="1" customWidth="1"/>
    <col min="15869" max="15869" width="10.6640625" style="7" customWidth="1"/>
    <col min="15870" max="15870" width="1.44140625" style="7" bestFit="1" customWidth="1"/>
    <col min="15871" max="15871" width="41" style="7" customWidth="1"/>
    <col min="15872" max="15872" width="17.6640625" style="7" bestFit="1" customWidth="1"/>
    <col min="15873" max="15873" width="27" style="7" bestFit="1" customWidth="1"/>
    <col min="15874" max="15874" width="12.44140625" style="7" customWidth="1"/>
    <col min="15875" max="15875" width="11.6640625" style="7" customWidth="1"/>
    <col min="15876" max="15876" width="10.6640625" style="7" customWidth="1"/>
    <col min="15877" max="15877" width="14.33203125" style="7" bestFit="1" customWidth="1"/>
    <col min="15878" max="15878" width="15.33203125" style="7" bestFit="1" customWidth="1"/>
    <col min="15879" max="15879" width="17.33203125" style="7" customWidth="1"/>
    <col min="15880" max="16123" width="8.6640625" style="7"/>
    <col min="16124" max="16124" width="3.109375" style="7" bestFit="1" customWidth="1"/>
    <col min="16125" max="16125" width="10.6640625" style="7" customWidth="1"/>
    <col min="16126" max="16126" width="1.44140625" style="7" bestFit="1" customWidth="1"/>
    <col min="16127" max="16127" width="41" style="7" customWidth="1"/>
    <col min="16128" max="16128" width="17.6640625" style="7" bestFit="1" customWidth="1"/>
    <col min="16129" max="16129" width="27" style="7" bestFit="1" customWidth="1"/>
    <col min="16130" max="16130" width="12.44140625" style="7" customWidth="1"/>
    <col min="16131" max="16131" width="11.6640625" style="7" customWidth="1"/>
    <col min="16132" max="16132" width="10.6640625" style="7" customWidth="1"/>
    <col min="16133" max="16133" width="14.33203125" style="7" bestFit="1" customWidth="1"/>
    <col min="16134" max="16134" width="15.33203125" style="7" bestFit="1" customWidth="1"/>
    <col min="16135" max="16135" width="17.33203125" style="7" customWidth="1"/>
    <col min="16136" max="16384" width="8.6640625" style="7"/>
  </cols>
  <sheetData>
    <row r="1" spans="1:13" s="24" customFormat="1" ht="20.25" customHeight="1">
      <c r="A1" s="21" t="s">
        <v>130</v>
      </c>
      <c r="B1" s="22"/>
      <c r="C1" s="23"/>
      <c r="F1" s="25"/>
      <c r="G1" s="25"/>
      <c r="H1" s="25"/>
      <c r="I1" s="25"/>
      <c r="J1" s="26"/>
    </row>
    <row r="2" spans="1:13" s="24" customFormat="1" ht="20.25" customHeight="1">
      <c r="A2" s="6" t="s">
        <v>129</v>
      </c>
      <c r="B2" s="22"/>
      <c r="C2" s="23"/>
      <c r="F2" s="25"/>
      <c r="G2" s="25"/>
      <c r="H2" s="25"/>
      <c r="I2" s="25"/>
      <c r="J2" s="26"/>
    </row>
    <row r="3" spans="1:13" s="24" customFormat="1" ht="20.25" customHeight="1">
      <c r="A3" s="6" t="s">
        <v>128</v>
      </c>
      <c r="B3" s="22"/>
      <c r="C3" s="23"/>
      <c r="F3" s="25"/>
      <c r="G3" s="25"/>
      <c r="H3" s="25"/>
      <c r="I3" s="25"/>
      <c r="J3" s="26"/>
    </row>
    <row r="4" spans="1:13" s="24" customFormat="1" ht="20.25" customHeight="1">
      <c r="A4" s="6" t="s">
        <v>127</v>
      </c>
      <c r="B4" s="22"/>
      <c r="C4" s="23"/>
      <c r="D4" s="22"/>
      <c r="E4" s="22"/>
      <c r="F4" s="25"/>
      <c r="G4" s="25"/>
      <c r="H4" s="25"/>
      <c r="I4" s="25"/>
      <c r="J4" s="26"/>
    </row>
    <row r="5" spans="1:13" s="3" customFormat="1" ht="18.75" customHeight="1">
      <c r="A5" s="6" t="s">
        <v>159</v>
      </c>
      <c r="B5" s="1"/>
      <c r="C5" s="2"/>
      <c r="D5" s="1"/>
      <c r="E5" s="1"/>
      <c r="F5" s="4"/>
      <c r="G5" s="4"/>
      <c r="H5" s="4"/>
      <c r="I5" s="4"/>
      <c r="J5" s="5"/>
    </row>
    <row r="6" spans="1:13" ht="19.95" customHeight="1">
      <c r="A6" s="20" t="s">
        <v>131</v>
      </c>
      <c r="B6" s="8"/>
      <c r="D6" s="8"/>
      <c r="E6" s="8"/>
      <c r="F6" s="10"/>
      <c r="G6" s="10"/>
      <c r="H6" s="10"/>
      <c r="I6" s="10"/>
      <c r="J6" s="11"/>
      <c r="K6" s="10"/>
    </row>
    <row r="7" spans="1:13" ht="3.45" customHeight="1" thickBot="1">
      <c r="A7" s="20"/>
      <c r="B7" s="8"/>
      <c r="D7" s="8"/>
      <c r="E7" s="8"/>
      <c r="F7" s="10"/>
      <c r="G7" s="10"/>
      <c r="H7" s="10"/>
      <c r="I7" s="10"/>
      <c r="J7" s="11"/>
      <c r="K7" s="10"/>
    </row>
    <row r="8" spans="1:13" ht="5.25" customHeight="1" thickBot="1"/>
    <row r="9" spans="1:13" s="15" customFormat="1" ht="24.75" customHeight="1">
      <c r="A9" s="952" t="s">
        <v>1</v>
      </c>
      <c r="B9" s="955" t="s">
        <v>2</v>
      </c>
      <c r="C9" s="958" t="s">
        <v>3</v>
      </c>
      <c r="D9" s="959"/>
      <c r="E9" s="959"/>
      <c r="F9" s="960"/>
      <c r="G9" s="964" t="s">
        <v>4</v>
      </c>
      <c r="H9" s="965"/>
      <c r="I9" s="965"/>
      <c r="J9" s="965"/>
      <c r="K9" s="965"/>
      <c r="L9" s="965"/>
      <c r="M9" s="966"/>
    </row>
    <row r="10" spans="1:13" s="16" customFormat="1" ht="15" customHeight="1">
      <c r="A10" s="953"/>
      <c r="B10" s="956"/>
      <c r="C10" s="961"/>
      <c r="D10" s="962"/>
      <c r="E10" s="962"/>
      <c r="F10" s="963"/>
      <c r="G10" s="946" t="s">
        <v>5</v>
      </c>
      <c r="H10" s="946"/>
      <c r="I10" s="946"/>
      <c r="J10" s="947" t="s">
        <v>6</v>
      </c>
      <c r="K10" s="949" t="s">
        <v>7</v>
      </c>
      <c r="L10" s="950"/>
      <c r="M10" s="951"/>
    </row>
    <row r="11" spans="1:13" s="17" customFormat="1" ht="69.45" customHeight="1">
      <c r="A11" s="954"/>
      <c r="B11" s="957"/>
      <c r="C11" s="166" t="s">
        <v>8</v>
      </c>
      <c r="D11" s="167" t="s">
        <v>9</v>
      </c>
      <c r="E11" s="168" t="s">
        <v>10</v>
      </c>
      <c r="F11" s="169" t="s">
        <v>11</v>
      </c>
      <c r="G11" s="169" t="s">
        <v>12</v>
      </c>
      <c r="H11" s="169" t="s">
        <v>68</v>
      </c>
      <c r="I11" s="169" t="s">
        <v>13</v>
      </c>
      <c r="J11" s="948"/>
      <c r="K11" s="169" t="s">
        <v>12</v>
      </c>
      <c r="L11" s="169" t="s">
        <v>738</v>
      </c>
      <c r="M11" s="170" t="s">
        <v>14</v>
      </c>
    </row>
    <row r="12" spans="1:13" s="165" customFormat="1" ht="4.2" customHeight="1">
      <c r="A12" s="171"/>
      <c r="B12" s="172"/>
      <c r="C12" s="173"/>
      <c r="D12" s="172"/>
      <c r="E12" s="174"/>
      <c r="F12" s="175"/>
      <c r="G12" s="175"/>
      <c r="H12" s="175"/>
      <c r="I12" s="175"/>
      <c r="J12" s="176"/>
      <c r="K12" s="175"/>
      <c r="L12" s="175"/>
      <c r="M12" s="177"/>
    </row>
    <row r="13" spans="1:13" s="3" customFormat="1" ht="4.2" customHeight="1">
      <c r="A13" s="178"/>
      <c r="B13" s="179"/>
      <c r="C13" s="180"/>
      <c r="D13" s="181"/>
      <c r="E13" s="182"/>
      <c r="F13" s="183"/>
      <c r="G13" s="183"/>
      <c r="H13" s="183"/>
      <c r="I13" s="183"/>
      <c r="J13" s="184"/>
      <c r="K13" s="185"/>
      <c r="L13" s="186"/>
      <c r="M13" s="187"/>
    </row>
    <row r="14" spans="1:13" s="3" customFormat="1" ht="34.200000000000003" customHeight="1">
      <c r="A14" s="188" t="s">
        <v>0</v>
      </c>
      <c r="B14" s="189" t="s">
        <v>15</v>
      </c>
      <c r="C14" s="190"/>
      <c r="D14" s="191"/>
      <c r="E14" s="192"/>
      <c r="F14" s="193"/>
      <c r="G14" s="192"/>
      <c r="H14" s="192"/>
      <c r="I14" s="192"/>
      <c r="J14" s="194"/>
      <c r="K14" s="195"/>
      <c r="L14" s="195"/>
      <c r="M14" s="187"/>
    </row>
    <row r="15" spans="1:13" s="18" customFormat="1" ht="27" customHeight="1">
      <c r="A15" s="188"/>
      <c r="B15" s="189" t="s">
        <v>21</v>
      </c>
      <c r="C15" s="196"/>
      <c r="D15" s="191"/>
      <c r="E15" s="197"/>
      <c r="F15" s="193"/>
      <c r="G15" s="198"/>
      <c r="H15" s="199"/>
      <c r="I15" s="198"/>
      <c r="J15" s="194"/>
      <c r="K15" s="195"/>
      <c r="L15" s="195"/>
      <c r="M15" s="200"/>
    </row>
    <row r="16" spans="1:13" s="18" customFormat="1" ht="27.45" customHeight="1">
      <c r="A16" s="201" t="s">
        <v>22</v>
      </c>
      <c r="B16" s="202" t="s">
        <v>49</v>
      </c>
      <c r="C16" s="196">
        <v>65</v>
      </c>
      <c r="D16" s="191" t="s">
        <v>16</v>
      </c>
      <c r="E16" s="192">
        <v>36</v>
      </c>
      <c r="F16" s="193">
        <f>C16*E16</f>
        <v>2340</v>
      </c>
      <c r="G16" s="192"/>
      <c r="H16" s="199">
        <v>0</v>
      </c>
      <c r="I16" s="203">
        <f>H16+G16</f>
        <v>0</v>
      </c>
      <c r="J16" s="194">
        <f>I16/C16</f>
        <v>0</v>
      </c>
      <c r="K16" s="195">
        <f>G16*E16</f>
        <v>0</v>
      </c>
      <c r="L16" s="195">
        <f>H16*E16</f>
        <v>0</v>
      </c>
      <c r="M16" s="200">
        <f>L16+K16</f>
        <v>0</v>
      </c>
    </row>
    <row r="17" spans="1:13" s="18" customFormat="1" ht="17.55" customHeight="1">
      <c r="A17" s="201"/>
      <c r="B17" s="204"/>
      <c r="C17" s="196">
        <v>310</v>
      </c>
      <c r="D17" s="191" t="s">
        <v>64</v>
      </c>
      <c r="E17" s="197">
        <v>18</v>
      </c>
      <c r="F17" s="193">
        <f>C17*E17</f>
        <v>5580</v>
      </c>
      <c r="G17" s="198"/>
      <c r="H17" s="199"/>
      <c r="I17" s="203"/>
      <c r="J17" s="194"/>
      <c r="K17" s="195"/>
      <c r="L17" s="195"/>
      <c r="M17" s="200"/>
    </row>
    <row r="18" spans="1:13" s="18" customFormat="1" ht="37.200000000000003" customHeight="1">
      <c r="A18" s="201" t="s">
        <v>23</v>
      </c>
      <c r="B18" s="202" t="s">
        <v>59</v>
      </c>
      <c r="C18" s="196">
        <v>10</v>
      </c>
      <c r="D18" s="191" t="s">
        <v>16</v>
      </c>
      <c r="E18" s="192">
        <v>14</v>
      </c>
      <c r="F18" s="193">
        <v>0</v>
      </c>
      <c r="G18" s="192"/>
      <c r="H18" s="199"/>
      <c r="I18" s="203">
        <f>H18+G18</f>
        <v>0</v>
      </c>
      <c r="J18" s="194">
        <f>I18/C18</f>
        <v>0</v>
      </c>
      <c r="K18" s="195">
        <f>G18*E18</f>
        <v>0</v>
      </c>
      <c r="L18" s="195">
        <f>H18*E18</f>
        <v>0</v>
      </c>
      <c r="M18" s="200">
        <f>L18+K18</f>
        <v>0</v>
      </c>
    </row>
    <row r="19" spans="1:13" s="18" customFormat="1" ht="12" customHeight="1">
      <c r="A19" s="201"/>
      <c r="B19" s="202"/>
      <c r="C19" s="196"/>
      <c r="D19" s="191"/>
      <c r="E19" s="192"/>
      <c r="F19" s="193"/>
      <c r="G19" s="192"/>
      <c r="H19" s="199"/>
      <c r="I19" s="203"/>
      <c r="J19" s="194"/>
      <c r="K19" s="195"/>
      <c r="L19" s="195"/>
      <c r="M19" s="200"/>
    </row>
    <row r="20" spans="1:13" s="18" customFormat="1" ht="35.549999999999997" customHeight="1">
      <c r="A20" s="201" t="s">
        <v>24</v>
      </c>
      <c r="B20" s="202" t="s">
        <v>57</v>
      </c>
      <c r="C20" s="196">
        <v>6677</v>
      </c>
      <c r="D20" s="191" t="s">
        <v>16</v>
      </c>
      <c r="E20" s="192">
        <v>14</v>
      </c>
      <c r="F20" s="193">
        <v>0</v>
      </c>
      <c r="G20" s="192">
        <v>0</v>
      </c>
      <c r="H20" s="199">
        <v>0</v>
      </c>
      <c r="I20" s="203">
        <f>H20+G20</f>
        <v>0</v>
      </c>
      <c r="J20" s="194">
        <f>I20/C20</f>
        <v>0</v>
      </c>
      <c r="K20" s="195">
        <f>G20*E20</f>
        <v>0</v>
      </c>
      <c r="L20" s="195">
        <f>H20*E20</f>
        <v>0</v>
      </c>
      <c r="M20" s="200">
        <f>L20+K20</f>
        <v>0</v>
      </c>
    </row>
    <row r="21" spans="1:13" s="18" customFormat="1" ht="11.55" customHeight="1">
      <c r="A21" s="201"/>
      <c r="B21" s="202"/>
      <c r="C21" s="196"/>
      <c r="D21" s="191"/>
      <c r="E21" s="192"/>
      <c r="F21" s="193"/>
      <c r="G21" s="198"/>
      <c r="H21" s="199"/>
      <c r="I21" s="203"/>
      <c r="J21" s="194"/>
      <c r="K21" s="195"/>
      <c r="L21" s="195"/>
      <c r="M21" s="200"/>
    </row>
    <row r="22" spans="1:13" s="18" customFormat="1" ht="19.95" customHeight="1">
      <c r="A22" s="188" t="s">
        <v>25</v>
      </c>
      <c r="B22" s="189" t="s">
        <v>17</v>
      </c>
      <c r="C22" s="196" t="s">
        <v>0</v>
      </c>
      <c r="D22" s="191"/>
      <c r="E22" s="192"/>
      <c r="F22" s="193"/>
      <c r="G22" s="198"/>
      <c r="H22" s="199"/>
      <c r="I22" s="203"/>
      <c r="J22" s="194"/>
      <c r="K22" s="195"/>
      <c r="L22" s="195"/>
      <c r="M22" s="200"/>
    </row>
    <row r="23" spans="1:13" s="18" customFormat="1" ht="12" customHeight="1">
      <c r="A23" s="201" t="s">
        <v>0</v>
      </c>
      <c r="B23" s="202"/>
      <c r="C23" s="196"/>
      <c r="D23" s="191"/>
      <c r="E23" s="192"/>
      <c r="F23" s="193"/>
      <c r="G23" s="198"/>
      <c r="H23" s="199"/>
      <c r="I23" s="203"/>
      <c r="J23" s="194"/>
      <c r="K23" s="195"/>
      <c r="L23" s="195"/>
      <c r="M23" s="200"/>
    </row>
    <row r="24" spans="1:13" s="18" customFormat="1" ht="25.2" customHeight="1">
      <c r="A24" s="201" t="s">
        <v>26</v>
      </c>
      <c r="B24" s="202" t="s">
        <v>18</v>
      </c>
      <c r="C24" s="196">
        <v>84</v>
      </c>
      <c r="D24" s="191" t="s">
        <v>19</v>
      </c>
      <c r="E24" s="192">
        <v>14</v>
      </c>
      <c r="F24" s="193">
        <f>C24*E24</f>
        <v>1176</v>
      </c>
      <c r="G24" s="198">
        <v>0</v>
      </c>
      <c r="H24" s="199">
        <v>0</v>
      </c>
      <c r="I24" s="203">
        <f>H24+G24</f>
        <v>0</v>
      </c>
      <c r="J24" s="194">
        <f>I24/C24</f>
        <v>0</v>
      </c>
      <c r="K24" s="195">
        <f>G24*E24</f>
        <v>0</v>
      </c>
      <c r="L24" s="195">
        <f>H24*E24</f>
        <v>0</v>
      </c>
      <c r="M24" s="200">
        <f>L24+K24</f>
        <v>0</v>
      </c>
    </row>
    <row r="25" spans="1:13" s="18" customFormat="1" ht="18.45" customHeight="1">
      <c r="A25" s="201"/>
      <c r="B25" s="202"/>
      <c r="C25" s="196">
        <v>447</v>
      </c>
      <c r="D25" s="191" t="s">
        <v>64</v>
      </c>
      <c r="E25" s="192">
        <v>7</v>
      </c>
      <c r="F25" s="193">
        <f>C25*E25</f>
        <v>3129</v>
      </c>
      <c r="G25" s="198"/>
      <c r="H25" s="199"/>
      <c r="I25" s="203"/>
      <c r="J25" s="194"/>
      <c r="K25" s="195"/>
      <c r="L25" s="195"/>
      <c r="M25" s="200"/>
    </row>
    <row r="26" spans="1:13" s="18" customFormat="1" ht="55.95" customHeight="1">
      <c r="A26" s="201" t="s">
        <v>27</v>
      </c>
      <c r="B26" s="202" t="s">
        <v>141</v>
      </c>
      <c r="C26" s="196">
        <v>12</v>
      </c>
      <c r="D26" s="191" t="s">
        <v>19</v>
      </c>
      <c r="E26" s="192">
        <v>0</v>
      </c>
      <c r="F26" s="193">
        <f>C26*E26</f>
        <v>0</v>
      </c>
      <c r="G26" s="198"/>
      <c r="H26" s="199">
        <v>0</v>
      </c>
      <c r="I26" s="203">
        <f>H26+G26</f>
        <v>0</v>
      </c>
      <c r="J26" s="205" t="s">
        <v>0</v>
      </c>
      <c r="K26" s="195">
        <f>G26*E26</f>
        <v>0</v>
      </c>
      <c r="L26" s="195">
        <f>H26*E26</f>
        <v>0</v>
      </c>
      <c r="M26" s="200">
        <f>L26+K26</f>
        <v>0</v>
      </c>
    </row>
    <row r="27" spans="1:13" s="18" customFormat="1" ht="12" customHeight="1">
      <c r="A27" s="201"/>
      <c r="B27" s="202"/>
      <c r="C27" s="196"/>
      <c r="D27" s="191"/>
      <c r="E27" s="192"/>
      <c r="F27" s="193"/>
      <c r="G27" s="198"/>
      <c r="H27" s="199"/>
      <c r="I27" s="203"/>
      <c r="J27" s="194"/>
      <c r="K27" s="195"/>
      <c r="L27" s="195"/>
      <c r="M27" s="200"/>
    </row>
    <row r="28" spans="1:13" s="18" customFormat="1" ht="34.200000000000003" customHeight="1">
      <c r="A28" s="201" t="s">
        <v>28</v>
      </c>
      <c r="B28" s="202" t="s">
        <v>58</v>
      </c>
      <c r="C28" s="196">
        <v>3651</v>
      </c>
      <c r="D28" s="191" t="s">
        <v>19</v>
      </c>
      <c r="E28" s="192">
        <v>0</v>
      </c>
      <c r="F28" s="193">
        <f>C28*E28</f>
        <v>0</v>
      </c>
      <c r="G28" s="198"/>
      <c r="H28" s="199">
        <v>0</v>
      </c>
      <c r="I28" s="203">
        <f>H28+G28</f>
        <v>0</v>
      </c>
      <c r="J28" s="194">
        <f>I28/C28</f>
        <v>0</v>
      </c>
      <c r="K28" s="195">
        <f>G28*E28</f>
        <v>0</v>
      </c>
      <c r="L28" s="195">
        <f>H28*E28</f>
        <v>0</v>
      </c>
      <c r="M28" s="200">
        <f>L28+K28</f>
        <v>0</v>
      </c>
    </row>
    <row r="29" spans="1:13" s="18" customFormat="1" ht="12.45" customHeight="1">
      <c r="A29" s="206"/>
      <c r="B29" s="202"/>
      <c r="C29" s="207"/>
      <c r="D29" s="191"/>
      <c r="E29" s="192"/>
      <c r="F29" s="193"/>
      <c r="G29" s="208"/>
      <c r="H29" s="199"/>
      <c r="I29" s="203"/>
      <c r="J29" s="194"/>
      <c r="K29" s="195"/>
      <c r="L29" s="195"/>
      <c r="M29" s="200"/>
    </row>
    <row r="30" spans="1:13" s="18" customFormat="1" ht="43.95" customHeight="1">
      <c r="A30" s="206"/>
      <c r="B30" s="189" t="s">
        <v>29</v>
      </c>
      <c r="C30" s="207"/>
      <c r="D30" s="191"/>
      <c r="E30" s="192"/>
      <c r="F30" s="193"/>
      <c r="G30" s="208"/>
      <c r="H30" s="199"/>
      <c r="I30" s="203"/>
      <c r="J30" s="194"/>
      <c r="K30" s="195"/>
      <c r="L30" s="195"/>
      <c r="M30" s="200"/>
    </row>
    <row r="31" spans="1:13" s="18" customFormat="1" ht="24" customHeight="1">
      <c r="A31" s="188" t="s">
        <v>0</v>
      </c>
      <c r="B31" s="189" t="s">
        <v>30</v>
      </c>
      <c r="C31" s="207"/>
      <c r="D31" s="191"/>
      <c r="E31" s="192"/>
      <c r="F31" s="193"/>
      <c r="G31" s="208"/>
      <c r="H31" s="199"/>
      <c r="I31" s="203"/>
      <c r="J31" s="194"/>
      <c r="K31" s="195"/>
      <c r="L31" s="195"/>
      <c r="M31" s="200"/>
    </row>
    <row r="32" spans="1:13" s="18" customFormat="1" ht="34.200000000000003" customHeight="1">
      <c r="A32" s="206" t="s">
        <v>31</v>
      </c>
      <c r="B32" s="202" t="s">
        <v>56</v>
      </c>
      <c r="C32" s="207">
        <v>5846</v>
      </c>
      <c r="D32" s="191" t="s">
        <v>16</v>
      </c>
      <c r="E32" s="192">
        <v>14</v>
      </c>
      <c r="F32" s="193">
        <v>0</v>
      </c>
      <c r="G32" s="208">
        <v>0</v>
      </c>
      <c r="H32" s="199">
        <v>0</v>
      </c>
      <c r="I32" s="203">
        <f>H32+G32</f>
        <v>0</v>
      </c>
      <c r="J32" s="194">
        <f>I32/C32</f>
        <v>0</v>
      </c>
      <c r="K32" s="195">
        <f>G32*E32</f>
        <v>0</v>
      </c>
      <c r="L32" s="195">
        <f>H32*E32</f>
        <v>0</v>
      </c>
      <c r="M32" s="200">
        <f>L32+K32</f>
        <v>0</v>
      </c>
    </row>
    <row r="33" spans="1:13" s="18" customFormat="1" ht="12.45" customHeight="1">
      <c r="A33" s="206"/>
      <c r="B33" s="202"/>
      <c r="C33" s="207"/>
      <c r="D33" s="191"/>
      <c r="E33" s="192"/>
      <c r="F33" s="193"/>
      <c r="G33" s="208"/>
      <c r="H33" s="199"/>
      <c r="I33" s="203"/>
      <c r="J33" s="194"/>
      <c r="K33" s="195"/>
      <c r="L33" s="195"/>
      <c r="M33" s="200"/>
    </row>
    <row r="34" spans="1:13" s="18" customFormat="1" ht="22.95" customHeight="1">
      <c r="A34" s="188" t="s">
        <v>0</v>
      </c>
      <c r="B34" s="189" t="s">
        <v>32</v>
      </c>
      <c r="C34" s="207"/>
      <c r="D34" s="191"/>
      <c r="E34" s="192"/>
      <c r="F34" s="193"/>
      <c r="G34" s="208"/>
      <c r="H34" s="199"/>
      <c r="I34" s="203"/>
      <c r="J34" s="194"/>
      <c r="K34" s="195"/>
      <c r="L34" s="195"/>
      <c r="M34" s="200"/>
    </row>
    <row r="35" spans="1:13" s="18" customFormat="1" ht="12" customHeight="1">
      <c r="A35" s="206"/>
      <c r="B35" s="202"/>
      <c r="C35" s="207"/>
      <c r="D35" s="191"/>
      <c r="E35" s="192"/>
      <c r="F35" s="193"/>
      <c r="G35" s="208"/>
      <c r="H35" s="199"/>
      <c r="I35" s="203"/>
      <c r="J35" s="194"/>
      <c r="K35" s="195"/>
      <c r="L35" s="195"/>
      <c r="M35" s="200"/>
    </row>
    <row r="36" spans="1:13" s="18" customFormat="1" ht="32.549999999999997" customHeight="1">
      <c r="A36" s="206" t="s">
        <v>33</v>
      </c>
      <c r="B36" s="202" t="s">
        <v>50</v>
      </c>
      <c r="C36" s="207">
        <v>6000</v>
      </c>
      <c r="D36" s="191" t="s">
        <v>16</v>
      </c>
      <c r="E36" s="192">
        <v>14</v>
      </c>
      <c r="F36" s="209">
        <f>C36*E36</f>
        <v>84000</v>
      </c>
      <c r="G36" s="208">
        <v>0</v>
      </c>
      <c r="H36" s="199">
        <v>0</v>
      </c>
      <c r="I36" s="203">
        <v>0</v>
      </c>
      <c r="J36" s="194">
        <f>I36/C36</f>
        <v>0</v>
      </c>
      <c r="K36" s="195">
        <f>G36*E36</f>
        <v>0</v>
      </c>
      <c r="L36" s="195">
        <f>H36*E36</f>
        <v>0</v>
      </c>
      <c r="M36" s="200">
        <f>L36+K36</f>
        <v>0</v>
      </c>
    </row>
    <row r="37" spans="1:13" s="18" customFormat="1" ht="13.95" customHeight="1">
      <c r="A37" s="206"/>
      <c r="B37" s="210" t="s">
        <v>0</v>
      </c>
      <c r="C37" s="207" t="s">
        <v>0</v>
      </c>
      <c r="D37" s="191" t="s">
        <v>0</v>
      </c>
      <c r="E37" s="192"/>
      <c r="F37" s="193">
        <v>0</v>
      </c>
      <c r="G37" s="208"/>
      <c r="H37" s="199"/>
      <c r="I37" s="203"/>
      <c r="J37" s="194"/>
      <c r="K37" s="195"/>
      <c r="L37" s="195"/>
      <c r="M37" s="200"/>
    </row>
    <row r="38" spans="1:13" s="18" customFormat="1" ht="22.2" customHeight="1">
      <c r="A38" s="188" t="s">
        <v>0</v>
      </c>
      <c r="B38" s="189" t="s">
        <v>34</v>
      </c>
      <c r="C38" s="207"/>
      <c r="D38" s="191"/>
      <c r="E38" s="192"/>
      <c r="F38" s="193"/>
      <c r="G38" s="208"/>
      <c r="H38" s="199"/>
      <c r="I38" s="203"/>
      <c r="J38" s="194"/>
      <c r="K38" s="195"/>
      <c r="L38" s="195"/>
      <c r="M38" s="200"/>
    </row>
    <row r="39" spans="1:13" s="18" customFormat="1" ht="7.95" customHeight="1">
      <c r="A39" s="206"/>
      <c r="B39" s="202"/>
      <c r="C39" s="207"/>
      <c r="D39" s="191"/>
      <c r="E39" s="192"/>
      <c r="F39" s="193"/>
      <c r="G39" s="208"/>
      <c r="H39" s="199"/>
      <c r="I39" s="203"/>
      <c r="J39" s="194"/>
      <c r="K39" s="195"/>
      <c r="L39" s="195"/>
      <c r="M39" s="200"/>
    </row>
    <row r="40" spans="1:13" s="18" customFormat="1" ht="45" customHeight="1">
      <c r="A40" s="206" t="s">
        <v>35</v>
      </c>
      <c r="B40" s="202" t="s">
        <v>51</v>
      </c>
      <c r="C40" s="207">
        <v>500</v>
      </c>
      <c r="D40" s="191" t="s">
        <v>19</v>
      </c>
      <c r="E40" s="192">
        <v>10</v>
      </c>
      <c r="F40" s="193">
        <f>C40*E40</f>
        <v>5000</v>
      </c>
      <c r="G40" s="208">
        <v>0</v>
      </c>
      <c r="H40" s="199">
        <v>0</v>
      </c>
      <c r="I40" s="203">
        <f>H40+G40</f>
        <v>0</v>
      </c>
      <c r="J40" s="194">
        <f>I40/C40</f>
        <v>0</v>
      </c>
      <c r="K40" s="195">
        <f>G40*E40</f>
        <v>0</v>
      </c>
      <c r="L40" s="195">
        <f>H40*E40</f>
        <v>0</v>
      </c>
      <c r="M40" s="200">
        <f>L40+K40</f>
        <v>0</v>
      </c>
    </row>
    <row r="41" spans="1:13" s="18" customFormat="1" ht="7.95" customHeight="1">
      <c r="A41" s="206"/>
      <c r="B41" s="202"/>
      <c r="C41" s="207"/>
      <c r="D41" s="191"/>
      <c r="E41" s="192"/>
      <c r="F41" s="193"/>
      <c r="G41" s="208"/>
      <c r="H41" s="199"/>
      <c r="I41" s="203">
        <v>0</v>
      </c>
      <c r="J41" s="194"/>
      <c r="K41" s="195"/>
      <c r="L41" s="195"/>
      <c r="M41" s="200"/>
    </row>
    <row r="42" spans="1:13" s="18" customFormat="1" ht="21.45" customHeight="1">
      <c r="A42" s="206" t="s">
        <v>36</v>
      </c>
      <c r="B42" s="202" t="s">
        <v>37</v>
      </c>
      <c r="C42" s="207">
        <v>34</v>
      </c>
      <c r="D42" s="211" t="s">
        <v>38</v>
      </c>
      <c r="E42" s="192">
        <v>50</v>
      </c>
      <c r="F42" s="193">
        <f>C42*E42</f>
        <v>1700</v>
      </c>
      <c r="G42" s="208">
        <v>0</v>
      </c>
      <c r="H42" s="199">
        <v>0</v>
      </c>
      <c r="I42" s="203">
        <v>0</v>
      </c>
      <c r="J42" s="194">
        <f>I42/C42</f>
        <v>0</v>
      </c>
      <c r="K42" s="195">
        <f>G42*E42</f>
        <v>0</v>
      </c>
      <c r="L42" s="195">
        <f>H42*E42</f>
        <v>0</v>
      </c>
      <c r="M42" s="200">
        <f>L42+K42</f>
        <v>0</v>
      </c>
    </row>
    <row r="43" spans="1:13" s="18" customFormat="1" ht="6" customHeight="1">
      <c r="A43" s="206"/>
      <c r="B43" s="202"/>
      <c r="C43" s="207"/>
      <c r="D43" s="211"/>
      <c r="E43" s="192"/>
      <c r="F43" s="193"/>
      <c r="G43" s="208">
        <v>0</v>
      </c>
      <c r="H43" s="199"/>
      <c r="I43" s="203"/>
      <c r="J43" s="194"/>
      <c r="K43" s="195"/>
      <c r="L43" s="195"/>
      <c r="M43" s="200"/>
    </row>
    <row r="44" spans="1:13" s="18" customFormat="1" ht="18" customHeight="1">
      <c r="A44" s="206" t="s">
        <v>39</v>
      </c>
      <c r="B44" s="202" t="s">
        <v>40</v>
      </c>
      <c r="C44" s="207">
        <v>3</v>
      </c>
      <c r="D44" s="211" t="s">
        <v>38</v>
      </c>
      <c r="E44" s="192">
        <v>50</v>
      </c>
      <c r="F44" s="193">
        <f>C44*E44</f>
        <v>150</v>
      </c>
      <c r="G44" s="208">
        <v>0</v>
      </c>
      <c r="H44" s="199">
        <v>0</v>
      </c>
      <c r="I44" s="203">
        <f>H44+G44</f>
        <v>0</v>
      </c>
      <c r="J44" s="194">
        <f>I44/C44</f>
        <v>0</v>
      </c>
      <c r="K44" s="195">
        <f>G44*E44</f>
        <v>0</v>
      </c>
      <c r="L44" s="195">
        <f>H44*E44</f>
        <v>0</v>
      </c>
      <c r="M44" s="200">
        <f>L44+K44</f>
        <v>0</v>
      </c>
    </row>
    <row r="45" spans="1:13" s="18" customFormat="1" ht="7.95" customHeight="1">
      <c r="A45" s="206"/>
      <c r="B45" s="202"/>
      <c r="C45" s="207"/>
      <c r="D45" s="211"/>
      <c r="E45" s="192"/>
      <c r="F45" s="193"/>
      <c r="G45" s="208"/>
      <c r="H45" s="199"/>
      <c r="I45" s="203"/>
      <c r="J45" s="194"/>
      <c r="K45" s="195"/>
      <c r="L45" s="195"/>
      <c r="M45" s="200"/>
    </row>
    <row r="46" spans="1:13" s="18" customFormat="1" ht="39" customHeight="1">
      <c r="A46" s="206" t="s">
        <v>41</v>
      </c>
      <c r="B46" s="202" t="s">
        <v>52</v>
      </c>
      <c r="C46" s="207">
        <v>245</v>
      </c>
      <c r="D46" s="211" t="s">
        <v>38</v>
      </c>
      <c r="E46" s="192">
        <v>55</v>
      </c>
      <c r="F46" s="193">
        <f>C46*E46</f>
        <v>13475</v>
      </c>
      <c r="G46" s="208"/>
      <c r="H46" s="199">
        <v>0</v>
      </c>
      <c r="I46" s="203">
        <f>H46+G46</f>
        <v>0</v>
      </c>
      <c r="J46" s="194">
        <f>I46/C46</f>
        <v>0</v>
      </c>
      <c r="K46" s="195">
        <f>G46*E46</f>
        <v>0</v>
      </c>
      <c r="L46" s="195">
        <f>H46*E46</f>
        <v>0</v>
      </c>
      <c r="M46" s="200">
        <f>L46+K46</f>
        <v>0</v>
      </c>
    </row>
    <row r="47" spans="1:13" s="18" customFormat="1" ht="6" customHeight="1">
      <c r="A47" s="206"/>
      <c r="B47" s="202"/>
      <c r="C47" s="207"/>
      <c r="D47" s="211"/>
      <c r="E47" s="192"/>
      <c r="F47" s="193"/>
      <c r="G47" s="208"/>
      <c r="H47" s="199"/>
      <c r="I47" s="203"/>
      <c r="J47" s="194"/>
      <c r="K47" s="195"/>
      <c r="L47" s="195"/>
      <c r="M47" s="200"/>
    </row>
    <row r="48" spans="1:13" s="18" customFormat="1" ht="22.95" customHeight="1">
      <c r="A48" s="206" t="s">
        <v>42</v>
      </c>
      <c r="B48" s="202" t="s">
        <v>43</v>
      </c>
      <c r="C48" s="207">
        <v>9</v>
      </c>
      <c r="D48" s="211" t="s">
        <v>38</v>
      </c>
      <c r="E48" s="192">
        <v>75</v>
      </c>
      <c r="F48" s="193">
        <f>C48*E48</f>
        <v>675</v>
      </c>
      <c r="G48" s="208"/>
      <c r="H48" s="199"/>
      <c r="I48" s="203">
        <f>H48+G48</f>
        <v>0</v>
      </c>
      <c r="J48" s="194">
        <f>I48/C48</f>
        <v>0</v>
      </c>
      <c r="K48" s="195">
        <f>G48*E48</f>
        <v>0</v>
      </c>
      <c r="L48" s="195">
        <f>H48*E48</f>
        <v>0</v>
      </c>
      <c r="M48" s="200">
        <f>L48+K48</f>
        <v>0</v>
      </c>
    </row>
    <row r="49" spans="1:13" s="18" customFormat="1" ht="7.95" customHeight="1">
      <c r="A49" s="206"/>
      <c r="B49" s="212"/>
      <c r="C49" s="207"/>
      <c r="D49" s="211"/>
      <c r="E49" s="213"/>
      <c r="F49" s="193"/>
      <c r="G49" s="208"/>
      <c r="H49" s="199"/>
      <c r="I49" s="203"/>
      <c r="J49" s="194"/>
      <c r="K49" s="195"/>
      <c r="L49" s="195"/>
      <c r="M49" s="200"/>
    </row>
    <row r="50" spans="1:13" s="18" customFormat="1" ht="36" customHeight="1">
      <c r="A50" s="206" t="s">
        <v>44</v>
      </c>
      <c r="B50" s="212" t="s">
        <v>53</v>
      </c>
      <c r="C50" s="207">
        <v>500</v>
      </c>
      <c r="D50" s="191" t="s">
        <v>19</v>
      </c>
      <c r="E50" s="213">
        <v>20</v>
      </c>
      <c r="F50" s="193">
        <f>C50*E50</f>
        <v>10000</v>
      </c>
      <c r="G50" s="208">
        <v>0</v>
      </c>
      <c r="H50" s="199">
        <v>0</v>
      </c>
      <c r="I50" s="203">
        <v>0</v>
      </c>
      <c r="J50" s="194">
        <f>I50/C50</f>
        <v>0</v>
      </c>
      <c r="K50" s="195">
        <f>G50*E50</f>
        <v>0</v>
      </c>
      <c r="L50" s="195">
        <v>0</v>
      </c>
      <c r="M50" s="200">
        <f>L50+K50</f>
        <v>0</v>
      </c>
    </row>
    <row r="51" spans="1:13" s="18" customFormat="1" ht="7.95" customHeight="1">
      <c r="A51" s="206"/>
      <c r="B51" s="212"/>
      <c r="C51" s="207"/>
      <c r="D51" s="211"/>
      <c r="E51" s="213"/>
      <c r="F51" s="193"/>
      <c r="G51" s="208"/>
      <c r="H51" s="199"/>
      <c r="I51" s="203"/>
      <c r="J51" s="194"/>
      <c r="K51" s="195"/>
      <c r="L51" s="195"/>
      <c r="M51" s="200"/>
    </row>
    <row r="52" spans="1:13" s="18" customFormat="1" ht="22.2" customHeight="1">
      <c r="A52" s="188" t="s">
        <v>0</v>
      </c>
      <c r="B52" s="189" t="s">
        <v>45</v>
      </c>
      <c r="C52" s="207"/>
      <c r="D52" s="191"/>
      <c r="E52" s="213"/>
      <c r="F52" s="193"/>
      <c r="G52" s="208"/>
      <c r="H52" s="199"/>
      <c r="I52" s="203"/>
      <c r="J52" s="194"/>
      <c r="K52" s="195"/>
      <c r="L52" s="195"/>
      <c r="M52" s="200"/>
    </row>
    <row r="53" spans="1:13" s="18" customFormat="1" ht="12" customHeight="1">
      <c r="A53" s="214"/>
      <c r="B53" s="215"/>
      <c r="C53" s="207"/>
      <c r="D53" s="211"/>
      <c r="E53" s="213"/>
      <c r="F53" s="193"/>
      <c r="G53" s="208"/>
      <c r="H53" s="199"/>
      <c r="I53" s="203"/>
      <c r="J53" s="194"/>
      <c r="K53" s="195"/>
      <c r="L53" s="195"/>
      <c r="M53" s="200"/>
    </row>
    <row r="54" spans="1:13" s="18" customFormat="1" ht="25.2" customHeight="1">
      <c r="A54" s="216" t="s">
        <v>46</v>
      </c>
      <c r="B54" s="212" t="s">
        <v>47</v>
      </c>
      <c r="C54" s="207">
        <v>640</v>
      </c>
      <c r="D54" s="191" t="s">
        <v>19</v>
      </c>
      <c r="E54" s="213">
        <v>8</v>
      </c>
      <c r="F54" s="193">
        <f>C54*E54</f>
        <v>5120</v>
      </c>
      <c r="G54" s="208">
        <v>0</v>
      </c>
      <c r="H54" s="199">
        <v>0</v>
      </c>
      <c r="I54" s="203">
        <f>H54+G54</f>
        <v>0</v>
      </c>
      <c r="J54" s="194">
        <f>I54/C54</f>
        <v>0</v>
      </c>
      <c r="K54" s="195">
        <f>G54*E54</f>
        <v>0</v>
      </c>
      <c r="L54" s="195">
        <f>H54*E54</f>
        <v>0</v>
      </c>
      <c r="M54" s="200">
        <f>L54+K54</f>
        <v>0</v>
      </c>
    </row>
    <row r="55" spans="1:13" s="18" customFormat="1" ht="15" customHeight="1">
      <c r="A55" s="217"/>
      <c r="B55" s="212"/>
      <c r="C55" s="207"/>
      <c r="D55" s="211"/>
      <c r="E55" s="213"/>
      <c r="F55" s="193"/>
      <c r="G55" s="208"/>
      <c r="H55" s="199"/>
      <c r="I55" s="203"/>
      <c r="J55" s="194"/>
      <c r="K55" s="195"/>
      <c r="L55" s="195"/>
      <c r="M55" s="200"/>
    </row>
    <row r="56" spans="1:13" s="19" customFormat="1" ht="24.75" customHeight="1" thickBot="1">
      <c r="A56" s="967" t="s">
        <v>55</v>
      </c>
      <c r="B56" s="968"/>
      <c r="C56" s="218"/>
      <c r="D56" s="219"/>
      <c r="E56" s="220"/>
      <c r="F56" s="221">
        <f>SUM(F15:F55)</f>
        <v>132345</v>
      </c>
      <c r="G56" s="222"/>
      <c r="H56" s="223"/>
      <c r="I56" s="222"/>
      <c r="J56" s="224"/>
      <c r="K56" s="225">
        <f>SUM(K15:K55)</f>
        <v>0</v>
      </c>
      <c r="L56" s="225">
        <f>SUM(L15:L55)</f>
        <v>0</v>
      </c>
      <c r="M56" s="226">
        <f>L56+K56</f>
        <v>0</v>
      </c>
    </row>
    <row r="57" spans="1:13" ht="34.950000000000003" customHeight="1" thickTop="1">
      <c r="A57" s="227"/>
      <c r="B57" s="228" t="s">
        <v>787</v>
      </c>
      <c r="C57" s="229"/>
      <c r="D57" s="230"/>
      <c r="E57" s="230"/>
      <c r="F57" s="231"/>
      <c r="G57" s="231"/>
      <c r="H57" s="231"/>
      <c r="I57" s="231"/>
      <c r="J57" s="231"/>
      <c r="K57" s="230"/>
      <c r="L57" s="230"/>
      <c r="M57" s="232"/>
    </row>
    <row r="58" spans="1:13" s="3" customFormat="1" ht="39" customHeight="1">
      <c r="A58" s="233" t="s">
        <v>0</v>
      </c>
      <c r="B58" s="234" t="s">
        <v>20</v>
      </c>
      <c r="C58" s="235"/>
      <c r="D58" s="236"/>
      <c r="E58" s="237"/>
      <c r="F58" s="238"/>
      <c r="G58" s="237"/>
      <c r="H58" s="239"/>
      <c r="I58" s="237"/>
      <c r="J58" s="240"/>
      <c r="K58" s="241"/>
      <c r="L58" s="241"/>
      <c r="M58" s="242"/>
    </row>
    <row r="59" spans="1:13" s="18" customFormat="1" ht="27" customHeight="1">
      <c r="A59" s="233"/>
      <c r="B59" s="234" t="s">
        <v>65</v>
      </c>
      <c r="C59" s="243"/>
      <c r="D59" s="236"/>
      <c r="E59" s="244"/>
      <c r="F59" s="238"/>
      <c r="G59" s="245"/>
      <c r="H59" s="239"/>
      <c r="I59" s="245"/>
      <c r="J59" s="240"/>
      <c r="K59" s="241"/>
      <c r="L59" s="241"/>
      <c r="M59" s="242"/>
    </row>
    <row r="60" spans="1:13" s="18" customFormat="1" ht="49.95" customHeight="1">
      <c r="A60" s="246" t="s">
        <v>60</v>
      </c>
      <c r="B60" s="247" t="s">
        <v>137</v>
      </c>
      <c r="C60" s="243">
        <v>5035</v>
      </c>
      <c r="D60" s="236" t="s">
        <v>16</v>
      </c>
      <c r="E60" s="237">
        <v>36</v>
      </c>
      <c r="F60" s="238">
        <f>C60*E60</f>
        <v>181260</v>
      </c>
      <c r="G60" s="237">
        <v>2727.6990557378003</v>
      </c>
      <c r="H60" s="239">
        <f>'CUMULATIVE EPOXY TO BOH ROOMS'!K322</f>
        <v>808.38050201400029</v>
      </c>
      <c r="I60" s="818">
        <f>H60+G60</f>
        <v>3536.0795577518006</v>
      </c>
      <c r="J60" s="240">
        <f>I60/C60</f>
        <v>0.70229981286033771</v>
      </c>
      <c r="K60" s="241">
        <f>G60*E60</f>
        <v>98197.166006560816</v>
      </c>
      <c r="L60" s="241">
        <f>H60*E60</f>
        <v>29101.698072504012</v>
      </c>
      <c r="M60" s="242">
        <f>L60+K60</f>
        <v>127298.86407906484</v>
      </c>
    </row>
    <row r="61" spans="1:13" s="18" customFormat="1" ht="15" customHeight="1">
      <c r="A61" s="246"/>
      <c r="B61" s="247" t="s">
        <v>66</v>
      </c>
      <c r="C61" s="243">
        <v>1989</v>
      </c>
      <c r="D61" s="236" t="s">
        <v>16</v>
      </c>
      <c r="E61" s="237">
        <v>18</v>
      </c>
      <c r="F61" s="238">
        <f>C61*E61</f>
        <v>35802</v>
      </c>
      <c r="G61" s="237">
        <v>0</v>
      </c>
      <c r="H61" s="239">
        <v>0</v>
      </c>
      <c r="I61" s="248">
        <v>0</v>
      </c>
      <c r="J61" s="240">
        <f>I61/C61</f>
        <v>0</v>
      </c>
      <c r="K61" s="241">
        <f>G61*E61</f>
        <v>0</v>
      </c>
      <c r="L61" s="241">
        <f>H61*E61</f>
        <v>0</v>
      </c>
      <c r="M61" s="242">
        <f>L61+K61</f>
        <v>0</v>
      </c>
    </row>
    <row r="62" spans="1:13" s="18" customFormat="1" ht="14.55" customHeight="1">
      <c r="A62" s="246"/>
      <c r="B62" s="247"/>
      <c r="C62" s="243"/>
      <c r="D62" s="236"/>
      <c r="E62" s="237"/>
      <c r="F62" s="238"/>
      <c r="G62" s="245"/>
      <c r="H62" s="239"/>
      <c r="I62" s="248"/>
      <c r="J62" s="240"/>
      <c r="K62" s="241"/>
      <c r="L62" s="241"/>
      <c r="M62" s="242"/>
    </row>
    <row r="63" spans="1:13" s="18" customFormat="1" ht="28.2" customHeight="1">
      <c r="A63" s="233" t="s">
        <v>25</v>
      </c>
      <c r="B63" s="234" t="s">
        <v>17</v>
      </c>
      <c r="C63" s="243" t="s">
        <v>0</v>
      </c>
      <c r="D63" s="236"/>
      <c r="E63" s="237"/>
      <c r="F63" s="238"/>
      <c r="G63" s="245"/>
      <c r="H63" s="239"/>
      <c r="I63" s="248"/>
      <c r="J63" s="240"/>
      <c r="K63" s="241"/>
      <c r="L63" s="241"/>
      <c r="M63" s="242"/>
    </row>
    <row r="64" spans="1:13" s="18" customFormat="1" ht="47.7" customHeight="1">
      <c r="A64" s="246" t="s">
        <v>62</v>
      </c>
      <c r="B64" s="247" t="s">
        <v>137</v>
      </c>
      <c r="C64" s="243">
        <v>3506</v>
      </c>
      <c r="D64" s="236" t="s">
        <v>19</v>
      </c>
      <c r="E64" s="237">
        <v>12</v>
      </c>
      <c r="F64" s="238">
        <f>C64*E64</f>
        <v>42072</v>
      </c>
      <c r="G64" s="245">
        <v>1735.7982830000001</v>
      </c>
      <c r="H64" s="239">
        <f>'CUMULATIVE EPOXY TO BOH ROOMS'!L322</f>
        <v>514.95799289999991</v>
      </c>
      <c r="I64" s="818">
        <f>H64+G64</f>
        <v>2250.7562759000002</v>
      </c>
      <c r="J64" s="240">
        <f>I64/C64</f>
        <v>0.64197269706217919</v>
      </c>
      <c r="K64" s="241">
        <f>G64*E64</f>
        <v>20829.579396000001</v>
      </c>
      <c r="L64" s="241">
        <f>H64*E64</f>
        <v>6179.4959147999989</v>
      </c>
      <c r="M64" s="242">
        <f>L64+K64</f>
        <v>27009.075310799999</v>
      </c>
    </row>
    <row r="65" spans="1:13" s="18" customFormat="1" ht="24.45" customHeight="1">
      <c r="A65" s="246"/>
      <c r="B65" s="247" t="s">
        <v>66</v>
      </c>
      <c r="C65" s="243">
        <v>1480</v>
      </c>
      <c r="D65" s="236" t="s">
        <v>19</v>
      </c>
      <c r="E65" s="237">
        <v>6</v>
      </c>
      <c r="F65" s="238">
        <f>C65*E65</f>
        <v>8880</v>
      </c>
      <c r="G65" s="245">
        <v>0</v>
      </c>
      <c r="H65" s="239">
        <v>0</v>
      </c>
      <c r="I65" s="248">
        <f>H65+G65</f>
        <v>0</v>
      </c>
      <c r="J65" s="240">
        <f>I65/C65</f>
        <v>0</v>
      </c>
      <c r="K65" s="241">
        <f>G65*E65</f>
        <v>0</v>
      </c>
      <c r="L65" s="241">
        <f>H65*E65</f>
        <v>0</v>
      </c>
      <c r="M65" s="242">
        <f>L65+K65</f>
        <v>0</v>
      </c>
    </row>
    <row r="66" spans="1:13" s="18" customFormat="1" ht="9.4499999999999993" customHeight="1">
      <c r="A66" s="246"/>
      <c r="B66" s="247"/>
      <c r="C66" s="243"/>
      <c r="D66" s="236"/>
      <c r="E66" s="237"/>
      <c r="F66" s="238"/>
      <c r="G66" s="245"/>
      <c r="H66" s="239"/>
      <c r="I66" s="248"/>
      <c r="J66" s="240"/>
      <c r="K66" s="241"/>
      <c r="L66" s="241"/>
      <c r="M66" s="242"/>
    </row>
    <row r="67" spans="1:13" s="18" customFormat="1" ht="31.95" customHeight="1">
      <c r="A67" s="246"/>
      <c r="B67" s="234" t="s">
        <v>29</v>
      </c>
      <c r="C67" s="243"/>
      <c r="D67" s="236"/>
      <c r="E67" s="237"/>
      <c r="F67" s="238"/>
      <c r="G67" s="245"/>
      <c r="H67" s="239"/>
      <c r="I67" s="248"/>
      <c r="J67" s="240"/>
      <c r="K67" s="241"/>
      <c r="L67" s="241"/>
      <c r="M67" s="242"/>
    </row>
    <row r="68" spans="1:13" s="18" customFormat="1" ht="24" customHeight="1">
      <c r="A68" s="233" t="s">
        <v>0</v>
      </c>
      <c r="B68" s="234" t="s">
        <v>30</v>
      </c>
      <c r="C68" s="243"/>
      <c r="D68" s="236"/>
      <c r="E68" s="237"/>
      <c r="F68" s="238"/>
      <c r="G68" s="245"/>
      <c r="H68" s="239"/>
      <c r="I68" s="248"/>
      <c r="J68" s="240"/>
      <c r="K68" s="241"/>
      <c r="L68" s="241"/>
      <c r="M68" s="242"/>
    </row>
    <row r="69" spans="1:13" s="18" customFormat="1" ht="54" customHeight="1">
      <c r="A69" s="246" t="s">
        <v>61</v>
      </c>
      <c r="B69" s="247" t="s">
        <v>138</v>
      </c>
      <c r="C69" s="243">
        <v>1361</v>
      </c>
      <c r="D69" s="236" t="s">
        <v>16</v>
      </c>
      <c r="E69" s="237">
        <v>36</v>
      </c>
      <c r="F69" s="238">
        <f>C69*E69</f>
        <v>48996</v>
      </c>
      <c r="G69" s="245">
        <v>961.07000000000016</v>
      </c>
      <c r="H69" s="251">
        <v>0</v>
      </c>
      <c r="I69" s="248">
        <f>H69+G69</f>
        <v>961.07000000000016</v>
      </c>
      <c r="J69" s="240">
        <f>I69/C69</f>
        <v>0.7061498897869215</v>
      </c>
      <c r="K69" s="241">
        <f>G69*E69</f>
        <v>34598.520000000004</v>
      </c>
      <c r="L69" s="241">
        <f>(H69*E69)</f>
        <v>0</v>
      </c>
      <c r="M69" s="242">
        <f>L69+K69</f>
        <v>34598.520000000004</v>
      </c>
    </row>
    <row r="70" spans="1:13" s="18" customFormat="1" ht="21.45" customHeight="1">
      <c r="A70" s="246"/>
      <c r="B70" s="247" t="s">
        <v>66</v>
      </c>
      <c r="C70" s="243">
        <v>3170</v>
      </c>
      <c r="D70" s="236" t="s">
        <v>16</v>
      </c>
      <c r="E70" s="237">
        <v>18</v>
      </c>
      <c r="F70" s="238">
        <f>C70*E70</f>
        <v>57060</v>
      </c>
      <c r="G70" s="245">
        <v>706.39000000000021</v>
      </c>
      <c r="H70" s="239">
        <f>I70-G70</f>
        <v>334.20000000000039</v>
      </c>
      <c r="I70" s="248">
        <f>Stairs!G47</f>
        <v>1040.5900000000006</v>
      </c>
      <c r="J70" s="240">
        <f>I70/C70</f>
        <v>0.32826182965299705</v>
      </c>
      <c r="K70" s="241">
        <f>G70*E70</f>
        <v>12715.020000000004</v>
      </c>
      <c r="L70" s="241">
        <f>H70*E70</f>
        <v>6015.6000000000067</v>
      </c>
      <c r="M70" s="242">
        <f>L70+K70</f>
        <v>18730.62000000001</v>
      </c>
    </row>
    <row r="71" spans="1:13" s="18" customFormat="1" ht="24" customHeight="1">
      <c r="A71" s="249"/>
      <c r="B71" s="247" t="s">
        <v>67</v>
      </c>
      <c r="C71" s="243">
        <v>675</v>
      </c>
      <c r="D71" s="236" t="s">
        <v>16</v>
      </c>
      <c r="E71" s="237">
        <v>18</v>
      </c>
      <c r="F71" s="238">
        <f>C71*E71</f>
        <v>12150</v>
      </c>
      <c r="G71" s="245"/>
      <c r="H71" s="239"/>
      <c r="I71" s="248"/>
      <c r="J71" s="240"/>
      <c r="K71" s="241"/>
      <c r="L71" s="241"/>
      <c r="M71" s="242"/>
    </row>
    <row r="72" spans="1:13" s="18" customFormat="1" ht="10.199999999999999" customHeight="1">
      <c r="A72" s="246"/>
      <c r="B72" s="247"/>
      <c r="C72" s="250"/>
      <c r="D72" s="236"/>
      <c r="E72" s="237"/>
      <c r="F72" s="238"/>
      <c r="G72" s="245"/>
      <c r="H72" s="251"/>
      <c r="I72" s="248"/>
      <c r="J72" s="240"/>
      <c r="K72" s="241"/>
      <c r="L72" s="241"/>
      <c r="M72" s="242"/>
    </row>
    <row r="73" spans="1:13" s="19" customFormat="1" ht="25.8" customHeight="1" thickBot="1">
      <c r="A73" s="967" t="s">
        <v>790</v>
      </c>
      <c r="B73" s="968"/>
      <c r="C73" s="218"/>
      <c r="D73" s="219"/>
      <c r="E73" s="220"/>
      <c r="F73" s="221">
        <f>SUM(F58:F72)</f>
        <v>386220</v>
      </c>
      <c r="G73" s="971" t="s">
        <v>0</v>
      </c>
      <c r="H73" s="972"/>
      <c r="I73" s="973"/>
      <c r="J73" s="224"/>
      <c r="K73" s="225">
        <f>SUM(K56:K72)</f>
        <v>166340.28540256084</v>
      </c>
      <c r="L73" s="225">
        <f>SUM(L56:L72)</f>
        <v>41296.793987304016</v>
      </c>
      <c r="M73" s="226">
        <f>L73+K73</f>
        <v>207637.07938986487</v>
      </c>
    </row>
    <row r="74" spans="1:13" s="19" customFormat="1" ht="24.75" customHeight="1" thickTop="1">
      <c r="A74" s="252"/>
      <c r="B74" s="296"/>
      <c r="C74" s="253"/>
      <c r="D74" s="254"/>
      <c r="E74" s="255"/>
      <c r="F74" s="256"/>
      <c r="G74" s="257"/>
      <c r="H74" s="258"/>
      <c r="I74" s="257"/>
      <c r="J74" s="259"/>
      <c r="K74" s="260"/>
      <c r="L74" s="260"/>
      <c r="M74" s="261"/>
    </row>
    <row r="75" spans="1:13" s="19" customFormat="1" ht="24.75" customHeight="1">
      <c r="A75" s="252"/>
      <c r="B75" s="296"/>
      <c r="C75" s="253"/>
      <c r="D75" s="254"/>
      <c r="E75" s="255"/>
      <c r="F75" s="256"/>
      <c r="G75" s="257"/>
      <c r="H75" s="258"/>
      <c r="I75" s="257"/>
      <c r="J75" s="259"/>
      <c r="K75" s="260"/>
      <c r="L75" s="260"/>
      <c r="M75" s="261"/>
    </row>
    <row r="76" spans="1:13" s="19" customFormat="1" ht="24.75" customHeight="1">
      <c r="A76" s="252"/>
      <c r="B76" s="296"/>
      <c r="C76" s="253"/>
      <c r="D76" s="254"/>
      <c r="E76" s="255"/>
      <c r="F76" s="256"/>
      <c r="G76" s="257"/>
      <c r="H76" s="258"/>
      <c r="I76" s="257"/>
      <c r="J76" s="259"/>
      <c r="K76" s="260"/>
      <c r="L76" s="260"/>
      <c r="M76" s="261"/>
    </row>
    <row r="77" spans="1:13" s="19" customFormat="1" ht="24.75" customHeight="1" thickBot="1">
      <c r="A77" s="252"/>
      <c r="B77" s="296"/>
      <c r="C77" s="253"/>
      <c r="D77" s="254"/>
      <c r="E77" s="255"/>
      <c r="F77" s="256"/>
      <c r="G77" s="257"/>
      <c r="H77" s="258"/>
      <c r="I77" s="257"/>
      <c r="J77" s="259"/>
      <c r="K77" s="260"/>
      <c r="L77" s="260"/>
      <c r="M77" s="261"/>
    </row>
    <row r="78" spans="1:13" s="19" customFormat="1" ht="27" customHeight="1" thickTop="1">
      <c r="A78" s="252"/>
      <c r="B78" s="969" t="s">
        <v>134</v>
      </c>
      <c r="C78" s="253"/>
      <c r="D78" s="254"/>
      <c r="E78" s="255"/>
      <c r="F78" s="256"/>
      <c r="G78" s="257"/>
      <c r="H78" s="258"/>
      <c r="I78" s="257"/>
      <c r="J78" s="259"/>
      <c r="K78" s="260"/>
      <c r="L78" s="260"/>
      <c r="M78" s="261"/>
    </row>
    <row r="79" spans="1:13" ht="19.2" customHeight="1" thickBot="1">
      <c r="A79" s="262"/>
      <c r="B79" s="970"/>
      <c r="C79" s="263"/>
      <c r="D79" s="264"/>
      <c r="E79" s="264"/>
      <c r="F79" s="265"/>
      <c r="G79" s="265"/>
      <c r="H79" s="265"/>
      <c r="I79" s="265"/>
      <c r="J79" s="265"/>
      <c r="K79" s="264"/>
      <c r="L79" s="264"/>
      <c r="M79" s="266"/>
    </row>
    <row r="80" spans="1:13" ht="36" customHeight="1" thickTop="1">
      <c r="A80" s="214"/>
      <c r="B80" s="267" t="s">
        <v>29</v>
      </c>
      <c r="C80" s="207"/>
      <c r="D80" s="211"/>
      <c r="E80" s="213"/>
      <c r="F80" s="193" t="s">
        <v>0</v>
      </c>
      <c r="G80" s="192"/>
      <c r="H80" s="192"/>
      <c r="I80" s="192"/>
      <c r="J80" s="194"/>
      <c r="K80" s="195"/>
      <c r="L80" s="195"/>
      <c r="M80" s="187"/>
    </row>
    <row r="81" spans="1:13" ht="18.45" customHeight="1">
      <c r="A81" s="214"/>
      <c r="B81" s="215" t="s">
        <v>48</v>
      </c>
      <c r="C81" s="207"/>
      <c r="D81" s="211"/>
      <c r="E81" s="213"/>
      <c r="F81" s="193"/>
      <c r="G81" s="198"/>
      <c r="H81" s="199"/>
      <c r="I81" s="203"/>
      <c r="J81" s="194"/>
      <c r="K81" s="195"/>
      <c r="L81" s="195"/>
      <c r="M81" s="200"/>
    </row>
    <row r="82" spans="1:13" ht="18.45" customHeight="1">
      <c r="A82" s="214"/>
      <c r="B82" s="215" t="s">
        <v>54</v>
      </c>
      <c r="C82" s="207"/>
      <c r="D82" s="211"/>
      <c r="E82" s="213"/>
      <c r="F82" s="193"/>
      <c r="G82" s="192"/>
      <c r="H82" s="199"/>
      <c r="I82" s="192"/>
      <c r="J82" s="194"/>
      <c r="K82" s="195"/>
      <c r="L82" s="195"/>
      <c r="M82" s="200"/>
    </row>
    <row r="83" spans="1:13" ht="9" customHeight="1">
      <c r="A83" s="214"/>
      <c r="B83" s="215"/>
      <c r="C83" s="207"/>
      <c r="D83" s="211"/>
      <c r="E83" s="213"/>
      <c r="F83" s="193"/>
      <c r="G83" s="192"/>
      <c r="H83" s="199"/>
      <c r="I83" s="192"/>
      <c r="J83" s="194"/>
      <c r="K83" s="195"/>
      <c r="L83" s="195"/>
      <c r="M83" s="200"/>
    </row>
    <row r="84" spans="1:13" ht="45">
      <c r="A84" s="206" t="s">
        <v>132</v>
      </c>
      <c r="B84" s="212" t="s">
        <v>139</v>
      </c>
      <c r="C84" s="207">
        <v>1681.05</v>
      </c>
      <c r="D84" s="191" t="s">
        <v>16</v>
      </c>
      <c r="E84" s="213">
        <v>155</v>
      </c>
      <c r="F84" s="193">
        <f>C84*E84</f>
        <v>260562.75</v>
      </c>
      <c r="G84" s="192">
        <v>978.31262220499968</v>
      </c>
      <c r="H84" s="199">
        <f>'Cumulative UCRETE Flooring'!AG99</f>
        <v>97.67</v>
      </c>
      <c r="I84" s="203">
        <f>H84+G84</f>
        <v>1075.9826222049996</v>
      </c>
      <c r="J84" s="194">
        <f>I84/C84</f>
        <v>0.64006580542220615</v>
      </c>
      <c r="K84" s="195">
        <f>G84*E84</f>
        <v>151638.45644177496</v>
      </c>
      <c r="L84" s="195">
        <f>H84*E84</f>
        <v>15138.85</v>
      </c>
      <c r="M84" s="200">
        <f>L84+K84</f>
        <v>166777.30644177497</v>
      </c>
    </row>
    <row r="85" spans="1:13" ht="15">
      <c r="A85" s="206"/>
      <c r="B85" s="212"/>
      <c r="C85" s="207"/>
      <c r="D85" s="211"/>
      <c r="E85" s="213"/>
      <c r="F85" s="193"/>
      <c r="G85" s="192"/>
      <c r="H85" s="199"/>
      <c r="I85" s="203"/>
      <c r="J85" s="194"/>
      <c r="K85" s="195"/>
      <c r="L85" s="195"/>
      <c r="M85" s="200"/>
    </row>
    <row r="86" spans="1:13" ht="15.6">
      <c r="A86" s="214"/>
      <c r="B86" s="215"/>
      <c r="C86" s="207"/>
      <c r="D86" s="211"/>
      <c r="E86" s="213"/>
      <c r="F86" s="193"/>
      <c r="G86" s="198"/>
      <c r="H86" s="199"/>
      <c r="I86" s="198"/>
      <c r="J86" s="194"/>
      <c r="K86" s="195"/>
      <c r="L86" s="195"/>
      <c r="M86" s="200"/>
    </row>
    <row r="87" spans="1:13" ht="30">
      <c r="A87" s="206" t="s">
        <v>122</v>
      </c>
      <c r="B87" s="212" t="s">
        <v>123</v>
      </c>
      <c r="C87" s="207">
        <v>160</v>
      </c>
      <c r="D87" s="191" t="s">
        <v>16</v>
      </c>
      <c r="E87" s="213">
        <v>45</v>
      </c>
      <c r="F87" s="193">
        <f>E87*C87</f>
        <v>7200</v>
      </c>
      <c r="G87" s="192">
        <v>216.27</v>
      </c>
      <c r="H87" s="199">
        <f>I87-G87</f>
        <v>25.20999999999998</v>
      </c>
      <c r="I87" s="912">
        <v>241.48</v>
      </c>
      <c r="J87" s="194">
        <f>I87/C87</f>
        <v>1.50925</v>
      </c>
      <c r="K87" s="195">
        <f>G87*E87</f>
        <v>9732.15</v>
      </c>
      <c r="L87" s="195">
        <f>H87*E87</f>
        <v>1134.4499999999991</v>
      </c>
      <c r="M87" s="200">
        <f>L87+K87</f>
        <v>10866.599999999999</v>
      </c>
    </row>
    <row r="88" spans="1:13" ht="15">
      <c r="A88" s="206"/>
      <c r="B88" s="212"/>
      <c r="C88" s="207"/>
      <c r="D88" s="211"/>
      <c r="E88" s="213"/>
      <c r="F88" s="193"/>
      <c r="G88" s="192"/>
      <c r="H88" s="199"/>
      <c r="I88" s="203"/>
      <c r="J88" s="194"/>
      <c r="K88" s="195"/>
      <c r="L88" s="195"/>
      <c r="M88" s="200"/>
    </row>
    <row r="89" spans="1:13" ht="15.6">
      <c r="A89" s="206" t="s">
        <v>0</v>
      </c>
      <c r="B89" s="215" t="s">
        <v>17</v>
      </c>
      <c r="C89" s="207"/>
      <c r="D89" s="211"/>
      <c r="E89" s="213"/>
      <c r="F89" s="193"/>
      <c r="G89" s="198"/>
      <c r="H89" s="199"/>
      <c r="I89" s="203"/>
      <c r="J89" s="194"/>
      <c r="K89" s="195"/>
      <c r="L89" s="195"/>
      <c r="M89" s="200"/>
    </row>
    <row r="90" spans="1:13" ht="15">
      <c r="A90" s="206"/>
      <c r="B90" s="212"/>
      <c r="C90" s="207"/>
      <c r="D90" s="211"/>
      <c r="E90" s="213"/>
      <c r="F90" s="193"/>
      <c r="G90" s="198"/>
      <c r="H90" s="199"/>
      <c r="I90" s="203"/>
      <c r="J90" s="194"/>
      <c r="K90" s="195"/>
      <c r="L90" s="195"/>
      <c r="M90" s="200"/>
    </row>
    <row r="91" spans="1:13" ht="46.95" customHeight="1">
      <c r="A91" s="206" t="s">
        <v>133</v>
      </c>
      <c r="B91" s="212" t="s">
        <v>140</v>
      </c>
      <c r="C91" s="207">
        <v>1775.48</v>
      </c>
      <c r="D91" s="191" t="s">
        <v>19</v>
      </c>
      <c r="E91" s="213">
        <v>46</v>
      </c>
      <c r="F91" s="193">
        <f>C91*E91</f>
        <v>81672.08</v>
      </c>
      <c r="G91" s="198">
        <v>848.65261800000007</v>
      </c>
      <c r="H91" s="199">
        <f>I91-G91</f>
        <v>74.017381999999884</v>
      </c>
      <c r="I91" s="203">
        <f>'Cumulative UCRETE Flooring'!AJ98</f>
        <v>922.67</v>
      </c>
      <c r="J91" s="194">
        <f>I91/C91</f>
        <v>0.51967355306733953</v>
      </c>
      <c r="K91" s="195">
        <f>G91*E91</f>
        <v>39038.020428000003</v>
      </c>
      <c r="L91" s="195">
        <f>H91*E91</f>
        <v>3404.7995719999944</v>
      </c>
      <c r="M91" s="200">
        <f>L91+K91</f>
        <v>42442.82</v>
      </c>
    </row>
    <row r="92" spans="1:13" ht="15">
      <c r="A92" s="206"/>
      <c r="B92" s="212"/>
      <c r="C92" s="207"/>
      <c r="D92" s="211"/>
      <c r="E92" s="213"/>
      <c r="F92" s="193"/>
      <c r="G92" s="198"/>
      <c r="H92" s="199"/>
      <c r="I92" s="203"/>
      <c r="J92" s="194"/>
      <c r="K92" s="195"/>
      <c r="L92" s="195"/>
      <c r="M92" s="200"/>
    </row>
    <row r="93" spans="1:13" ht="37.200000000000003" customHeight="1">
      <c r="A93" s="206" t="s">
        <v>124</v>
      </c>
      <c r="B93" s="212" t="s">
        <v>125</v>
      </c>
      <c r="C93" s="207">
        <v>150</v>
      </c>
      <c r="D93" s="191" t="s">
        <v>19</v>
      </c>
      <c r="E93" s="213">
        <v>14</v>
      </c>
      <c r="F93" s="193">
        <f>C93*E93</f>
        <v>2100</v>
      </c>
      <c r="G93" s="198">
        <v>229.51</v>
      </c>
      <c r="H93" s="199">
        <f>I93-G93</f>
        <v>27.220000000000027</v>
      </c>
      <c r="I93" s="203">
        <v>256.73</v>
      </c>
      <c r="J93" s="194">
        <f>I93/C93</f>
        <v>1.7115333333333334</v>
      </c>
      <c r="K93" s="195">
        <f>G93*E93</f>
        <v>3213.14</v>
      </c>
      <c r="L93" s="195">
        <f>H93*E93</f>
        <v>381.08000000000038</v>
      </c>
      <c r="M93" s="200">
        <f>L93+K93</f>
        <v>3594.2200000000003</v>
      </c>
    </row>
    <row r="94" spans="1:13" ht="15">
      <c r="A94" s="206"/>
      <c r="B94" s="212"/>
      <c r="C94" s="268"/>
      <c r="D94" s="211"/>
      <c r="E94" s="213"/>
      <c r="F94" s="193"/>
      <c r="G94" s="198"/>
      <c r="H94" s="199" t="s">
        <v>0</v>
      </c>
      <c r="I94" s="203" t="s">
        <v>0</v>
      </c>
      <c r="J94" s="205" t="s">
        <v>0</v>
      </c>
      <c r="K94" s="195" t="s">
        <v>0</v>
      </c>
      <c r="L94" s="195" t="s">
        <v>0</v>
      </c>
      <c r="M94" s="200" t="s">
        <v>0</v>
      </c>
    </row>
    <row r="95" spans="1:13" ht="22.2" customHeight="1">
      <c r="A95" s="942" t="s">
        <v>126</v>
      </c>
      <c r="B95" s="943"/>
      <c r="C95" s="271"/>
      <c r="D95" s="290"/>
      <c r="E95" s="291"/>
      <c r="F95" s="292">
        <f>SUM(F80:F94)</f>
        <v>351534.83</v>
      </c>
      <c r="G95" s="272"/>
      <c r="H95" s="273"/>
      <c r="I95" s="272"/>
      <c r="J95" s="293"/>
      <c r="K95" s="294">
        <f>SUM(K84:K94)</f>
        <v>203621.76686977496</v>
      </c>
      <c r="L95" s="294">
        <f>SUM(L84:L94)</f>
        <v>20059.179571999994</v>
      </c>
      <c r="M95" s="295">
        <f>L95+K95</f>
        <v>223680.94644177496</v>
      </c>
    </row>
    <row r="96" spans="1:13" s="165" customFormat="1" ht="15.6" customHeight="1">
      <c r="A96" s="269"/>
      <c r="B96" s="270"/>
      <c r="C96" s="253"/>
      <c r="D96" s="254"/>
      <c r="E96" s="255"/>
      <c r="F96" s="256"/>
      <c r="G96" s="257"/>
      <c r="H96" s="258"/>
      <c r="I96" s="257"/>
      <c r="J96" s="259"/>
      <c r="K96" s="260"/>
      <c r="L96" s="260"/>
      <c r="M96" s="261"/>
    </row>
    <row r="97" spans="1:13" s="165" customFormat="1" ht="6" customHeight="1" thickBot="1">
      <c r="A97" s="269"/>
      <c r="B97" s="270"/>
      <c r="C97" s="253"/>
      <c r="D97" s="254"/>
      <c r="E97" s="255"/>
      <c r="F97" s="256"/>
      <c r="G97" s="257"/>
      <c r="H97" s="258"/>
      <c r="I97" s="257"/>
      <c r="J97" s="259"/>
      <c r="K97" s="260"/>
      <c r="L97" s="260"/>
      <c r="M97" s="261"/>
    </row>
    <row r="98" spans="1:13" ht="15.6" customHeight="1" thickTop="1">
      <c r="A98" s="252"/>
      <c r="B98" s="969" t="s">
        <v>143</v>
      </c>
      <c r="C98" s="253"/>
      <c r="D98" s="254"/>
      <c r="E98" s="255"/>
      <c r="F98" s="256"/>
      <c r="G98" s="257"/>
      <c r="H98" s="258"/>
      <c r="I98" s="257"/>
      <c r="J98" s="259"/>
      <c r="K98" s="260"/>
      <c r="L98" s="260"/>
      <c r="M98" s="261"/>
    </row>
    <row r="99" spans="1:13" ht="15.6" customHeight="1" thickBot="1">
      <c r="A99" s="262"/>
      <c r="B99" s="970"/>
      <c r="C99" s="263"/>
      <c r="D99" s="264"/>
      <c r="E99" s="264"/>
      <c r="F99" s="265"/>
      <c r="G99" s="265"/>
      <c r="H99" s="265"/>
      <c r="I99" s="265"/>
      <c r="J99" s="265"/>
      <c r="K99" s="264"/>
      <c r="L99" s="264"/>
      <c r="M99" s="266"/>
    </row>
    <row r="100" spans="1:13" ht="25.8" customHeight="1" thickTop="1">
      <c r="A100" s="214">
        <v>9</v>
      </c>
      <c r="B100" s="299" t="s">
        <v>144</v>
      </c>
      <c r="C100" s="207"/>
      <c r="D100" s="211"/>
      <c r="E100" s="213"/>
      <c r="F100" s="193" t="s">
        <v>0</v>
      </c>
      <c r="G100" s="192"/>
      <c r="H100" s="192"/>
      <c r="I100" s="192"/>
      <c r="J100" s="194"/>
      <c r="K100" s="195"/>
      <c r="L100" s="195"/>
      <c r="M100" s="187"/>
    </row>
    <row r="101" spans="1:13" ht="15.6" customHeight="1">
      <c r="A101" s="214"/>
      <c r="B101" s="215"/>
      <c r="C101" s="207"/>
      <c r="D101" s="211"/>
      <c r="E101" s="213"/>
      <c r="F101" s="193"/>
      <c r="G101" s="198"/>
      <c r="H101" s="199"/>
      <c r="I101" s="203"/>
      <c r="J101" s="194"/>
      <c r="K101" s="195"/>
      <c r="L101" s="195"/>
      <c r="M101" s="200"/>
    </row>
    <row r="102" spans="1:13" ht="27.6" customHeight="1">
      <c r="A102" s="206" t="s">
        <v>152</v>
      </c>
      <c r="B102" s="212" t="s">
        <v>145</v>
      </c>
      <c r="C102" s="207">
        <v>12000</v>
      </c>
      <c r="D102" s="191" t="s">
        <v>16</v>
      </c>
      <c r="E102" s="213">
        <v>3</v>
      </c>
      <c r="F102" s="193">
        <f>E102*C102</f>
        <v>36000</v>
      </c>
      <c r="G102" s="192">
        <v>3419.2</v>
      </c>
      <c r="H102" s="199">
        <f>'Carpark coating'!H10</f>
        <v>2877.0750000000003</v>
      </c>
      <c r="I102" s="203">
        <f>H102+G102</f>
        <v>6296.2749999999996</v>
      </c>
      <c r="J102" s="194">
        <f t="shared" ref="J102" si="0">I102/C102</f>
        <v>0.52468958333333326</v>
      </c>
      <c r="K102" s="195">
        <f t="shared" ref="K102" si="1">G102*E102</f>
        <v>10257.599999999999</v>
      </c>
      <c r="L102" s="195">
        <f t="shared" ref="L102" si="2">H102*E102</f>
        <v>8631.2250000000004</v>
      </c>
      <c r="M102" s="200">
        <f t="shared" ref="M102" si="3">L102+K102</f>
        <v>18888.824999999997</v>
      </c>
    </row>
    <row r="103" spans="1:13" ht="15.6" customHeight="1">
      <c r="A103" s="214"/>
      <c r="B103" s="212"/>
      <c r="C103" s="207"/>
      <c r="D103" s="211"/>
      <c r="E103" s="213"/>
      <c r="F103" s="193"/>
      <c r="G103" s="192" t="s">
        <v>0</v>
      </c>
      <c r="H103" s="199" t="s">
        <v>0</v>
      </c>
      <c r="I103" s="203" t="s">
        <v>0</v>
      </c>
      <c r="J103" s="194" t="s">
        <v>0</v>
      </c>
      <c r="K103" s="195" t="s">
        <v>0</v>
      </c>
      <c r="L103" s="195" t="s">
        <v>0</v>
      </c>
      <c r="M103" s="200" t="s">
        <v>0</v>
      </c>
    </row>
    <row r="104" spans="1:13" ht="30" customHeight="1">
      <c r="A104" s="206" t="s">
        <v>153</v>
      </c>
      <c r="B104" s="212" t="s">
        <v>146</v>
      </c>
      <c r="C104" s="207">
        <v>1530</v>
      </c>
      <c r="D104" s="191" t="s">
        <v>16</v>
      </c>
      <c r="E104" s="213">
        <v>12</v>
      </c>
      <c r="F104" s="193">
        <f>E104*C104</f>
        <v>18360</v>
      </c>
      <c r="G104" s="192">
        <v>0</v>
      </c>
      <c r="H104" s="199">
        <v>0</v>
      </c>
      <c r="I104" s="203">
        <f>H104+G104</f>
        <v>0</v>
      </c>
      <c r="J104" s="194">
        <f>I104/C104</f>
        <v>0</v>
      </c>
      <c r="K104" s="195">
        <f>G104*E104</f>
        <v>0</v>
      </c>
      <c r="L104" s="195">
        <f>H104*E104</f>
        <v>0</v>
      </c>
      <c r="M104" s="200">
        <f>L104+K104</f>
        <v>0</v>
      </c>
    </row>
    <row r="105" spans="1:13" ht="15" customHeight="1">
      <c r="A105" s="214"/>
      <c r="B105" s="212"/>
      <c r="C105" s="207"/>
      <c r="D105" s="211"/>
      <c r="E105" s="213"/>
      <c r="F105" s="193"/>
      <c r="G105" s="198"/>
      <c r="H105" s="199"/>
      <c r="I105" s="198"/>
      <c r="J105" s="194"/>
      <c r="K105" s="195"/>
      <c r="L105" s="195"/>
      <c r="M105" s="200"/>
    </row>
    <row r="106" spans="1:13" ht="30" customHeight="1">
      <c r="A106" s="206" t="s">
        <v>154</v>
      </c>
      <c r="B106" s="212" t="s">
        <v>147</v>
      </c>
      <c r="C106" s="207">
        <v>8000</v>
      </c>
      <c r="D106" s="191" t="s">
        <v>16</v>
      </c>
      <c r="E106" s="213">
        <v>30</v>
      </c>
      <c r="F106" s="193">
        <f>E106*C106</f>
        <v>240000</v>
      </c>
      <c r="G106" s="192">
        <v>2026.7</v>
      </c>
      <c r="H106" s="199">
        <f>'Carpark coating'!H12</f>
        <v>1970.4999999999998</v>
      </c>
      <c r="I106" s="203">
        <f>H106+G106</f>
        <v>3997.2</v>
      </c>
      <c r="J106" s="194">
        <f>I106/C106</f>
        <v>0.49964999999999998</v>
      </c>
      <c r="K106" s="195">
        <f>G106*E106</f>
        <v>60801</v>
      </c>
      <c r="L106" s="195">
        <f>H106*E106</f>
        <v>59114.999999999993</v>
      </c>
      <c r="M106" s="200">
        <f>L106+K106</f>
        <v>119916</v>
      </c>
    </row>
    <row r="107" spans="1:13" ht="14.4" customHeight="1">
      <c r="A107" s="206"/>
      <c r="B107" s="212"/>
      <c r="C107" s="207"/>
      <c r="D107" s="211"/>
      <c r="E107" s="213"/>
      <c r="F107" s="193"/>
      <c r="G107" s="192"/>
      <c r="H107" s="199"/>
      <c r="I107" s="203"/>
      <c r="J107" s="194" t="s">
        <v>0</v>
      </c>
      <c r="K107" s="195">
        <f t="shared" ref="K107:K114" si="4">G107*E107</f>
        <v>0</v>
      </c>
      <c r="L107" s="195"/>
      <c r="M107" s="200"/>
    </row>
    <row r="108" spans="1:13" ht="30" customHeight="1">
      <c r="A108" s="206" t="s">
        <v>155</v>
      </c>
      <c r="B108" s="212" t="s">
        <v>148</v>
      </c>
      <c r="C108" s="207">
        <v>10000</v>
      </c>
      <c r="D108" s="191" t="s">
        <v>16</v>
      </c>
      <c r="E108" s="213">
        <v>30</v>
      </c>
      <c r="F108" s="193">
        <f>E108*C108</f>
        <v>300000</v>
      </c>
      <c r="G108" s="198">
        <v>1392.5</v>
      </c>
      <c r="H108" s="199">
        <f>'Carpark coating'!H13</f>
        <v>1226.25</v>
      </c>
      <c r="I108" s="203">
        <f>H108+G108</f>
        <v>2618.75</v>
      </c>
      <c r="J108" s="194">
        <f t="shared" ref="J108:J112" si="5">I108/C108</f>
        <v>0.26187500000000002</v>
      </c>
      <c r="K108" s="195">
        <f t="shared" si="4"/>
        <v>41775</v>
      </c>
      <c r="L108" s="195">
        <f>H108*E108</f>
        <v>36787.5</v>
      </c>
      <c r="M108" s="200">
        <f>L108+K108</f>
        <v>78562.5</v>
      </c>
    </row>
    <row r="109" spans="1:13" ht="15" customHeight="1">
      <c r="A109" s="206"/>
      <c r="B109" s="212"/>
      <c r="C109" s="207"/>
      <c r="D109" s="211"/>
      <c r="E109" s="213"/>
      <c r="F109" s="193"/>
      <c r="G109" s="198"/>
      <c r="H109" s="199"/>
      <c r="I109" s="203"/>
      <c r="J109" s="194" t="s">
        <v>0</v>
      </c>
      <c r="K109" s="195">
        <f t="shared" si="4"/>
        <v>0</v>
      </c>
      <c r="L109" s="195">
        <f t="shared" ref="L109:L114" si="6">H109*E109</f>
        <v>0</v>
      </c>
      <c r="M109" s="200">
        <f t="shared" ref="M109:M114" si="7">L109+K109</f>
        <v>0</v>
      </c>
    </row>
    <row r="110" spans="1:13" ht="30" customHeight="1">
      <c r="A110" s="206" t="s">
        <v>156</v>
      </c>
      <c r="B110" s="212" t="s">
        <v>149</v>
      </c>
      <c r="C110" s="207">
        <v>532</v>
      </c>
      <c r="D110" s="191" t="s">
        <v>16</v>
      </c>
      <c r="E110" s="213">
        <v>30</v>
      </c>
      <c r="F110" s="193">
        <f>E110*C110</f>
        <v>15960</v>
      </c>
      <c r="G110" s="198">
        <v>0</v>
      </c>
      <c r="H110" s="199">
        <v>0</v>
      </c>
      <c r="I110" s="203">
        <f>H110+G110</f>
        <v>0</v>
      </c>
      <c r="J110" s="194">
        <f t="shared" si="5"/>
        <v>0</v>
      </c>
      <c r="K110" s="195">
        <f t="shared" si="4"/>
        <v>0</v>
      </c>
      <c r="L110" s="195">
        <f t="shared" si="6"/>
        <v>0</v>
      </c>
      <c r="M110" s="200">
        <f t="shared" si="7"/>
        <v>0</v>
      </c>
    </row>
    <row r="111" spans="1:13" ht="15" customHeight="1">
      <c r="A111" s="206"/>
      <c r="B111" s="212"/>
      <c r="C111" s="207"/>
      <c r="D111" s="211"/>
      <c r="E111" s="213"/>
      <c r="F111" s="193"/>
      <c r="G111" s="198"/>
      <c r="H111" s="199"/>
      <c r="I111" s="203"/>
      <c r="J111" s="194" t="s">
        <v>0</v>
      </c>
      <c r="K111" s="195">
        <f t="shared" si="4"/>
        <v>0</v>
      </c>
      <c r="L111" s="195">
        <f t="shared" si="6"/>
        <v>0</v>
      </c>
      <c r="M111" s="200">
        <f t="shared" si="7"/>
        <v>0</v>
      </c>
    </row>
    <row r="112" spans="1:13" ht="30" customHeight="1">
      <c r="A112" s="206" t="s">
        <v>157</v>
      </c>
      <c r="B112" s="212" t="s">
        <v>150</v>
      </c>
      <c r="C112" s="207">
        <v>1050</v>
      </c>
      <c r="D112" s="191" t="s">
        <v>16</v>
      </c>
      <c r="E112" s="213">
        <v>95</v>
      </c>
      <c r="F112" s="193">
        <f>E112*C112</f>
        <v>99750</v>
      </c>
      <c r="G112" s="198">
        <v>0</v>
      </c>
      <c r="H112" s="199">
        <v>0</v>
      </c>
      <c r="I112" s="203">
        <f>H112+G112</f>
        <v>0</v>
      </c>
      <c r="J112" s="194">
        <f t="shared" si="5"/>
        <v>0</v>
      </c>
      <c r="K112" s="195">
        <f t="shared" si="4"/>
        <v>0</v>
      </c>
      <c r="L112" s="195">
        <f t="shared" si="6"/>
        <v>0</v>
      </c>
      <c r="M112" s="200">
        <f t="shared" si="7"/>
        <v>0</v>
      </c>
    </row>
    <row r="113" spans="1:13" ht="15.6" customHeight="1">
      <c r="A113" s="206"/>
      <c r="B113" s="212"/>
      <c r="C113" s="207"/>
      <c r="D113" s="211"/>
      <c r="E113" s="213"/>
      <c r="F113" s="193"/>
      <c r="G113" s="198"/>
      <c r="H113" s="199"/>
      <c r="I113" s="203"/>
      <c r="J113" s="194" t="s">
        <v>0</v>
      </c>
      <c r="K113" s="195">
        <f t="shared" si="4"/>
        <v>0</v>
      </c>
      <c r="L113" s="195">
        <f t="shared" si="6"/>
        <v>0</v>
      </c>
      <c r="M113" s="200">
        <f t="shared" si="7"/>
        <v>0</v>
      </c>
    </row>
    <row r="114" spans="1:13" ht="30" customHeight="1">
      <c r="A114" s="206" t="s">
        <v>158</v>
      </c>
      <c r="B114" s="212" t="s">
        <v>151</v>
      </c>
      <c r="C114" s="207">
        <v>1</v>
      </c>
      <c r="D114" s="211" t="s">
        <v>135</v>
      </c>
      <c r="E114" s="300">
        <v>54000</v>
      </c>
      <c r="F114" s="193">
        <f>E114*C114</f>
        <v>54000</v>
      </c>
      <c r="G114" s="198">
        <v>0.2</v>
      </c>
      <c r="H114" s="199">
        <f>I114-G114</f>
        <v>4.9999999999999989E-2</v>
      </c>
      <c r="I114" s="203">
        <f>'Carpark coating'!H16</f>
        <v>0.25</v>
      </c>
      <c r="J114" s="194">
        <f>H114/C114</f>
        <v>4.9999999999999989E-2</v>
      </c>
      <c r="K114" s="195">
        <f t="shared" si="4"/>
        <v>10800</v>
      </c>
      <c r="L114" s="195">
        <f t="shared" si="6"/>
        <v>2699.9999999999995</v>
      </c>
      <c r="M114" s="200">
        <f t="shared" si="7"/>
        <v>13500</v>
      </c>
    </row>
    <row r="115" spans="1:13" ht="11.4" customHeight="1">
      <c r="A115" s="206"/>
      <c r="B115" s="212" t="s">
        <v>0</v>
      </c>
      <c r="C115" s="268"/>
      <c r="D115" s="211"/>
      <c r="E115" s="213"/>
      <c r="F115" s="193"/>
      <c r="G115" s="198"/>
      <c r="H115" s="199" t="s">
        <v>0</v>
      </c>
      <c r="I115" s="203" t="s">
        <v>0</v>
      </c>
      <c r="J115" s="205" t="s">
        <v>0</v>
      </c>
      <c r="K115" s="195" t="s">
        <v>0</v>
      </c>
      <c r="L115" s="195" t="s">
        <v>0</v>
      </c>
      <c r="M115" s="200" t="s">
        <v>0</v>
      </c>
    </row>
    <row r="116" spans="1:13" s="905" customFormat="1" ht="30" customHeight="1">
      <c r="A116" s="914" t="s">
        <v>781</v>
      </c>
      <c r="B116" s="917" t="s">
        <v>782</v>
      </c>
      <c r="C116" s="915">
        <v>400</v>
      </c>
      <c r="D116" s="916" t="s">
        <v>737</v>
      </c>
      <c r="E116" s="920">
        <v>45</v>
      </c>
      <c r="F116" s="906">
        <f>E116*C116</f>
        <v>18000</v>
      </c>
      <c r="G116" s="909">
        <v>0</v>
      </c>
      <c r="H116" s="910">
        <f>I116-G116</f>
        <v>178</v>
      </c>
      <c r="I116" s="912">
        <f>'Carpark coating'!H17</f>
        <v>178</v>
      </c>
      <c r="J116" s="907">
        <f>H116/C116</f>
        <v>0.44500000000000001</v>
      </c>
      <c r="K116" s="908">
        <f t="shared" ref="K116" si="8">G116*E116</f>
        <v>0</v>
      </c>
      <c r="L116" s="908">
        <f t="shared" ref="L116" si="9">H116*E116</f>
        <v>8010</v>
      </c>
      <c r="M116" s="911">
        <f t="shared" ref="M116" si="10">L116+K116</f>
        <v>8010</v>
      </c>
    </row>
    <row r="117" spans="1:13" s="905" customFormat="1" ht="11.4" customHeight="1">
      <c r="A117" s="914"/>
      <c r="B117" s="917" t="s">
        <v>0</v>
      </c>
      <c r="C117" s="919"/>
      <c r="D117" s="916"/>
      <c r="E117" s="918"/>
      <c r="F117" s="906"/>
      <c r="G117" s="909"/>
      <c r="H117" s="910" t="s">
        <v>0</v>
      </c>
      <c r="I117" s="912" t="s">
        <v>0</v>
      </c>
      <c r="J117" s="913" t="s">
        <v>0</v>
      </c>
      <c r="K117" s="908" t="s">
        <v>0</v>
      </c>
      <c r="L117" s="908" t="s">
        <v>0</v>
      </c>
      <c r="M117" s="911" t="s">
        <v>0</v>
      </c>
    </row>
    <row r="118" spans="1:13" ht="27.6" customHeight="1" thickBot="1">
      <c r="A118" s="974" t="s">
        <v>142</v>
      </c>
      <c r="B118" s="975"/>
      <c r="C118" s="218"/>
      <c r="D118" s="219"/>
      <c r="E118" s="220"/>
      <c r="F118" s="221">
        <f>SUM(F102:F115)</f>
        <v>764070</v>
      </c>
      <c r="G118" s="222"/>
      <c r="H118" s="223"/>
      <c r="I118" s="222"/>
      <c r="J118" s="224"/>
      <c r="K118" s="225">
        <f>SUM(K100:K115)</f>
        <v>123633.60000000001</v>
      </c>
      <c r="L118" s="225">
        <f>SUM(L102:L115)</f>
        <v>107233.72499999999</v>
      </c>
      <c r="M118" s="301">
        <f>SUM(M102:M114)</f>
        <v>230867.32500000001</v>
      </c>
    </row>
    <row r="119" spans="1:13" ht="16.2" thickTop="1">
      <c r="A119" s="269"/>
      <c r="B119" s="270"/>
      <c r="C119" s="253"/>
      <c r="D119" s="254"/>
      <c r="E119" s="255"/>
      <c r="F119" s="256"/>
      <c r="G119" s="257"/>
      <c r="H119" s="258"/>
      <c r="I119" s="257"/>
      <c r="J119" s="259"/>
      <c r="K119" s="260"/>
      <c r="L119" s="260"/>
      <c r="M119" s="261"/>
    </row>
    <row r="120" spans="1:13" ht="31.8" thickBot="1">
      <c r="A120" s="285"/>
      <c r="B120" s="285" t="s">
        <v>136</v>
      </c>
      <c r="C120" s="218">
        <v>1</v>
      </c>
      <c r="D120" s="286" t="s">
        <v>135</v>
      </c>
      <c r="E120" s="223">
        <v>51944.800000000003</v>
      </c>
      <c r="F120" s="287">
        <f>E120</f>
        <v>51944.800000000003</v>
      </c>
      <c r="G120" s="222" t="s">
        <v>0</v>
      </c>
      <c r="H120" s="223"/>
      <c r="I120" s="222"/>
      <c r="J120" s="288"/>
      <c r="K120" s="289">
        <f>F120</f>
        <v>51944.800000000003</v>
      </c>
      <c r="L120" s="289"/>
      <c r="M120" s="289">
        <f>F120</f>
        <v>51944.800000000003</v>
      </c>
    </row>
    <row r="121" spans="1:13" ht="15.6" thickTop="1">
      <c r="A121" s="262"/>
      <c r="B121" s="274"/>
      <c r="C121" s="263"/>
      <c r="D121" s="264"/>
      <c r="E121" s="264"/>
      <c r="F121" s="265"/>
      <c r="G121" s="265"/>
      <c r="H121" s="265"/>
      <c r="I121" s="265"/>
      <c r="J121" s="265"/>
      <c r="K121" s="264"/>
      <c r="L121" s="264"/>
      <c r="M121" s="275"/>
    </row>
    <row r="122" spans="1:13" ht="28.95" customHeight="1" thickBot="1">
      <c r="A122" s="944" t="s">
        <v>63</v>
      </c>
      <c r="B122" s="945"/>
      <c r="C122" s="276"/>
      <c r="D122" s="277"/>
      <c r="E122" s="278"/>
      <c r="F122" s="279">
        <f>F95+F73+F56+F120+F118</f>
        <v>1686114.6300000001</v>
      </c>
      <c r="G122" s="280"/>
      <c r="H122" s="281"/>
      <c r="I122" s="280"/>
      <c r="J122" s="282"/>
      <c r="K122" s="283">
        <f>K120+K95+K73+K56+K118</f>
        <v>545540.45227233577</v>
      </c>
      <c r="L122" s="283">
        <f>L120+L95+L73+L56+L118</f>
        <v>168589.698559304</v>
      </c>
      <c r="M122" s="284">
        <f>L122+K122</f>
        <v>714130.15083163977</v>
      </c>
    </row>
  </sheetData>
  <mergeCells count="15">
    <mergeCell ref="A95:B95"/>
    <mergeCell ref="A122:B122"/>
    <mergeCell ref="G10:I10"/>
    <mergeCell ref="J10:J11"/>
    <mergeCell ref="K10:M10"/>
    <mergeCell ref="A9:A11"/>
    <mergeCell ref="B9:B11"/>
    <mergeCell ref="C9:F10"/>
    <mergeCell ref="G9:M9"/>
    <mergeCell ref="A56:B56"/>
    <mergeCell ref="A73:B73"/>
    <mergeCell ref="B78:B79"/>
    <mergeCell ref="G73:I73"/>
    <mergeCell ref="B98:B99"/>
    <mergeCell ref="A118:B118"/>
  </mergeCells>
  <printOptions horizontalCentered="1"/>
  <pageMargins left="0.31496062992125984" right="0.27559055118110237" top="0.31496062992125984" bottom="0.31496062992125984" header="0.51181102362204722" footer="0.31496062992125984"/>
  <pageSetup paperSize="9" scale="46" fitToHeight="2" orientation="portrait" horizontalDpi="4294967293" verticalDpi="4294967293" r:id="rId1"/>
  <headerFooter>
    <oddFooter>&amp;CGeneral Summary / &amp;P</oddFooter>
  </headerFooter>
  <rowBreaks count="1" manualBreakCount="1">
    <brk id="33" max="12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16-627F-4A87-818C-7BBF5A0F6906}">
  <sheetPr>
    <pageSetUpPr fitToPage="1"/>
  </sheetPr>
  <dimension ref="A1:P322"/>
  <sheetViews>
    <sheetView topLeftCell="A5" zoomScale="85" zoomScaleNormal="85" zoomScaleSheetLayoutView="55" zoomScalePageLayoutView="90" workbookViewId="0">
      <pane xSplit="4" ySplit="2" topLeftCell="E311" activePane="bottomRight" state="frozen"/>
      <selection activeCell="A5" sqref="A5"/>
      <selection pane="topRight" activeCell="E5" sqref="E5"/>
      <selection pane="bottomLeft" activeCell="A7" sqref="A7"/>
      <selection pane="bottomRight" activeCell="C330" sqref="C330"/>
    </sheetView>
  </sheetViews>
  <sheetFormatPr defaultColWidth="8.6640625" defaultRowHeight="14.4" outlineLevelCol="1"/>
  <cols>
    <col min="1" max="1" width="5.44140625" customWidth="1"/>
    <col min="2" max="2" width="14.6640625" style="341" customWidth="1"/>
    <col min="3" max="3" width="13" customWidth="1"/>
    <col min="4" max="4" width="45.44140625" style="340" customWidth="1"/>
    <col min="5" max="6" width="12.6640625" style="308" customWidth="1" outlineLevel="1"/>
    <col min="7" max="7" width="14.6640625" customWidth="1"/>
    <col min="8" max="8" width="16.33203125" customWidth="1"/>
    <col min="9" max="9" width="15.44140625" style="27" customWidth="1"/>
    <col min="10" max="10" width="15.44140625" style="334" customWidth="1"/>
    <col min="11" max="11" width="16.88671875" style="308" bestFit="1" customWidth="1"/>
    <col min="12" max="12" width="13.109375" style="308" customWidth="1"/>
    <col min="13" max="13" width="18.6640625" customWidth="1"/>
    <col min="14" max="14" width="14.88671875" customWidth="1"/>
    <col min="15" max="15" width="14.33203125" customWidth="1"/>
  </cols>
  <sheetData>
    <row r="1" spans="1:16" s="516" customFormat="1" ht="30.45" customHeight="1">
      <c r="A1" s="512" t="s">
        <v>327</v>
      </c>
      <c r="B1" s="513"/>
      <c r="C1" s="512"/>
      <c r="D1" s="514"/>
      <c r="E1" s="515"/>
      <c r="F1" s="515"/>
      <c r="I1" s="517"/>
      <c r="J1" s="517"/>
      <c r="K1" s="515"/>
      <c r="L1" s="515"/>
    </row>
    <row r="2" spans="1:16" s="516" customFormat="1" ht="30.45" customHeight="1">
      <c r="A2" s="512" t="s">
        <v>328</v>
      </c>
      <c r="B2" s="513"/>
      <c r="C2" s="512"/>
      <c r="D2" s="514"/>
      <c r="E2" s="515"/>
      <c r="F2" s="515"/>
      <c r="I2" s="517"/>
      <c r="J2" s="517"/>
      <c r="K2" s="515"/>
      <c r="L2" s="515"/>
    </row>
    <row r="3" spans="1:16" s="516" customFormat="1" ht="30.45" customHeight="1">
      <c r="A3" s="512" t="s">
        <v>329</v>
      </c>
      <c r="B3" s="513"/>
      <c r="C3" s="512"/>
      <c r="D3" s="514"/>
      <c r="E3" s="515"/>
      <c r="F3" s="515"/>
      <c r="G3" s="518"/>
      <c r="H3" s="519" t="s">
        <v>330</v>
      </c>
      <c r="K3" s="515"/>
      <c r="L3" s="515"/>
    </row>
    <row r="4" spans="1:16" s="516" customFormat="1" ht="30.45" customHeight="1" thickBot="1">
      <c r="A4" s="512" t="s">
        <v>331</v>
      </c>
      <c r="B4" s="513"/>
      <c r="C4" s="512"/>
      <c r="D4" s="514"/>
      <c r="E4" s="515"/>
      <c r="F4" s="515"/>
      <c r="G4" s="995" t="s">
        <v>0</v>
      </c>
      <c r="H4" s="995"/>
      <c r="I4" s="520" t="s">
        <v>0</v>
      </c>
      <c r="J4" s="520" t="s">
        <v>0</v>
      </c>
      <c r="K4" s="515"/>
      <c r="L4" s="515"/>
    </row>
    <row r="5" spans="1:16" ht="33" customHeight="1" thickBot="1">
      <c r="A5" s="985" t="s">
        <v>332</v>
      </c>
      <c r="B5" s="986"/>
      <c r="C5" s="986"/>
      <c r="D5" s="986"/>
      <c r="E5" s="521"/>
      <c r="F5" s="521"/>
      <c r="G5" s="996" t="s">
        <v>333</v>
      </c>
      <c r="H5" s="997"/>
      <c r="I5" s="998" t="s">
        <v>334</v>
      </c>
      <c r="J5" s="998"/>
      <c r="K5" s="991" t="s">
        <v>335</v>
      </c>
      <c r="L5" s="992"/>
      <c r="M5" s="999" t="s">
        <v>201</v>
      </c>
      <c r="N5" s="1000"/>
      <c r="O5" s="522" t="s">
        <v>0</v>
      </c>
    </row>
    <row r="6" spans="1:16" ht="40.950000000000003" customHeight="1">
      <c r="A6" s="523" t="s">
        <v>202</v>
      </c>
      <c r="B6" s="523" t="s">
        <v>169</v>
      </c>
      <c r="C6" s="523" t="s">
        <v>203</v>
      </c>
      <c r="D6" s="524" t="s">
        <v>204</v>
      </c>
      <c r="E6" s="525"/>
      <c r="F6" s="526"/>
      <c r="G6" s="527" t="s">
        <v>336</v>
      </c>
      <c r="H6" s="528" t="s">
        <v>337</v>
      </c>
      <c r="I6" s="529" t="s">
        <v>205</v>
      </c>
      <c r="J6" s="530" t="s">
        <v>206</v>
      </c>
      <c r="K6" s="531" t="s">
        <v>205</v>
      </c>
      <c r="L6" s="532" t="s">
        <v>206</v>
      </c>
      <c r="M6" s="533" t="s">
        <v>205</v>
      </c>
      <c r="N6" s="534" t="s">
        <v>206</v>
      </c>
      <c r="O6" s="28"/>
    </row>
    <row r="7" spans="1:16" ht="22.2" customHeight="1">
      <c r="A7" s="535">
        <v>1</v>
      </c>
      <c r="B7" s="536" t="s">
        <v>175</v>
      </c>
      <c r="C7" s="537" t="s">
        <v>338</v>
      </c>
      <c r="D7" s="538" t="s">
        <v>227</v>
      </c>
      <c r="E7" s="539">
        <v>24254999.6065</v>
      </c>
      <c r="F7" s="539">
        <v>21699.999800000001</v>
      </c>
      <c r="G7" s="540">
        <f>E7/1000000</f>
        <v>24.2549996065</v>
      </c>
      <c r="H7" s="541">
        <f>F7/1000</f>
        <v>21.699999800000001</v>
      </c>
      <c r="I7" s="542">
        <v>24.2549996065</v>
      </c>
      <c r="J7" s="543">
        <v>21.699999800000001</v>
      </c>
      <c r="K7" s="544"/>
      <c r="L7" s="545"/>
      <c r="M7" s="546">
        <f>K7+I7</f>
        <v>24.2549996065</v>
      </c>
      <c r="N7" s="547">
        <f t="shared" ref="M7:N24" si="0">L7+J7</f>
        <v>21.699999800000001</v>
      </c>
      <c r="O7" s="899"/>
      <c r="P7" t="b">
        <f>H7=N7</f>
        <v>1</v>
      </c>
    </row>
    <row r="8" spans="1:16" ht="16.2" thickBot="1">
      <c r="A8" s="548">
        <v>2</v>
      </c>
      <c r="B8" s="548" t="s">
        <v>175</v>
      </c>
      <c r="C8" s="549"/>
      <c r="D8" s="550" t="s">
        <v>339</v>
      </c>
      <c r="E8" s="551">
        <v>29463664.1439</v>
      </c>
      <c r="F8" s="552">
        <v>42592.886200000001</v>
      </c>
      <c r="G8" s="553">
        <f t="shared" ref="G8:G36" si="1">E8/1000000</f>
        <v>29.463664143900001</v>
      </c>
      <c r="H8" s="554">
        <f t="shared" ref="H8" si="2">F8/1000</f>
        <v>42.592886200000002</v>
      </c>
      <c r="I8" s="555">
        <v>29.463664143900001</v>
      </c>
      <c r="J8" s="556">
        <v>42.592886200000002</v>
      </c>
      <c r="K8" s="557"/>
      <c r="L8" s="558"/>
      <c r="M8" s="559">
        <f t="shared" si="0"/>
        <v>29.463664143900001</v>
      </c>
      <c r="N8" s="560">
        <f t="shared" si="0"/>
        <v>42.592886200000002</v>
      </c>
      <c r="O8" s="899"/>
      <c r="P8" t="b">
        <f t="shared" ref="P8:P24" si="3">H8=N8</f>
        <v>1</v>
      </c>
    </row>
    <row r="9" spans="1:16" ht="15.6">
      <c r="A9" s="561">
        <v>3</v>
      </c>
      <c r="B9" s="562" t="s">
        <v>209</v>
      </c>
      <c r="C9" s="563" t="s">
        <v>340</v>
      </c>
      <c r="D9" s="564" t="s">
        <v>341</v>
      </c>
      <c r="E9" s="565">
        <v>29155832.326099999</v>
      </c>
      <c r="F9" s="565">
        <v>27385.104500000001</v>
      </c>
      <c r="G9" s="566">
        <v>28.89</v>
      </c>
      <c r="H9" s="567">
        <v>26.94</v>
      </c>
      <c r="I9" s="568">
        <v>28.89</v>
      </c>
      <c r="J9" s="569">
        <v>26.94</v>
      </c>
      <c r="K9" s="570"/>
      <c r="L9" s="571"/>
      <c r="M9" s="572">
        <f t="shared" si="0"/>
        <v>28.89</v>
      </c>
      <c r="N9" s="573">
        <f t="shared" si="0"/>
        <v>26.94</v>
      </c>
      <c r="O9" s="899"/>
      <c r="P9" t="b">
        <f t="shared" si="3"/>
        <v>1</v>
      </c>
    </row>
    <row r="10" spans="1:16" ht="15.6">
      <c r="A10" s="535">
        <v>4</v>
      </c>
      <c r="B10" s="561" t="s">
        <v>209</v>
      </c>
      <c r="C10" s="574" t="s">
        <v>342</v>
      </c>
      <c r="D10" s="575" t="s">
        <v>343</v>
      </c>
      <c r="E10" s="576">
        <v>23333521.557500001</v>
      </c>
      <c r="F10" s="577">
        <v>23106.778300000002</v>
      </c>
      <c r="G10" s="578">
        <f t="shared" si="1"/>
        <v>23.333521557500003</v>
      </c>
      <c r="H10" s="579">
        <f>F10/1000</f>
        <v>23.106778300000002</v>
      </c>
      <c r="I10" s="580">
        <v>23.333521557500003</v>
      </c>
      <c r="J10" s="581">
        <v>23.106778300000002</v>
      </c>
      <c r="K10" s="582"/>
      <c r="L10" s="583"/>
      <c r="M10" s="572">
        <f t="shared" si="0"/>
        <v>23.333521557500003</v>
      </c>
      <c r="N10" s="573">
        <f t="shared" si="0"/>
        <v>23.106778300000002</v>
      </c>
      <c r="O10" s="899"/>
      <c r="P10" t="b">
        <f t="shared" si="3"/>
        <v>1</v>
      </c>
    </row>
    <row r="11" spans="1:16" ht="15.6">
      <c r="A11" s="535">
        <v>5</v>
      </c>
      <c r="B11" s="536" t="s">
        <v>209</v>
      </c>
      <c r="C11" s="537" t="s">
        <v>344</v>
      </c>
      <c r="D11" s="538" t="s">
        <v>345</v>
      </c>
      <c r="E11" s="539">
        <v>43788711.779799998</v>
      </c>
      <c r="F11" s="539">
        <v>24683.641599999999</v>
      </c>
      <c r="G11" s="584">
        <f t="shared" si="1"/>
        <v>43.788711779799996</v>
      </c>
      <c r="H11" s="585">
        <f t="shared" ref="H11:H23" si="4">F11/1000</f>
        <v>24.683641599999998</v>
      </c>
      <c r="I11" s="580">
        <v>43.788711779799996</v>
      </c>
      <c r="J11" s="581">
        <v>24.683641599999998</v>
      </c>
      <c r="K11" s="582"/>
      <c r="L11" s="583"/>
      <c r="M11" s="572">
        <f t="shared" si="0"/>
        <v>43.788711779799996</v>
      </c>
      <c r="N11" s="573">
        <f t="shared" si="0"/>
        <v>24.683641599999998</v>
      </c>
      <c r="O11" s="899"/>
      <c r="P11" t="b">
        <f t="shared" si="3"/>
        <v>1</v>
      </c>
    </row>
    <row r="12" spans="1:16" ht="15.6">
      <c r="A12" s="561">
        <v>6</v>
      </c>
      <c r="B12" s="536" t="s">
        <v>209</v>
      </c>
      <c r="C12" s="537" t="s">
        <v>346</v>
      </c>
      <c r="D12" s="538" t="s">
        <v>347</v>
      </c>
      <c r="E12" s="539">
        <v>38430767.739500001</v>
      </c>
      <c r="F12" s="539">
        <v>24628.394100000001</v>
      </c>
      <c r="G12" s="584">
        <f t="shared" si="1"/>
        <v>38.430767739499998</v>
      </c>
      <c r="H12" s="585">
        <f t="shared" si="4"/>
        <v>24.628394100000001</v>
      </c>
      <c r="I12" s="580">
        <v>38.430767739499998</v>
      </c>
      <c r="J12" s="581">
        <v>24.628394100000001</v>
      </c>
      <c r="K12" s="582"/>
      <c r="L12" s="583"/>
      <c r="M12" s="572">
        <f t="shared" si="0"/>
        <v>38.430767739499998</v>
      </c>
      <c r="N12" s="573">
        <f t="shared" si="0"/>
        <v>24.628394100000001</v>
      </c>
      <c r="O12" s="902"/>
      <c r="P12" t="b">
        <f t="shared" si="3"/>
        <v>1</v>
      </c>
    </row>
    <row r="13" spans="1:16" ht="15.6">
      <c r="A13" s="535">
        <v>7</v>
      </c>
      <c r="B13" s="536" t="s">
        <v>209</v>
      </c>
      <c r="C13" s="537" t="s">
        <v>348</v>
      </c>
      <c r="D13" s="538" t="s">
        <v>349</v>
      </c>
      <c r="E13" s="539">
        <v>112051849.30249999</v>
      </c>
      <c r="F13" s="539">
        <v>53833.145299999996</v>
      </c>
      <c r="G13" s="584">
        <f t="shared" si="1"/>
        <v>112.05184930249999</v>
      </c>
      <c r="H13" s="585">
        <f t="shared" si="4"/>
        <v>53.833145299999998</v>
      </c>
      <c r="I13" s="580">
        <v>112.05184930249999</v>
      </c>
      <c r="J13" s="581">
        <v>53.833145299999998</v>
      </c>
      <c r="K13" s="582"/>
      <c r="L13" s="583"/>
      <c r="M13" s="572">
        <f t="shared" si="0"/>
        <v>112.05184930249999</v>
      </c>
      <c r="N13" s="573">
        <f t="shared" si="0"/>
        <v>53.833145299999998</v>
      </c>
      <c r="O13" s="902"/>
      <c r="P13" t="b">
        <f t="shared" si="3"/>
        <v>1</v>
      </c>
    </row>
    <row r="14" spans="1:16" ht="15.6">
      <c r="A14" s="535">
        <v>8</v>
      </c>
      <c r="B14" s="535" t="s">
        <v>209</v>
      </c>
      <c r="C14" s="586" t="s">
        <v>350</v>
      </c>
      <c r="D14" s="587" t="s">
        <v>351</v>
      </c>
      <c r="E14" s="588">
        <v>50017842.504900001</v>
      </c>
      <c r="F14" s="589">
        <v>44991.186000000002</v>
      </c>
      <c r="G14" s="590">
        <f t="shared" si="1"/>
        <v>50.017842504900003</v>
      </c>
      <c r="H14" s="591">
        <f t="shared" si="4"/>
        <v>44.991185999999999</v>
      </c>
      <c r="I14" s="592">
        <v>0</v>
      </c>
      <c r="J14" s="593">
        <v>0</v>
      </c>
      <c r="K14" s="594"/>
      <c r="L14" s="595"/>
      <c r="M14" s="572">
        <f t="shared" ref="M14" si="5">K14+I14</f>
        <v>0</v>
      </c>
      <c r="N14" s="547">
        <f t="shared" si="0"/>
        <v>0</v>
      </c>
      <c r="O14" s="902"/>
      <c r="P14" t="b">
        <f t="shared" si="3"/>
        <v>0</v>
      </c>
    </row>
    <row r="15" spans="1:16" ht="15.6">
      <c r="A15" s="561"/>
      <c r="B15" s="535" t="s">
        <v>209</v>
      </c>
      <c r="C15" s="586" t="s">
        <v>729</v>
      </c>
      <c r="D15" s="587" t="s">
        <v>730</v>
      </c>
      <c r="E15" s="588">
        <v>17651294.924699999</v>
      </c>
      <c r="F15" s="589">
        <v>11841.9221</v>
      </c>
      <c r="G15" s="590">
        <f>E15/1000000</f>
        <v>17.6512949247</v>
      </c>
      <c r="H15" s="591">
        <f t="shared" si="4"/>
        <v>11.8419221</v>
      </c>
      <c r="I15" s="592"/>
      <c r="J15" s="593"/>
      <c r="K15" s="594">
        <f>G15</f>
        <v>17.6512949247</v>
      </c>
      <c r="L15" s="595">
        <f>H15</f>
        <v>11.8419221</v>
      </c>
      <c r="M15" s="546">
        <f t="shared" si="0"/>
        <v>17.6512949247</v>
      </c>
      <c r="N15" s="547">
        <f t="shared" si="0"/>
        <v>11.8419221</v>
      </c>
      <c r="O15" s="903" t="s">
        <v>758</v>
      </c>
    </row>
    <row r="16" spans="1:16" ht="15.6">
      <c r="A16" s="561"/>
      <c r="B16" s="833" t="s">
        <v>209</v>
      </c>
      <c r="C16" s="833" t="s">
        <v>731</v>
      </c>
      <c r="D16" s="834" t="s">
        <v>732</v>
      </c>
      <c r="E16" s="835">
        <v>202726550.9885</v>
      </c>
      <c r="F16" s="836">
        <v>65571.313999999998</v>
      </c>
      <c r="G16" s="460">
        <f t="shared" ref="G16" si="6">E16/1000000</f>
        <v>202.72655098850001</v>
      </c>
      <c r="H16" s="433">
        <f t="shared" si="4"/>
        <v>65.571314000000001</v>
      </c>
      <c r="I16" s="837"/>
      <c r="J16" s="838"/>
      <c r="K16" s="831">
        <f>G16*90%</f>
        <v>182.45389588965</v>
      </c>
      <c r="L16" s="832">
        <f>H16*90%</f>
        <v>59.014182600000005</v>
      </c>
      <c r="M16" s="839">
        <f>K16+I16</f>
        <v>182.45389588965</v>
      </c>
      <c r="N16" s="547">
        <f t="shared" si="0"/>
        <v>59.014182600000005</v>
      </c>
      <c r="O16" s="901" t="s">
        <v>757</v>
      </c>
    </row>
    <row r="17" spans="1:16" ht="15.6">
      <c r="A17" s="561">
        <v>9</v>
      </c>
      <c r="B17" s="535" t="s">
        <v>209</v>
      </c>
      <c r="C17" s="586" t="s">
        <v>352</v>
      </c>
      <c r="D17" s="587" t="s">
        <v>353</v>
      </c>
      <c r="E17" s="588">
        <v>5020519.5497000003</v>
      </c>
      <c r="F17" s="589">
        <v>9450.3441999999995</v>
      </c>
      <c r="G17" s="590">
        <f t="shared" si="1"/>
        <v>5.0205195497000004</v>
      </c>
      <c r="H17" s="591">
        <f t="shared" si="4"/>
        <v>9.4503442</v>
      </c>
      <c r="I17" s="592">
        <v>5.0205195497000004</v>
      </c>
      <c r="J17" s="593">
        <v>9.4503442</v>
      </c>
      <c r="K17" s="596"/>
      <c r="L17" s="595"/>
      <c r="M17" s="546">
        <f t="shared" si="0"/>
        <v>5.0205195497000004</v>
      </c>
      <c r="N17" s="547">
        <f t="shared" si="0"/>
        <v>9.4503442</v>
      </c>
      <c r="O17" s="902"/>
      <c r="P17" t="b">
        <f t="shared" si="3"/>
        <v>1</v>
      </c>
    </row>
    <row r="18" spans="1:16" ht="15.6">
      <c r="A18" s="535">
        <v>10</v>
      </c>
      <c r="B18" s="535" t="s">
        <v>209</v>
      </c>
      <c r="C18" s="586" t="s">
        <v>354</v>
      </c>
      <c r="D18" s="587" t="s">
        <v>355</v>
      </c>
      <c r="E18" s="588">
        <v>3231223.4512</v>
      </c>
      <c r="F18" s="589">
        <v>7450.5060999999996</v>
      </c>
      <c r="G18" s="590">
        <f t="shared" si="1"/>
        <v>3.2312234512</v>
      </c>
      <c r="H18" s="591">
        <f t="shared" si="4"/>
        <v>7.4505060999999992</v>
      </c>
      <c r="I18" s="592">
        <v>3.2312234512</v>
      </c>
      <c r="J18" s="593">
        <v>7.4505060999999992</v>
      </c>
      <c r="K18" s="596"/>
      <c r="L18" s="595"/>
      <c r="M18" s="546">
        <f t="shared" si="0"/>
        <v>3.2312234512</v>
      </c>
      <c r="N18" s="547">
        <f t="shared" si="0"/>
        <v>7.4505060999999992</v>
      </c>
      <c r="O18" s="902"/>
      <c r="P18" t="b">
        <f t="shared" si="3"/>
        <v>1</v>
      </c>
    </row>
    <row r="19" spans="1:16" ht="15.6">
      <c r="A19" s="535">
        <v>11</v>
      </c>
      <c r="B19" s="535" t="s">
        <v>209</v>
      </c>
      <c r="C19" s="586" t="s">
        <v>356</v>
      </c>
      <c r="D19" s="587" t="s">
        <v>357</v>
      </c>
      <c r="E19" s="588">
        <v>7368812.9667999996</v>
      </c>
      <c r="F19" s="589">
        <v>8602.1434000000008</v>
      </c>
      <c r="G19" s="590">
        <f t="shared" si="1"/>
        <v>7.3688129667999993</v>
      </c>
      <c r="H19" s="591">
        <f t="shared" si="4"/>
        <v>8.602143400000001</v>
      </c>
      <c r="I19" s="592">
        <v>0</v>
      </c>
      <c r="J19" s="593">
        <v>0</v>
      </c>
      <c r="K19" s="594"/>
      <c r="L19" s="595"/>
      <c r="M19" s="546">
        <f t="shared" si="0"/>
        <v>0</v>
      </c>
      <c r="N19" s="547">
        <f t="shared" si="0"/>
        <v>0</v>
      </c>
      <c r="O19" s="902"/>
      <c r="P19" t="b">
        <f t="shared" si="3"/>
        <v>0</v>
      </c>
    </row>
    <row r="20" spans="1:16" ht="15.6">
      <c r="A20" s="561">
        <v>12</v>
      </c>
      <c r="B20" s="535" t="s">
        <v>209</v>
      </c>
      <c r="C20" s="586" t="s">
        <v>358</v>
      </c>
      <c r="D20" s="597" t="s">
        <v>359</v>
      </c>
      <c r="E20" s="588">
        <v>6118018.3700000001</v>
      </c>
      <c r="F20" s="589">
        <v>7250.2416999999996</v>
      </c>
      <c r="G20" s="590">
        <f t="shared" si="1"/>
        <v>6.1180183699999997</v>
      </c>
      <c r="H20" s="591">
        <f t="shared" si="4"/>
        <v>7.2502416999999992</v>
      </c>
      <c r="I20" s="592">
        <v>6.1180183699999997</v>
      </c>
      <c r="J20" s="593">
        <v>7.2502416999999992</v>
      </c>
      <c r="K20" s="594"/>
      <c r="L20" s="595"/>
      <c r="M20" s="546">
        <f t="shared" si="0"/>
        <v>6.1180183699999997</v>
      </c>
      <c r="N20" s="547">
        <f t="shared" si="0"/>
        <v>7.2502416999999992</v>
      </c>
      <c r="O20" s="902"/>
      <c r="P20" t="b">
        <f t="shared" si="3"/>
        <v>1</v>
      </c>
    </row>
    <row r="21" spans="1:16" ht="15.6">
      <c r="A21" s="535">
        <v>13</v>
      </c>
      <c r="B21" s="535" t="s">
        <v>209</v>
      </c>
      <c r="C21" s="586"/>
      <c r="D21" s="587" t="s">
        <v>360</v>
      </c>
      <c r="E21" s="588">
        <v>84987884.984799996</v>
      </c>
      <c r="F21" s="589">
        <v>23002.2147</v>
      </c>
      <c r="G21" s="590">
        <f t="shared" si="1"/>
        <v>84.98788498479999</v>
      </c>
      <c r="H21" s="591">
        <f t="shared" si="4"/>
        <v>23.0022147</v>
      </c>
      <c r="I21" s="592">
        <v>84.98788498479999</v>
      </c>
      <c r="J21" s="593">
        <v>23.0022147</v>
      </c>
      <c r="K21" s="596"/>
      <c r="L21" s="595"/>
      <c r="M21" s="546">
        <f t="shared" si="0"/>
        <v>84.98788498479999</v>
      </c>
      <c r="N21" s="547">
        <f t="shared" si="0"/>
        <v>23.0022147</v>
      </c>
      <c r="O21" s="902"/>
      <c r="P21" t="b">
        <f t="shared" si="3"/>
        <v>1</v>
      </c>
    </row>
    <row r="22" spans="1:16" ht="15.6">
      <c r="A22" s="535">
        <v>14</v>
      </c>
      <c r="B22" s="535" t="s">
        <v>209</v>
      </c>
      <c r="C22" s="586" t="s">
        <v>361</v>
      </c>
      <c r="D22" s="587" t="s">
        <v>362</v>
      </c>
      <c r="E22" s="588">
        <v>62919541.7183</v>
      </c>
      <c r="F22" s="589">
        <v>43342.811500000003</v>
      </c>
      <c r="G22" s="590">
        <f t="shared" si="1"/>
        <v>62.919541718300003</v>
      </c>
      <c r="H22" s="591">
        <f t="shared" si="4"/>
        <v>43.342811500000003</v>
      </c>
      <c r="I22" s="592">
        <v>0</v>
      </c>
      <c r="J22" s="593">
        <v>0</v>
      </c>
      <c r="K22" s="594"/>
      <c r="L22" s="595"/>
      <c r="M22" s="546">
        <f t="shared" si="0"/>
        <v>0</v>
      </c>
      <c r="N22" s="547">
        <f t="shared" si="0"/>
        <v>0</v>
      </c>
      <c r="O22" s="902"/>
      <c r="P22" t="b">
        <f t="shared" si="3"/>
        <v>0</v>
      </c>
    </row>
    <row r="23" spans="1:16" ht="15.6">
      <c r="A23" s="561">
        <v>15</v>
      </c>
      <c r="B23" s="536" t="s">
        <v>209</v>
      </c>
      <c r="C23" s="537" t="s">
        <v>363</v>
      </c>
      <c r="D23" s="538" t="s">
        <v>364</v>
      </c>
      <c r="E23" s="539">
        <v>35046604.682999998</v>
      </c>
      <c r="F23" s="539">
        <v>26916.975600000002</v>
      </c>
      <c r="G23" s="584">
        <f t="shared" si="1"/>
        <v>35.046604682999998</v>
      </c>
      <c r="H23" s="585">
        <f t="shared" si="4"/>
        <v>26.916975600000001</v>
      </c>
      <c r="I23" s="592">
        <v>0</v>
      </c>
      <c r="J23" s="593">
        <v>0</v>
      </c>
      <c r="K23" s="594"/>
      <c r="L23" s="595"/>
      <c r="M23" s="546">
        <f t="shared" si="0"/>
        <v>0</v>
      </c>
      <c r="N23" s="547">
        <f t="shared" si="0"/>
        <v>0</v>
      </c>
      <c r="O23" s="902"/>
      <c r="P23" t="b">
        <f t="shared" si="3"/>
        <v>0</v>
      </c>
    </row>
    <row r="24" spans="1:16" ht="15.6">
      <c r="A24" s="535">
        <v>16</v>
      </c>
      <c r="B24" s="535" t="s">
        <v>209</v>
      </c>
      <c r="C24" s="586" t="s">
        <v>365</v>
      </c>
      <c r="D24" s="597" t="s">
        <v>366</v>
      </c>
      <c r="E24" s="588">
        <v>33898473.733099997</v>
      </c>
      <c r="F24" s="589">
        <v>26672.577300000001</v>
      </c>
      <c r="G24" s="590">
        <f t="shared" si="1"/>
        <v>33.898473733099998</v>
      </c>
      <c r="H24" s="591">
        <f>F24/1000</f>
        <v>26.6725773</v>
      </c>
      <c r="I24" s="592">
        <v>33.898473733099998</v>
      </c>
      <c r="J24" s="593">
        <v>26.6725773</v>
      </c>
      <c r="K24" s="594"/>
      <c r="L24" s="595"/>
      <c r="M24" s="546">
        <f t="shared" si="0"/>
        <v>33.898473733099998</v>
      </c>
      <c r="N24" s="547">
        <f t="shared" si="0"/>
        <v>26.6725773</v>
      </c>
      <c r="O24" s="902"/>
      <c r="P24" t="b">
        <f t="shared" si="3"/>
        <v>1</v>
      </c>
    </row>
    <row r="25" spans="1:16" ht="15.6">
      <c r="A25" s="535">
        <v>17</v>
      </c>
      <c r="B25" s="535" t="s">
        <v>209</v>
      </c>
      <c r="C25" s="586" t="s">
        <v>367</v>
      </c>
      <c r="D25" s="587" t="s">
        <v>368</v>
      </c>
      <c r="E25" s="588">
        <v>12300000</v>
      </c>
      <c r="F25" s="589">
        <v>14200</v>
      </c>
      <c r="G25" s="590">
        <f t="shared" si="1"/>
        <v>12.3</v>
      </c>
      <c r="H25" s="591">
        <f>F25/1000</f>
        <v>14.2</v>
      </c>
      <c r="I25" s="592">
        <v>0</v>
      </c>
      <c r="J25" s="593">
        <v>0</v>
      </c>
      <c r="K25" s="594"/>
      <c r="L25" s="595"/>
      <c r="M25" s="546">
        <f t="shared" ref="M25:N40" si="7">K25+I25</f>
        <v>0</v>
      </c>
      <c r="N25" s="547">
        <f t="shared" si="7"/>
        <v>0</v>
      </c>
      <c r="O25" s="902"/>
      <c r="P25" t="b">
        <f t="shared" ref="P25:P88" si="8">H25=N25</f>
        <v>0</v>
      </c>
    </row>
    <row r="26" spans="1:16" ht="15.6">
      <c r="A26" s="561">
        <v>18</v>
      </c>
      <c r="B26" s="535" t="s">
        <v>209</v>
      </c>
      <c r="C26" s="586" t="s">
        <v>369</v>
      </c>
      <c r="D26" s="587" t="s">
        <v>370</v>
      </c>
      <c r="E26" s="588">
        <v>78035296.416700006</v>
      </c>
      <c r="F26" s="589">
        <v>33158.623699999996</v>
      </c>
      <c r="G26" s="590">
        <f t="shared" si="1"/>
        <v>78.035296416700007</v>
      </c>
      <c r="H26" s="591">
        <f>F26/1000</f>
        <v>33.1586237</v>
      </c>
      <c r="I26" s="592">
        <v>0</v>
      </c>
      <c r="J26" s="593">
        <v>0</v>
      </c>
      <c r="K26" s="594"/>
      <c r="L26" s="595"/>
      <c r="M26" s="546">
        <f t="shared" si="7"/>
        <v>0</v>
      </c>
      <c r="N26" s="547">
        <f t="shared" si="7"/>
        <v>0</v>
      </c>
      <c r="O26" s="902"/>
      <c r="P26" t="b">
        <f t="shared" si="8"/>
        <v>0</v>
      </c>
    </row>
    <row r="27" spans="1:16" ht="15.6">
      <c r="A27" s="535">
        <v>19</v>
      </c>
      <c r="B27" s="535" t="s">
        <v>209</v>
      </c>
      <c r="C27" s="586" t="s">
        <v>371</v>
      </c>
      <c r="D27" s="587" t="s">
        <v>372</v>
      </c>
      <c r="E27" s="588">
        <v>44553589.851300001</v>
      </c>
      <c r="F27" s="589">
        <v>25429.840499999998</v>
      </c>
      <c r="G27" s="590">
        <f t="shared" si="1"/>
        <v>44.553589851300003</v>
      </c>
      <c r="H27" s="591">
        <f>F27/1000</f>
        <v>25.429840499999997</v>
      </c>
      <c r="I27" s="592">
        <v>0</v>
      </c>
      <c r="J27" s="593">
        <v>0</v>
      </c>
      <c r="K27" s="594"/>
      <c r="L27" s="595"/>
      <c r="M27" s="546">
        <f t="shared" si="7"/>
        <v>0</v>
      </c>
      <c r="N27" s="547">
        <f t="shared" si="7"/>
        <v>0</v>
      </c>
      <c r="O27" s="902"/>
      <c r="P27" t="b">
        <f t="shared" si="8"/>
        <v>0</v>
      </c>
    </row>
    <row r="28" spans="1:16" ht="15.6">
      <c r="A28" s="535">
        <v>20</v>
      </c>
      <c r="B28" s="535" t="s">
        <v>209</v>
      </c>
      <c r="C28" s="586" t="s">
        <v>373</v>
      </c>
      <c r="D28" s="587" t="s">
        <v>374</v>
      </c>
      <c r="E28" s="588">
        <v>45319904.056100003</v>
      </c>
      <c r="F28" s="589">
        <v>30511.066299999999</v>
      </c>
      <c r="G28" s="590">
        <f t="shared" si="1"/>
        <v>45.3199040561</v>
      </c>
      <c r="H28" s="591">
        <f>F28/1000</f>
        <v>30.5110663</v>
      </c>
      <c r="I28" s="592">
        <v>0</v>
      </c>
      <c r="J28" s="593">
        <v>0</v>
      </c>
      <c r="K28" s="594"/>
      <c r="L28" s="595"/>
      <c r="M28" s="546">
        <f t="shared" si="7"/>
        <v>0</v>
      </c>
      <c r="N28" s="547">
        <f t="shared" si="7"/>
        <v>0</v>
      </c>
      <c r="O28" s="902"/>
      <c r="P28" t="b">
        <f t="shared" si="8"/>
        <v>0</v>
      </c>
    </row>
    <row r="29" spans="1:16" ht="15.6">
      <c r="A29" s="561">
        <v>21</v>
      </c>
      <c r="B29" s="536" t="s">
        <v>209</v>
      </c>
      <c r="C29" s="537" t="s">
        <v>375</v>
      </c>
      <c r="D29" s="538" t="s">
        <v>376</v>
      </c>
      <c r="E29" s="539">
        <v>38884864.404700004</v>
      </c>
      <c r="F29" s="539">
        <v>20634.188300000002</v>
      </c>
      <c r="G29" s="584">
        <f t="shared" si="1"/>
        <v>38.884864404700004</v>
      </c>
      <c r="H29" s="585">
        <f t="shared" ref="H29:H31" si="9">F29/1000</f>
        <v>20.634188300000002</v>
      </c>
      <c r="I29" s="592">
        <v>0</v>
      </c>
      <c r="J29" s="593">
        <v>0</v>
      </c>
      <c r="K29" s="594"/>
      <c r="L29" s="595"/>
      <c r="M29" s="546">
        <f t="shared" si="7"/>
        <v>0</v>
      </c>
      <c r="N29" s="547">
        <f t="shared" si="7"/>
        <v>0</v>
      </c>
      <c r="O29" s="902"/>
      <c r="P29" t="b">
        <f t="shared" si="8"/>
        <v>0</v>
      </c>
    </row>
    <row r="30" spans="1:16" ht="15.6">
      <c r="A30" s="535">
        <v>22</v>
      </c>
      <c r="B30" s="536" t="s">
        <v>209</v>
      </c>
      <c r="C30" s="537" t="s">
        <v>377</v>
      </c>
      <c r="D30" s="538" t="s">
        <v>378</v>
      </c>
      <c r="E30" s="539">
        <v>58220892.672399998</v>
      </c>
      <c r="F30" s="539">
        <v>31075.204399999999</v>
      </c>
      <c r="G30" s="584">
        <f t="shared" si="1"/>
        <v>58.220892672399998</v>
      </c>
      <c r="H30" s="585">
        <f t="shared" si="9"/>
        <v>31.075204399999997</v>
      </c>
      <c r="I30" s="592">
        <v>0</v>
      </c>
      <c r="J30" s="593">
        <v>0</v>
      </c>
      <c r="K30" s="594"/>
      <c r="L30" s="595"/>
      <c r="M30" s="546">
        <f t="shared" si="7"/>
        <v>0</v>
      </c>
      <c r="N30" s="547">
        <f t="shared" si="7"/>
        <v>0</v>
      </c>
      <c r="O30" s="902"/>
      <c r="P30" t="b">
        <f t="shared" si="8"/>
        <v>0</v>
      </c>
    </row>
    <row r="31" spans="1:16" ht="15.6">
      <c r="A31" s="535">
        <v>23</v>
      </c>
      <c r="B31" s="536" t="s">
        <v>209</v>
      </c>
      <c r="C31" s="537" t="s">
        <v>379</v>
      </c>
      <c r="D31" s="598" t="s">
        <v>380</v>
      </c>
      <c r="E31" s="599">
        <v>20369225.887699999</v>
      </c>
      <c r="F31" s="599">
        <v>19706.5936</v>
      </c>
      <c r="G31" s="540">
        <f t="shared" si="1"/>
        <v>20.369225887699997</v>
      </c>
      <c r="H31" s="541">
        <f t="shared" si="9"/>
        <v>19.706593600000001</v>
      </c>
      <c r="I31" s="592">
        <v>0</v>
      </c>
      <c r="J31" s="593">
        <v>0</v>
      </c>
      <c r="K31" s="594"/>
      <c r="L31" s="595"/>
      <c r="M31" s="546">
        <f t="shared" si="7"/>
        <v>0</v>
      </c>
      <c r="N31" s="547">
        <f t="shared" si="7"/>
        <v>0</v>
      </c>
      <c r="O31" s="902"/>
      <c r="P31" t="b">
        <f t="shared" si="8"/>
        <v>0</v>
      </c>
    </row>
    <row r="32" spans="1:16" ht="15.6">
      <c r="A32" s="561">
        <v>24</v>
      </c>
      <c r="B32" s="535" t="s">
        <v>209</v>
      </c>
      <c r="C32" s="586" t="s">
        <v>381</v>
      </c>
      <c r="D32" s="587" t="s">
        <v>382</v>
      </c>
      <c r="E32" s="588">
        <v>2625832.2069999999</v>
      </c>
      <c r="F32" s="589">
        <v>5503.7846</v>
      </c>
      <c r="G32" s="590">
        <f t="shared" si="1"/>
        <v>2.6258322069999998</v>
      </c>
      <c r="H32" s="591">
        <f>F32/1000</f>
        <v>5.5037846000000004</v>
      </c>
      <c r="I32" s="592">
        <v>0</v>
      </c>
      <c r="J32" s="593">
        <v>0</v>
      </c>
      <c r="K32" s="594"/>
      <c r="L32" s="595"/>
      <c r="M32" s="546">
        <f t="shared" si="7"/>
        <v>0</v>
      </c>
      <c r="N32" s="547">
        <f t="shared" si="7"/>
        <v>0</v>
      </c>
      <c r="O32" s="902"/>
      <c r="P32" t="b">
        <f t="shared" si="8"/>
        <v>0</v>
      </c>
    </row>
    <row r="33" spans="1:16" ht="15.6">
      <c r="A33" s="535">
        <v>25</v>
      </c>
      <c r="B33" s="535" t="s">
        <v>209</v>
      </c>
      <c r="C33" s="586" t="s">
        <v>383</v>
      </c>
      <c r="D33" s="587" t="s">
        <v>339</v>
      </c>
      <c r="E33" s="588">
        <v>19128717.129500002</v>
      </c>
      <c r="F33" s="589">
        <v>28281.063699999999</v>
      </c>
      <c r="G33" s="590">
        <f t="shared" si="1"/>
        <v>19.1287171295</v>
      </c>
      <c r="H33" s="591">
        <f>F33/1000</f>
        <v>28.281063699999997</v>
      </c>
      <c r="I33" s="592">
        <v>19.1287171295</v>
      </c>
      <c r="J33" s="593">
        <v>28.281063699999997</v>
      </c>
      <c r="K33" s="596"/>
      <c r="L33" s="595"/>
      <c r="M33" s="546">
        <f t="shared" si="7"/>
        <v>19.1287171295</v>
      </c>
      <c r="N33" s="547">
        <f t="shared" si="7"/>
        <v>28.281063699999997</v>
      </c>
      <c r="O33" s="902"/>
      <c r="P33" t="b">
        <f t="shared" si="8"/>
        <v>1</v>
      </c>
    </row>
    <row r="34" spans="1:16" ht="15.6">
      <c r="A34" s="535">
        <v>26</v>
      </c>
      <c r="B34" s="535" t="s">
        <v>209</v>
      </c>
      <c r="C34" s="586" t="s">
        <v>384</v>
      </c>
      <c r="D34" s="587" t="s">
        <v>357</v>
      </c>
      <c r="E34" s="588">
        <v>4536000.0031000003</v>
      </c>
      <c r="F34" s="589">
        <v>4980</v>
      </c>
      <c r="G34" s="590">
        <f t="shared" si="1"/>
        <v>4.5360000031000007</v>
      </c>
      <c r="H34" s="591">
        <f>F34/1000</f>
        <v>4.9800000000000004</v>
      </c>
      <c r="I34" s="592">
        <v>0</v>
      </c>
      <c r="J34" s="593">
        <v>0</v>
      </c>
      <c r="K34" s="594"/>
      <c r="L34" s="595"/>
      <c r="M34" s="546">
        <f t="shared" si="7"/>
        <v>0</v>
      </c>
      <c r="N34" s="547">
        <f t="shared" si="7"/>
        <v>0</v>
      </c>
      <c r="O34" s="902"/>
      <c r="P34" t="b">
        <f t="shared" si="8"/>
        <v>0</v>
      </c>
    </row>
    <row r="35" spans="1:16" ht="15.6">
      <c r="A35" s="561">
        <v>27</v>
      </c>
      <c r="B35" s="535" t="s">
        <v>209</v>
      </c>
      <c r="C35" s="586" t="s">
        <v>385</v>
      </c>
      <c r="D35" s="587" t="s">
        <v>359</v>
      </c>
      <c r="E35" s="588">
        <v>18270000.000300001</v>
      </c>
      <c r="F35" s="589">
        <v>16411.3789</v>
      </c>
      <c r="G35" s="590">
        <f t="shared" si="1"/>
        <v>18.270000000300001</v>
      </c>
      <c r="H35" s="591">
        <f>F35/1000</f>
        <v>16.411378899999999</v>
      </c>
      <c r="I35" s="592">
        <v>0</v>
      </c>
      <c r="J35" s="593">
        <v>0</v>
      </c>
      <c r="K35" s="594"/>
      <c r="L35" s="595"/>
      <c r="M35" s="546">
        <f t="shared" si="7"/>
        <v>0</v>
      </c>
      <c r="N35" s="547">
        <f t="shared" si="7"/>
        <v>0</v>
      </c>
      <c r="O35" s="902"/>
      <c r="P35" t="b">
        <f t="shared" si="8"/>
        <v>0</v>
      </c>
    </row>
    <row r="36" spans="1:16" ht="15.6">
      <c r="A36" s="535">
        <v>28</v>
      </c>
      <c r="B36" s="535" t="s">
        <v>209</v>
      </c>
      <c r="C36" s="586" t="s">
        <v>386</v>
      </c>
      <c r="D36" s="587" t="s">
        <v>387</v>
      </c>
      <c r="E36" s="588">
        <v>12669053.977299999</v>
      </c>
      <c r="F36" s="589">
        <v>14326.176799999999</v>
      </c>
      <c r="G36" s="590">
        <f t="shared" si="1"/>
        <v>12.669053977299999</v>
      </c>
      <c r="H36" s="591">
        <f>F36/1000</f>
        <v>14.326176799999999</v>
      </c>
      <c r="I36" s="592">
        <v>12.669053977299999</v>
      </c>
      <c r="J36" s="593">
        <v>14.326176799999999</v>
      </c>
      <c r="K36" s="594"/>
      <c r="L36" s="595"/>
      <c r="M36" s="546">
        <f t="shared" si="7"/>
        <v>12.669053977299999</v>
      </c>
      <c r="N36" s="547">
        <f t="shared" si="7"/>
        <v>14.326176799999999</v>
      </c>
      <c r="O36" s="902"/>
      <c r="P36" t="b">
        <f t="shared" si="8"/>
        <v>1</v>
      </c>
    </row>
    <row r="37" spans="1:16" ht="15.6">
      <c r="A37" s="535">
        <v>29</v>
      </c>
      <c r="B37" s="535" t="s">
        <v>209</v>
      </c>
      <c r="C37" s="586"/>
      <c r="D37" s="587" t="s">
        <v>388</v>
      </c>
      <c r="E37" s="588">
        <v>11871441.480699999</v>
      </c>
      <c r="F37" s="589">
        <v>4539.2052000000003</v>
      </c>
      <c r="G37" s="590">
        <v>11.92</v>
      </c>
      <c r="H37" s="591">
        <v>3.92</v>
      </c>
      <c r="I37" s="592">
        <v>11.92</v>
      </c>
      <c r="J37" s="593">
        <v>3.92</v>
      </c>
      <c r="K37" s="594"/>
      <c r="L37" s="595"/>
      <c r="M37" s="546">
        <f t="shared" si="7"/>
        <v>11.92</v>
      </c>
      <c r="N37" s="547">
        <f t="shared" si="7"/>
        <v>3.92</v>
      </c>
      <c r="O37" s="902"/>
      <c r="P37" t="b">
        <f t="shared" si="8"/>
        <v>1</v>
      </c>
    </row>
    <row r="38" spans="1:16" ht="15.6">
      <c r="A38" s="561">
        <v>30</v>
      </c>
      <c r="B38" s="600" t="s">
        <v>209</v>
      </c>
      <c r="C38" s="601"/>
      <c r="D38" s="602" t="s">
        <v>389</v>
      </c>
      <c r="E38" s="599">
        <v>36539471.075400002</v>
      </c>
      <c r="F38" s="599">
        <v>17758.2418</v>
      </c>
      <c r="G38" s="540">
        <f t="shared" ref="G38:G50" si="10">E38/1000000</f>
        <v>36.539471075400002</v>
      </c>
      <c r="H38" s="541">
        <f t="shared" ref="H38" si="11">F38/1000</f>
        <v>17.7582418</v>
      </c>
      <c r="I38" s="592">
        <v>0</v>
      </c>
      <c r="J38" s="593">
        <v>0</v>
      </c>
      <c r="K38" s="594"/>
      <c r="L38" s="595"/>
      <c r="M38" s="546">
        <f t="shared" si="7"/>
        <v>0</v>
      </c>
      <c r="N38" s="547">
        <f t="shared" si="7"/>
        <v>0</v>
      </c>
      <c r="O38" s="902"/>
      <c r="P38" t="b">
        <f t="shared" si="8"/>
        <v>0</v>
      </c>
    </row>
    <row r="39" spans="1:16" ht="15.6">
      <c r="A39" s="535">
        <v>31</v>
      </c>
      <c r="B39" s="535" t="s">
        <v>209</v>
      </c>
      <c r="C39" s="586"/>
      <c r="D39" s="587" t="s">
        <v>390</v>
      </c>
      <c r="E39" s="588">
        <v>25921643.2425</v>
      </c>
      <c r="F39" s="589">
        <v>12932.8297</v>
      </c>
      <c r="G39" s="590">
        <f t="shared" si="10"/>
        <v>25.9216432425</v>
      </c>
      <c r="H39" s="591">
        <f>F39/1000</f>
        <v>12.932829700000001</v>
      </c>
      <c r="I39" s="592">
        <v>0</v>
      </c>
      <c r="J39" s="593">
        <v>0</v>
      </c>
      <c r="K39" s="594"/>
      <c r="L39" s="595"/>
      <c r="M39" s="546">
        <f t="shared" si="7"/>
        <v>0</v>
      </c>
      <c r="N39" s="547">
        <f t="shared" si="7"/>
        <v>0</v>
      </c>
      <c r="O39" s="902"/>
      <c r="P39" t="b">
        <f t="shared" si="8"/>
        <v>0</v>
      </c>
    </row>
    <row r="40" spans="1:16" ht="15.6">
      <c r="A40" s="535">
        <v>32</v>
      </c>
      <c r="B40" s="535" t="s">
        <v>209</v>
      </c>
      <c r="C40" s="586"/>
      <c r="D40" s="587" t="s">
        <v>391</v>
      </c>
      <c r="E40" s="588">
        <v>8912926.2246000003</v>
      </c>
      <c r="F40" s="589">
        <v>2527.9953</v>
      </c>
      <c r="G40" s="590">
        <f t="shared" si="10"/>
        <v>8.9129262245999996</v>
      </c>
      <c r="H40" s="591">
        <f>F40/1000</f>
        <v>2.5279953000000002</v>
      </c>
      <c r="I40" s="592">
        <v>0</v>
      </c>
      <c r="J40" s="593">
        <v>0</v>
      </c>
      <c r="K40" s="594"/>
      <c r="L40" s="595"/>
      <c r="M40" s="546">
        <f t="shared" si="7"/>
        <v>0</v>
      </c>
      <c r="N40" s="547">
        <f t="shared" si="7"/>
        <v>0</v>
      </c>
      <c r="O40" s="902"/>
      <c r="P40" t="b">
        <f t="shared" si="8"/>
        <v>0</v>
      </c>
    </row>
    <row r="41" spans="1:16" ht="15.6">
      <c r="A41" s="561">
        <v>33</v>
      </c>
      <c r="B41" s="600" t="s">
        <v>209</v>
      </c>
      <c r="C41" s="601"/>
      <c r="D41" s="603" t="s">
        <v>392</v>
      </c>
      <c r="E41" s="599">
        <v>25290335.250599999</v>
      </c>
      <c r="F41" s="599">
        <v>13050.598400000001</v>
      </c>
      <c r="G41" s="540">
        <f t="shared" si="10"/>
        <v>25.290335250599998</v>
      </c>
      <c r="H41" s="541">
        <f t="shared" ref="H41:H50" si="12">F41/1000</f>
        <v>13.0505984</v>
      </c>
      <c r="I41" s="542"/>
      <c r="J41" s="543"/>
      <c r="K41" s="604"/>
      <c r="L41" s="605"/>
      <c r="M41" s="606"/>
      <c r="N41" s="607"/>
      <c r="O41" s="902"/>
      <c r="P41" t="b">
        <f t="shared" si="8"/>
        <v>0</v>
      </c>
    </row>
    <row r="42" spans="1:16" ht="15.6">
      <c r="A42" s="535">
        <v>34</v>
      </c>
      <c r="B42" s="536" t="s">
        <v>209</v>
      </c>
      <c r="C42" s="601"/>
      <c r="D42" s="603" t="s">
        <v>393</v>
      </c>
      <c r="E42" s="599">
        <v>3594373.8114999998</v>
      </c>
      <c r="F42" s="599">
        <v>1786.0432000000001</v>
      </c>
      <c r="G42" s="540">
        <f t="shared" si="10"/>
        <v>3.5943738114999997</v>
      </c>
      <c r="H42" s="541">
        <f t="shared" si="12"/>
        <v>1.7860432000000002</v>
      </c>
      <c r="I42" s="542"/>
      <c r="J42" s="543"/>
      <c r="K42" s="604"/>
      <c r="L42" s="605"/>
      <c r="M42" s="606"/>
      <c r="N42" s="607"/>
      <c r="O42" s="902"/>
      <c r="P42" t="b">
        <f t="shared" si="8"/>
        <v>0</v>
      </c>
    </row>
    <row r="43" spans="1:16" ht="16.2" thickBot="1">
      <c r="A43" s="548">
        <v>35</v>
      </c>
      <c r="B43" s="548" t="s">
        <v>209</v>
      </c>
      <c r="C43" s="549"/>
      <c r="D43" s="550" t="s">
        <v>394</v>
      </c>
      <c r="E43" s="551">
        <v>30477637.985100001</v>
      </c>
      <c r="F43" s="552">
        <v>8661.2096999999994</v>
      </c>
      <c r="G43" s="553">
        <f t="shared" si="10"/>
        <v>30.477637985099999</v>
      </c>
      <c r="H43" s="554">
        <f t="shared" si="12"/>
        <v>8.6612096999999988</v>
      </c>
      <c r="I43" s="555">
        <v>0</v>
      </c>
      <c r="J43" s="556">
        <v>0</v>
      </c>
      <c r="K43" s="608"/>
      <c r="L43" s="558"/>
      <c r="M43" s="559">
        <f t="shared" ref="M43:N62" si="13">K43+I43</f>
        <v>0</v>
      </c>
      <c r="N43" s="560">
        <f t="shared" si="13"/>
        <v>0</v>
      </c>
      <c r="O43" s="902"/>
      <c r="P43" t="b">
        <f t="shared" si="8"/>
        <v>0</v>
      </c>
    </row>
    <row r="44" spans="1:16" ht="15.6">
      <c r="A44" s="561">
        <v>36</v>
      </c>
      <c r="B44" s="561" t="s">
        <v>240</v>
      </c>
      <c r="C44" s="574" t="s">
        <v>395</v>
      </c>
      <c r="D44" s="609" t="s">
        <v>396</v>
      </c>
      <c r="E44" s="576">
        <v>11346490.813100001</v>
      </c>
      <c r="F44" s="577">
        <v>13183.323200000001</v>
      </c>
      <c r="G44" s="578">
        <f t="shared" si="10"/>
        <v>11.346490813100001</v>
      </c>
      <c r="H44" s="579">
        <f t="shared" si="12"/>
        <v>13.1833232</v>
      </c>
      <c r="I44" s="580">
        <v>0</v>
      </c>
      <c r="J44" s="581">
        <v>0</v>
      </c>
      <c r="K44" s="582"/>
      <c r="L44" s="583"/>
      <c r="M44" s="610">
        <f t="shared" si="13"/>
        <v>0</v>
      </c>
      <c r="N44" s="611">
        <f t="shared" si="13"/>
        <v>0</v>
      </c>
      <c r="O44" s="902"/>
      <c r="P44" t="b">
        <f t="shared" si="8"/>
        <v>0</v>
      </c>
    </row>
    <row r="45" spans="1:16" ht="15.6">
      <c r="A45" s="535">
        <v>37</v>
      </c>
      <c r="B45" s="535" t="s">
        <v>240</v>
      </c>
      <c r="C45" s="586" t="s">
        <v>397</v>
      </c>
      <c r="D45" s="587" t="s">
        <v>398</v>
      </c>
      <c r="E45" s="588">
        <v>28263999.480500001</v>
      </c>
      <c r="F45" s="589">
        <v>34769.999400000001</v>
      </c>
      <c r="G45" s="590">
        <f t="shared" si="10"/>
        <v>28.263999480500001</v>
      </c>
      <c r="H45" s="591">
        <f t="shared" si="12"/>
        <v>34.769999400000003</v>
      </c>
      <c r="I45" s="592">
        <v>0</v>
      </c>
      <c r="J45" s="593">
        <v>0</v>
      </c>
      <c r="K45" s="594">
        <f>28.2639994805*90%</f>
        <v>25.437599532450001</v>
      </c>
      <c r="L45" s="595">
        <f>90%*34.7699994</f>
        <v>31.292999460000004</v>
      </c>
      <c r="M45" s="546">
        <f t="shared" si="13"/>
        <v>25.437599532450001</v>
      </c>
      <c r="N45" s="547">
        <f t="shared" si="13"/>
        <v>31.292999460000004</v>
      </c>
      <c r="O45" s="901" t="s">
        <v>757</v>
      </c>
      <c r="P45" t="b">
        <f t="shared" si="8"/>
        <v>0</v>
      </c>
    </row>
    <row r="46" spans="1:16" ht="15.6">
      <c r="A46" s="535">
        <v>38</v>
      </c>
      <c r="B46" s="535" t="s">
        <v>240</v>
      </c>
      <c r="C46" s="586" t="s">
        <v>399</v>
      </c>
      <c r="D46" s="587" t="s">
        <v>400</v>
      </c>
      <c r="E46" s="588">
        <v>151337912.23800001</v>
      </c>
      <c r="F46" s="589">
        <v>52843.849600000001</v>
      </c>
      <c r="G46" s="590">
        <f t="shared" si="10"/>
        <v>151.337912238</v>
      </c>
      <c r="H46" s="591">
        <f t="shared" si="12"/>
        <v>52.843849599999999</v>
      </c>
      <c r="I46" s="592">
        <v>0</v>
      </c>
      <c r="J46" s="593">
        <v>0</v>
      </c>
      <c r="K46" s="594">
        <f>90%*151.337912238</f>
        <v>136.20412101420001</v>
      </c>
      <c r="L46" s="595">
        <f>90%*52.8438496</f>
        <v>47.559464640000002</v>
      </c>
      <c r="M46" s="546">
        <f t="shared" si="13"/>
        <v>136.20412101420001</v>
      </c>
      <c r="N46" s="547">
        <f t="shared" si="13"/>
        <v>47.559464640000002</v>
      </c>
      <c r="O46" s="901" t="s">
        <v>757</v>
      </c>
      <c r="P46" t="b">
        <f t="shared" si="8"/>
        <v>0</v>
      </c>
    </row>
    <row r="47" spans="1:16" ht="15.6">
      <c r="A47" s="561">
        <v>39</v>
      </c>
      <c r="B47" s="535" t="s">
        <v>240</v>
      </c>
      <c r="C47" s="586" t="s">
        <v>401</v>
      </c>
      <c r="D47" s="587" t="s">
        <v>402</v>
      </c>
      <c r="E47" s="588">
        <v>16799576.837099999</v>
      </c>
      <c r="F47" s="589">
        <v>19100.000599999999</v>
      </c>
      <c r="G47" s="590">
        <f t="shared" si="10"/>
        <v>16.799576837099998</v>
      </c>
      <c r="H47" s="591">
        <f t="shared" si="12"/>
        <v>19.100000599999998</v>
      </c>
      <c r="I47" s="592">
        <v>0</v>
      </c>
      <c r="J47" s="593">
        <v>0</v>
      </c>
      <c r="K47" s="594"/>
      <c r="L47" s="595"/>
      <c r="M47" s="546">
        <f t="shared" si="13"/>
        <v>0</v>
      </c>
      <c r="N47" s="547">
        <f t="shared" si="13"/>
        <v>0</v>
      </c>
      <c r="O47" s="901"/>
      <c r="P47" t="b">
        <f t="shared" si="8"/>
        <v>0</v>
      </c>
    </row>
    <row r="48" spans="1:16" ht="46.8" customHeight="1">
      <c r="A48" s="535">
        <v>40</v>
      </c>
      <c r="B48" s="535" t="s">
        <v>240</v>
      </c>
      <c r="C48" s="586" t="s">
        <v>403</v>
      </c>
      <c r="D48" s="587" t="s">
        <v>404</v>
      </c>
      <c r="E48" s="588">
        <v>4000000</v>
      </c>
      <c r="F48" s="589">
        <v>8000</v>
      </c>
      <c r="G48" s="590">
        <f t="shared" si="10"/>
        <v>4</v>
      </c>
      <c r="H48" s="591">
        <f t="shared" si="12"/>
        <v>8</v>
      </c>
      <c r="I48" s="592">
        <v>0</v>
      </c>
      <c r="J48" s="593">
        <v>0</v>
      </c>
      <c r="K48" s="853">
        <f>90%*4</f>
        <v>3.6</v>
      </c>
      <c r="L48" s="595">
        <f>90%*8</f>
        <v>7.2</v>
      </c>
      <c r="M48" s="546">
        <f t="shared" si="13"/>
        <v>3.6</v>
      </c>
      <c r="N48" s="547">
        <f t="shared" si="13"/>
        <v>7.2</v>
      </c>
      <c r="O48" s="901" t="s">
        <v>757</v>
      </c>
      <c r="P48" t="b">
        <f t="shared" si="8"/>
        <v>0</v>
      </c>
    </row>
    <row r="49" spans="1:16" ht="15.6">
      <c r="A49" s="535">
        <v>41</v>
      </c>
      <c r="B49" s="535" t="s">
        <v>240</v>
      </c>
      <c r="C49" s="586" t="s">
        <v>405</v>
      </c>
      <c r="D49" s="587" t="s">
        <v>406</v>
      </c>
      <c r="E49" s="588">
        <v>13440866.632200001</v>
      </c>
      <c r="F49" s="589">
        <v>14767.863799999999</v>
      </c>
      <c r="G49" s="590">
        <f t="shared" si="10"/>
        <v>13.440866632200001</v>
      </c>
      <c r="H49" s="591">
        <f t="shared" si="12"/>
        <v>14.767863799999999</v>
      </c>
      <c r="I49" s="592">
        <v>0</v>
      </c>
      <c r="J49" s="593">
        <v>0</v>
      </c>
      <c r="K49" s="594"/>
      <c r="L49" s="595"/>
      <c r="M49" s="546">
        <f t="shared" si="13"/>
        <v>0</v>
      </c>
      <c r="N49" s="547">
        <f t="shared" si="13"/>
        <v>0</v>
      </c>
      <c r="O49" s="902"/>
      <c r="P49" t="b">
        <f t="shared" si="8"/>
        <v>0</v>
      </c>
    </row>
    <row r="50" spans="1:16" ht="15.6">
      <c r="A50" s="561">
        <v>42</v>
      </c>
      <c r="B50" s="535" t="s">
        <v>240</v>
      </c>
      <c r="C50" s="586" t="s">
        <v>407</v>
      </c>
      <c r="D50" s="587" t="s">
        <v>408</v>
      </c>
      <c r="E50" s="588">
        <v>3579271.5543</v>
      </c>
      <c r="F50" s="589">
        <v>7591.7835999999998</v>
      </c>
      <c r="G50" s="590">
        <f t="shared" si="10"/>
        <v>3.5792715543</v>
      </c>
      <c r="H50" s="591">
        <f t="shared" si="12"/>
        <v>7.5917835999999994</v>
      </c>
      <c r="I50" s="592">
        <v>0</v>
      </c>
      <c r="J50" s="593">
        <v>0</v>
      </c>
      <c r="K50" s="594">
        <v>1.8975000386999998</v>
      </c>
      <c r="L50" s="595">
        <v>3.05</v>
      </c>
      <c r="M50" s="546">
        <f t="shared" si="13"/>
        <v>1.8975000386999998</v>
      </c>
      <c r="N50" s="547">
        <f t="shared" si="13"/>
        <v>3.05</v>
      </c>
      <c r="O50" s="903" t="s">
        <v>759</v>
      </c>
      <c r="P50" t="b">
        <f t="shared" si="8"/>
        <v>0</v>
      </c>
    </row>
    <row r="51" spans="1:16" ht="15.6">
      <c r="A51" s="535">
        <v>43</v>
      </c>
      <c r="B51" s="535" t="s">
        <v>240</v>
      </c>
      <c r="C51" s="586" t="s">
        <v>409</v>
      </c>
      <c r="D51" s="587" t="s">
        <v>410</v>
      </c>
      <c r="E51" s="588">
        <v>13074160.945499999</v>
      </c>
      <c r="F51" s="589">
        <v>16209.810799999999</v>
      </c>
      <c r="G51" s="590">
        <v>13.98</v>
      </c>
      <c r="H51" s="591">
        <v>11.82</v>
      </c>
      <c r="I51" s="592">
        <v>13.98</v>
      </c>
      <c r="J51" s="593">
        <v>11.82</v>
      </c>
      <c r="K51" s="596"/>
      <c r="L51" s="595"/>
      <c r="M51" s="546">
        <f>K51+I51</f>
        <v>13.98</v>
      </c>
      <c r="N51" s="547">
        <f t="shared" si="13"/>
        <v>11.82</v>
      </c>
      <c r="O51" s="902"/>
      <c r="P51" t="b">
        <f t="shared" si="8"/>
        <v>1</v>
      </c>
    </row>
    <row r="52" spans="1:16" ht="15.6">
      <c r="A52" s="535">
        <v>44</v>
      </c>
      <c r="B52" s="535" t="s">
        <v>240</v>
      </c>
      <c r="C52" s="586" t="s">
        <v>411</v>
      </c>
      <c r="D52" s="587" t="s">
        <v>412</v>
      </c>
      <c r="E52" s="588">
        <v>9657686.9822000004</v>
      </c>
      <c r="F52" s="589">
        <v>15084.0106</v>
      </c>
      <c r="G52" s="590">
        <f t="shared" ref="G52:G75" si="14">E52/1000000</f>
        <v>9.6576869821999995</v>
      </c>
      <c r="H52" s="591">
        <f>F52/1000</f>
        <v>15.084010599999999</v>
      </c>
      <c r="I52" s="592">
        <v>0</v>
      </c>
      <c r="J52" s="593">
        <v>0</v>
      </c>
      <c r="K52" s="594">
        <v>6.9139758295</v>
      </c>
      <c r="L52" s="595">
        <v>11.0109496</v>
      </c>
      <c r="M52" s="546">
        <f t="shared" si="13"/>
        <v>6.9139758295</v>
      </c>
      <c r="N52" s="547">
        <f t="shared" si="13"/>
        <v>11.0109496</v>
      </c>
      <c r="O52" s="903" t="s">
        <v>760</v>
      </c>
      <c r="P52" t="b">
        <f t="shared" si="8"/>
        <v>0</v>
      </c>
    </row>
    <row r="53" spans="1:16" ht="15.6">
      <c r="A53" s="561">
        <v>45</v>
      </c>
      <c r="B53" s="535" t="s">
        <v>240</v>
      </c>
      <c r="C53" s="586" t="s">
        <v>413</v>
      </c>
      <c r="D53" s="587" t="s">
        <v>357</v>
      </c>
      <c r="E53" s="588">
        <v>4888675.3585000001</v>
      </c>
      <c r="F53" s="589">
        <v>5791.4273000000003</v>
      </c>
      <c r="G53" s="590">
        <f t="shared" si="14"/>
        <v>4.8886753585000005</v>
      </c>
      <c r="H53" s="591">
        <f>F53/1000</f>
        <v>5.7914273000000005</v>
      </c>
      <c r="I53" s="592">
        <v>4.8886753585000005</v>
      </c>
      <c r="J53" s="593">
        <v>5.7914273000000005</v>
      </c>
      <c r="K53" s="594"/>
      <c r="L53" s="595"/>
      <c r="M53" s="546">
        <f t="shared" si="13"/>
        <v>4.8886753585000005</v>
      </c>
      <c r="N53" s="547">
        <f t="shared" si="13"/>
        <v>5.7914273000000005</v>
      </c>
      <c r="O53" s="902"/>
      <c r="P53" t="b">
        <f t="shared" si="8"/>
        <v>1</v>
      </c>
    </row>
    <row r="54" spans="1:16" ht="15.6">
      <c r="A54" s="535">
        <v>46</v>
      </c>
      <c r="B54" s="535" t="s">
        <v>240</v>
      </c>
      <c r="C54" s="586" t="s">
        <v>414</v>
      </c>
      <c r="D54" s="612" t="s">
        <v>415</v>
      </c>
      <c r="E54" s="588">
        <v>6619368.9512999998</v>
      </c>
      <c r="F54" s="589">
        <v>10307.7727</v>
      </c>
      <c r="G54" s="590">
        <f t="shared" si="14"/>
        <v>6.6193689513000002</v>
      </c>
      <c r="H54" s="591">
        <f>F54/1000</f>
        <v>10.307772699999999</v>
      </c>
      <c r="I54" s="592">
        <v>0</v>
      </c>
      <c r="J54" s="593">
        <v>0</v>
      </c>
      <c r="K54" s="594"/>
      <c r="L54" s="595"/>
      <c r="M54" s="546">
        <f t="shared" si="13"/>
        <v>0</v>
      </c>
      <c r="N54" s="547">
        <f t="shared" si="13"/>
        <v>0</v>
      </c>
      <c r="O54" s="902"/>
      <c r="P54" t="b">
        <f t="shared" si="8"/>
        <v>0</v>
      </c>
    </row>
    <row r="55" spans="1:16" ht="15.6">
      <c r="A55" s="535">
        <v>47</v>
      </c>
      <c r="B55" s="535" t="s">
        <v>240</v>
      </c>
      <c r="C55" s="586" t="s">
        <v>416</v>
      </c>
      <c r="D55" s="587" t="s">
        <v>410</v>
      </c>
      <c r="E55" s="588">
        <v>5102444.2757000001</v>
      </c>
      <c r="F55" s="589">
        <v>9499.9997999999996</v>
      </c>
      <c r="G55" s="590">
        <f t="shared" si="14"/>
        <v>5.1024442756999999</v>
      </c>
      <c r="H55" s="591">
        <f>F55/1000</f>
        <v>9.4999997999999994</v>
      </c>
      <c r="I55" s="592">
        <v>0</v>
      </c>
      <c r="J55" s="593">
        <v>0</v>
      </c>
      <c r="K55" s="594"/>
      <c r="L55" s="595"/>
      <c r="M55" s="546">
        <f t="shared" si="13"/>
        <v>0</v>
      </c>
      <c r="N55" s="547">
        <f t="shared" si="13"/>
        <v>0</v>
      </c>
      <c r="O55" s="902"/>
      <c r="P55" t="b">
        <f t="shared" si="8"/>
        <v>0</v>
      </c>
    </row>
    <row r="56" spans="1:16" ht="15.6">
      <c r="A56" s="561">
        <v>48</v>
      </c>
      <c r="B56" s="600" t="s">
        <v>240</v>
      </c>
      <c r="C56" s="613" t="s">
        <v>417</v>
      </c>
      <c r="D56" s="614" t="s">
        <v>418</v>
      </c>
      <c r="E56" s="539">
        <v>237449293.6728</v>
      </c>
      <c r="F56" s="539">
        <v>62637.811399999999</v>
      </c>
      <c r="G56" s="540">
        <f t="shared" si="14"/>
        <v>237.4492936728</v>
      </c>
      <c r="H56" s="541">
        <f t="shared" ref="H56" si="15">F56/1000</f>
        <v>62.637811399999997</v>
      </c>
      <c r="I56" s="592">
        <v>0</v>
      </c>
      <c r="J56" s="593">
        <v>0</v>
      </c>
      <c r="K56" s="594"/>
      <c r="L56" s="595"/>
      <c r="M56" s="546">
        <f t="shared" si="13"/>
        <v>0</v>
      </c>
      <c r="N56" s="547">
        <f t="shared" si="13"/>
        <v>0</v>
      </c>
      <c r="O56" s="902"/>
      <c r="P56" t="b">
        <f t="shared" si="8"/>
        <v>0</v>
      </c>
    </row>
    <row r="57" spans="1:16" ht="15.6">
      <c r="A57" s="535">
        <v>49</v>
      </c>
      <c r="B57" s="535" t="s">
        <v>240</v>
      </c>
      <c r="C57" s="586" t="s">
        <v>419</v>
      </c>
      <c r="D57" s="587" t="s">
        <v>420</v>
      </c>
      <c r="E57" s="588">
        <v>17817294.588300001</v>
      </c>
      <c r="F57" s="589">
        <v>18139.035800000001</v>
      </c>
      <c r="G57" s="590">
        <f t="shared" si="14"/>
        <v>17.817294588300001</v>
      </c>
      <c r="H57" s="591">
        <f>F57/1000</f>
        <v>18.139035800000002</v>
      </c>
      <c r="I57" s="592">
        <v>0</v>
      </c>
      <c r="J57" s="593">
        <v>0</v>
      </c>
      <c r="K57" s="594"/>
      <c r="L57" s="595"/>
      <c r="M57" s="546">
        <f t="shared" si="13"/>
        <v>0</v>
      </c>
      <c r="N57" s="547">
        <f t="shared" si="13"/>
        <v>0</v>
      </c>
      <c r="O57" s="902"/>
      <c r="P57" t="b">
        <f t="shared" si="8"/>
        <v>0</v>
      </c>
    </row>
    <row r="58" spans="1:16" ht="15.6">
      <c r="A58" s="535">
        <v>50</v>
      </c>
      <c r="B58" s="535" t="s">
        <v>240</v>
      </c>
      <c r="C58" s="586" t="s">
        <v>421</v>
      </c>
      <c r="D58" s="587" t="s">
        <v>422</v>
      </c>
      <c r="E58" s="588">
        <v>118464630.6696</v>
      </c>
      <c r="F58" s="589">
        <v>44758.640200000002</v>
      </c>
      <c r="G58" s="590">
        <f t="shared" si="14"/>
        <v>118.4646306696</v>
      </c>
      <c r="H58" s="591">
        <f>F58/1000</f>
        <v>44.758640200000002</v>
      </c>
      <c r="I58" s="592">
        <v>0</v>
      </c>
      <c r="J58" s="593">
        <v>0</v>
      </c>
      <c r="K58" s="594"/>
      <c r="L58" s="595"/>
      <c r="M58" s="546">
        <f t="shared" si="13"/>
        <v>0</v>
      </c>
      <c r="N58" s="547">
        <f t="shared" si="13"/>
        <v>0</v>
      </c>
      <c r="O58" s="902"/>
      <c r="P58" t="b">
        <f t="shared" si="8"/>
        <v>0</v>
      </c>
    </row>
    <row r="59" spans="1:16" ht="15.6">
      <c r="A59" s="561">
        <v>51</v>
      </c>
      <c r="B59" s="535" t="s">
        <v>240</v>
      </c>
      <c r="C59" s="586" t="s">
        <v>423</v>
      </c>
      <c r="D59" s="587" t="s">
        <v>424</v>
      </c>
      <c r="E59" s="588">
        <v>121929367.85430001</v>
      </c>
      <c r="F59" s="589">
        <v>47325.387499999997</v>
      </c>
      <c r="G59" s="590">
        <f t="shared" si="14"/>
        <v>121.92936785430001</v>
      </c>
      <c r="H59" s="591">
        <f>F59/1000</f>
        <v>47.325387499999998</v>
      </c>
      <c r="I59" s="592">
        <v>0</v>
      </c>
      <c r="J59" s="593">
        <v>0</v>
      </c>
      <c r="K59" s="594"/>
      <c r="L59" s="595"/>
      <c r="M59" s="546">
        <f t="shared" si="13"/>
        <v>0</v>
      </c>
      <c r="N59" s="547">
        <f t="shared" si="13"/>
        <v>0</v>
      </c>
      <c r="O59" s="902"/>
      <c r="P59" t="b">
        <f t="shared" si="8"/>
        <v>0</v>
      </c>
    </row>
    <row r="60" spans="1:16" ht="15.6">
      <c r="A60" s="535">
        <v>52</v>
      </c>
      <c r="B60" s="535" t="s">
        <v>240</v>
      </c>
      <c r="C60" s="586" t="s">
        <v>425</v>
      </c>
      <c r="D60" s="587" t="s">
        <v>420</v>
      </c>
      <c r="E60" s="588">
        <v>28207176.0242</v>
      </c>
      <c r="F60" s="589">
        <v>38743.543299999998</v>
      </c>
      <c r="G60" s="590">
        <f t="shared" si="14"/>
        <v>28.207176024199999</v>
      </c>
      <c r="H60" s="591">
        <f>F60/1000</f>
        <v>38.743543299999999</v>
      </c>
      <c r="I60" s="592">
        <v>28.207176024199999</v>
      </c>
      <c r="J60" s="593">
        <v>38.743543299999999</v>
      </c>
      <c r="K60" s="594"/>
      <c r="L60" s="595"/>
      <c r="M60" s="546">
        <f t="shared" si="13"/>
        <v>28.207176024199999</v>
      </c>
      <c r="N60" s="547">
        <f t="shared" si="13"/>
        <v>38.743543299999999</v>
      </c>
      <c r="O60" s="902"/>
      <c r="P60" t="b">
        <f t="shared" si="8"/>
        <v>1</v>
      </c>
    </row>
    <row r="61" spans="1:16" ht="15.6">
      <c r="A61" s="535">
        <v>53</v>
      </c>
      <c r="B61" s="600" t="s">
        <v>240</v>
      </c>
      <c r="C61" s="537" t="s">
        <v>426</v>
      </c>
      <c r="D61" s="538" t="s">
        <v>427</v>
      </c>
      <c r="E61" s="539">
        <v>1105369.0360999999</v>
      </c>
      <c r="F61" s="539">
        <v>4300.5676999999996</v>
      </c>
      <c r="G61" s="540">
        <v>1.5</v>
      </c>
      <c r="H61" s="541">
        <v>5.23</v>
      </c>
      <c r="I61" s="592">
        <v>1.5</v>
      </c>
      <c r="J61" s="593">
        <v>5.23</v>
      </c>
      <c r="K61" s="594"/>
      <c r="L61" s="595"/>
      <c r="M61" s="546">
        <f t="shared" si="13"/>
        <v>1.5</v>
      </c>
      <c r="N61" s="547">
        <f t="shared" si="13"/>
        <v>5.23</v>
      </c>
      <c r="O61" s="902"/>
      <c r="P61" t="b">
        <f t="shared" si="8"/>
        <v>1</v>
      </c>
    </row>
    <row r="62" spans="1:16" ht="15.6">
      <c r="A62" s="561">
        <v>54</v>
      </c>
      <c r="B62" s="535" t="s">
        <v>240</v>
      </c>
      <c r="C62" s="586" t="s">
        <v>428</v>
      </c>
      <c r="D62" s="587" t="s">
        <v>429</v>
      </c>
      <c r="E62" s="588">
        <v>17603747.226799998</v>
      </c>
      <c r="F62" s="589">
        <v>20163.311900000001</v>
      </c>
      <c r="G62" s="590">
        <f t="shared" si="14"/>
        <v>17.603747226799999</v>
      </c>
      <c r="H62" s="591">
        <f>F62/1000</f>
        <v>20.1633119</v>
      </c>
      <c r="I62" s="592">
        <v>0</v>
      </c>
      <c r="J62" s="593">
        <v>0</v>
      </c>
      <c r="K62" s="594">
        <v>6.12</v>
      </c>
      <c r="L62" s="595">
        <v>7.25</v>
      </c>
      <c r="M62" s="546">
        <f t="shared" si="13"/>
        <v>6.12</v>
      </c>
      <c r="N62" s="547">
        <f t="shared" si="13"/>
        <v>7.25</v>
      </c>
      <c r="O62" s="903" t="s">
        <v>761</v>
      </c>
      <c r="P62" t="b">
        <f t="shared" si="8"/>
        <v>0</v>
      </c>
    </row>
    <row r="63" spans="1:16" ht="15.6">
      <c r="A63" s="535">
        <v>55</v>
      </c>
      <c r="B63" s="535" t="s">
        <v>240</v>
      </c>
      <c r="C63" s="586" t="s">
        <v>430</v>
      </c>
      <c r="D63" s="587" t="s">
        <v>357</v>
      </c>
      <c r="E63" s="588">
        <v>6126500.0001999997</v>
      </c>
      <c r="F63" s="589">
        <v>5290</v>
      </c>
      <c r="G63" s="590">
        <f t="shared" si="14"/>
        <v>6.1265000002000001</v>
      </c>
      <c r="H63" s="591">
        <f>F63/1000</f>
        <v>5.29</v>
      </c>
      <c r="I63" s="592"/>
      <c r="J63" s="593"/>
      <c r="K63" s="594"/>
      <c r="L63" s="595"/>
      <c r="M63" s="546"/>
      <c r="N63" s="547"/>
      <c r="O63" s="902"/>
      <c r="P63" t="b">
        <f t="shared" si="8"/>
        <v>0</v>
      </c>
    </row>
    <row r="64" spans="1:16" ht="15.6">
      <c r="A64" s="535">
        <v>56</v>
      </c>
      <c r="B64" s="535" t="s">
        <v>240</v>
      </c>
      <c r="C64" s="586" t="s">
        <v>431</v>
      </c>
      <c r="D64" s="587" t="s">
        <v>432</v>
      </c>
      <c r="E64" s="588">
        <v>19164999.9989</v>
      </c>
      <c r="F64" s="589">
        <v>19700</v>
      </c>
      <c r="G64" s="590">
        <f t="shared" si="14"/>
        <v>19.164999998900001</v>
      </c>
      <c r="H64" s="591">
        <v>18.8</v>
      </c>
      <c r="I64" s="592">
        <v>19.164999998900001</v>
      </c>
      <c r="J64" s="593">
        <v>18.8</v>
      </c>
      <c r="K64" s="594"/>
      <c r="L64" s="595"/>
      <c r="M64" s="546">
        <f t="shared" ref="M64:N79" si="16">K64+I64</f>
        <v>19.164999998900001</v>
      </c>
      <c r="N64" s="547">
        <f t="shared" si="16"/>
        <v>18.8</v>
      </c>
      <c r="O64" s="902"/>
      <c r="P64" t="b">
        <f t="shared" si="8"/>
        <v>1</v>
      </c>
    </row>
    <row r="65" spans="1:16" ht="16.2" thickBot="1">
      <c r="A65" s="548">
        <v>57</v>
      </c>
      <c r="B65" s="548" t="s">
        <v>240</v>
      </c>
      <c r="C65" s="549" t="s">
        <v>433</v>
      </c>
      <c r="D65" s="550" t="s">
        <v>434</v>
      </c>
      <c r="E65" s="551">
        <v>2117200.1861</v>
      </c>
      <c r="F65" s="552">
        <v>5840.0002000000004</v>
      </c>
      <c r="G65" s="553">
        <f t="shared" si="14"/>
        <v>2.1172001861000003</v>
      </c>
      <c r="H65" s="554">
        <f>F65/1000</f>
        <v>5.8400002000000004</v>
      </c>
      <c r="I65" s="555">
        <v>0</v>
      </c>
      <c r="J65" s="556">
        <v>0</v>
      </c>
      <c r="K65" s="608"/>
      <c r="L65" s="558"/>
      <c r="M65" s="615">
        <f t="shared" si="16"/>
        <v>0</v>
      </c>
      <c r="N65" s="616">
        <f t="shared" si="16"/>
        <v>0</v>
      </c>
      <c r="O65" s="902"/>
      <c r="P65" t="b">
        <f t="shared" si="8"/>
        <v>0</v>
      </c>
    </row>
    <row r="66" spans="1:16" ht="15.6">
      <c r="A66" s="561">
        <v>58</v>
      </c>
      <c r="B66" s="562" t="s">
        <v>247</v>
      </c>
      <c r="C66" s="563" t="s">
        <v>435</v>
      </c>
      <c r="D66" s="564" t="s">
        <v>436</v>
      </c>
      <c r="E66" s="565">
        <v>19979431.811099999</v>
      </c>
      <c r="F66" s="565">
        <v>23537.3429</v>
      </c>
      <c r="G66" s="566">
        <f t="shared" si="14"/>
        <v>19.9794318111</v>
      </c>
      <c r="H66" s="567">
        <f t="shared" ref="H66:H68" si="17">F66/1000</f>
        <v>23.537342899999999</v>
      </c>
      <c r="I66" s="542">
        <v>19.9794318111</v>
      </c>
      <c r="J66" s="543">
        <v>23.537342899999999</v>
      </c>
      <c r="K66" s="604"/>
      <c r="L66" s="605"/>
      <c r="M66" s="546">
        <f t="shared" si="16"/>
        <v>19.9794318111</v>
      </c>
      <c r="N66" s="547">
        <f t="shared" si="16"/>
        <v>23.537342899999999</v>
      </c>
      <c r="O66" s="902"/>
      <c r="P66" t="b">
        <f t="shared" si="8"/>
        <v>1</v>
      </c>
    </row>
    <row r="67" spans="1:16" ht="15.6">
      <c r="A67" s="535">
        <v>59</v>
      </c>
      <c r="B67" s="600" t="s">
        <v>247</v>
      </c>
      <c r="C67" s="617" t="s">
        <v>437</v>
      </c>
      <c r="D67" s="618" t="s">
        <v>436</v>
      </c>
      <c r="E67" s="619">
        <v>9261769.1815000009</v>
      </c>
      <c r="F67" s="619">
        <v>13666.822200000001</v>
      </c>
      <c r="G67" s="540">
        <f t="shared" si="14"/>
        <v>9.2617691815000001</v>
      </c>
      <c r="H67" s="541">
        <f t="shared" si="17"/>
        <v>13.6668222</v>
      </c>
      <c r="I67" s="542">
        <v>9.2617691815000001</v>
      </c>
      <c r="J67" s="543">
        <v>13.6668222</v>
      </c>
      <c r="K67" s="604"/>
      <c r="L67" s="605"/>
      <c r="M67" s="546">
        <f t="shared" si="16"/>
        <v>9.2617691815000001</v>
      </c>
      <c r="N67" s="547">
        <f t="shared" si="16"/>
        <v>13.6668222</v>
      </c>
      <c r="O67" s="902"/>
      <c r="P67" t="b">
        <f t="shared" si="8"/>
        <v>1</v>
      </c>
    </row>
    <row r="68" spans="1:16" ht="15.6">
      <c r="A68" s="561">
        <v>60</v>
      </c>
      <c r="B68" s="535" t="s">
        <v>247</v>
      </c>
      <c r="C68" s="617" t="s">
        <v>438</v>
      </c>
      <c r="D68" s="618" t="s">
        <v>355</v>
      </c>
      <c r="E68" s="619">
        <v>3289999.9994000001</v>
      </c>
      <c r="F68" s="619">
        <v>7500</v>
      </c>
      <c r="G68" s="540">
        <f t="shared" si="14"/>
        <v>3.2899999994</v>
      </c>
      <c r="H68" s="541">
        <f t="shared" si="17"/>
        <v>7.5</v>
      </c>
      <c r="I68" s="592">
        <v>0</v>
      </c>
      <c r="J68" s="593">
        <v>0</v>
      </c>
      <c r="K68" s="594"/>
      <c r="L68" s="595"/>
      <c r="M68" s="546">
        <f t="shared" si="16"/>
        <v>0</v>
      </c>
      <c r="N68" s="547">
        <f t="shared" si="16"/>
        <v>0</v>
      </c>
      <c r="O68" s="902"/>
      <c r="P68" t="b">
        <f t="shared" si="8"/>
        <v>0</v>
      </c>
    </row>
    <row r="69" spans="1:16" ht="15.6">
      <c r="A69" s="535">
        <v>61</v>
      </c>
      <c r="B69" s="535" t="s">
        <v>247</v>
      </c>
      <c r="C69" s="586" t="s">
        <v>439</v>
      </c>
      <c r="D69" s="587" t="s">
        <v>343</v>
      </c>
      <c r="E69" s="588">
        <v>12305071.9048</v>
      </c>
      <c r="F69" s="589">
        <v>15303.7261</v>
      </c>
      <c r="G69" s="590">
        <f t="shared" si="14"/>
        <v>12.3050719048</v>
      </c>
      <c r="H69" s="591">
        <f>F69/1000</f>
        <v>15.3037261</v>
      </c>
      <c r="I69" s="592">
        <v>0</v>
      </c>
      <c r="J69" s="593">
        <v>0</v>
      </c>
      <c r="K69" s="594"/>
      <c r="L69" s="595"/>
      <c r="M69" s="546">
        <f t="shared" si="16"/>
        <v>0</v>
      </c>
      <c r="N69" s="547">
        <f t="shared" si="16"/>
        <v>0</v>
      </c>
      <c r="O69" s="902"/>
      <c r="P69" t="b">
        <f t="shared" si="8"/>
        <v>0</v>
      </c>
    </row>
    <row r="70" spans="1:16" ht="15.6">
      <c r="A70" s="535">
        <v>62</v>
      </c>
      <c r="B70" s="535" t="s">
        <v>247</v>
      </c>
      <c r="C70" s="586" t="s">
        <v>440</v>
      </c>
      <c r="D70" s="587" t="s">
        <v>441</v>
      </c>
      <c r="E70" s="588">
        <v>15784809.972100001</v>
      </c>
      <c r="F70" s="589">
        <v>20603.461800000001</v>
      </c>
      <c r="G70" s="590">
        <f t="shared" si="14"/>
        <v>15.784809972100001</v>
      </c>
      <c r="H70" s="591">
        <f>F70/1000</f>
        <v>20.603461800000002</v>
      </c>
      <c r="I70" s="592">
        <v>0</v>
      </c>
      <c r="J70" s="593">
        <v>0</v>
      </c>
      <c r="K70" s="594"/>
      <c r="L70" s="595"/>
      <c r="M70" s="546">
        <f t="shared" si="16"/>
        <v>0</v>
      </c>
      <c r="N70" s="547">
        <f t="shared" si="16"/>
        <v>0</v>
      </c>
      <c r="O70" s="902"/>
      <c r="P70" t="b">
        <f t="shared" si="8"/>
        <v>0</v>
      </c>
    </row>
    <row r="71" spans="1:16" ht="15.6">
      <c r="A71" s="561">
        <v>63</v>
      </c>
      <c r="B71" s="535" t="s">
        <v>247</v>
      </c>
      <c r="C71" s="586"/>
      <c r="D71" s="587" t="s">
        <v>410</v>
      </c>
      <c r="E71" s="588">
        <v>5019944.0643999996</v>
      </c>
      <c r="F71" s="589">
        <v>6118.7779</v>
      </c>
      <c r="G71" s="590">
        <f t="shared" si="14"/>
        <v>5.0199440643999997</v>
      </c>
      <c r="H71" s="591">
        <f>F71/1000</f>
        <v>6.1187779000000004</v>
      </c>
      <c r="I71" s="592">
        <v>0</v>
      </c>
      <c r="J71" s="593">
        <v>0</v>
      </c>
      <c r="K71" s="594"/>
      <c r="L71" s="595"/>
      <c r="M71" s="546">
        <f t="shared" si="16"/>
        <v>0</v>
      </c>
      <c r="N71" s="547">
        <f t="shared" si="16"/>
        <v>0</v>
      </c>
      <c r="O71" s="902"/>
      <c r="P71" t="b">
        <f t="shared" si="8"/>
        <v>0</v>
      </c>
    </row>
    <row r="72" spans="1:16" ht="15.6">
      <c r="A72" s="535">
        <v>64</v>
      </c>
      <c r="B72" s="535" t="s">
        <v>247</v>
      </c>
      <c r="C72" s="586" t="s">
        <v>442</v>
      </c>
      <c r="D72" s="620" t="s">
        <v>443</v>
      </c>
      <c r="E72" s="588">
        <v>4751738.9017000003</v>
      </c>
      <c r="F72" s="589">
        <v>9923.7232999999997</v>
      </c>
      <c r="G72" s="590">
        <v>2.4700000000000002</v>
      </c>
      <c r="H72" s="591">
        <v>4.6500000000000004</v>
      </c>
      <c r="I72" s="592">
        <v>2.4700000000000002</v>
      </c>
      <c r="J72" s="593">
        <v>4.6500000000000004</v>
      </c>
      <c r="K72" s="594"/>
      <c r="L72" s="595"/>
      <c r="M72" s="546">
        <f t="shared" si="16"/>
        <v>2.4700000000000002</v>
      </c>
      <c r="N72" s="547">
        <f t="shared" si="16"/>
        <v>4.6500000000000004</v>
      </c>
      <c r="O72" s="902"/>
      <c r="P72" t="b">
        <f t="shared" si="8"/>
        <v>1</v>
      </c>
    </row>
    <row r="73" spans="1:16" ht="15.6">
      <c r="A73" s="535">
        <v>65</v>
      </c>
      <c r="B73" s="535" t="s">
        <v>247</v>
      </c>
      <c r="C73" s="586" t="s">
        <v>444</v>
      </c>
      <c r="D73" s="612" t="s">
        <v>445</v>
      </c>
      <c r="E73" s="588">
        <v>305063148.04449999</v>
      </c>
      <c r="F73" s="589">
        <v>89992.702699999994</v>
      </c>
      <c r="G73" s="590">
        <f t="shared" si="14"/>
        <v>305.0631480445</v>
      </c>
      <c r="H73" s="591">
        <f>F73/1000</f>
        <v>89.992702699999995</v>
      </c>
      <c r="I73" s="592">
        <v>0</v>
      </c>
      <c r="J73" s="593">
        <v>0</v>
      </c>
      <c r="K73" s="594">
        <v>70.81</v>
      </c>
      <c r="L73" s="595">
        <v>30.61</v>
      </c>
      <c r="M73" s="546">
        <f t="shared" si="16"/>
        <v>70.81</v>
      </c>
      <c r="N73" s="547">
        <f t="shared" si="16"/>
        <v>30.61</v>
      </c>
      <c r="O73" s="903" t="s">
        <v>762</v>
      </c>
      <c r="P73" t="b">
        <f t="shared" si="8"/>
        <v>0</v>
      </c>
    </row>
    <row r="74" spans="1:16" ht="15.6">
      <c r="A74" s="561">
        <v>66</v>
      </c>
      <c r="B74" s="535" t="s">
        <v>247</v>
      </c>
      <c r="C74" s="586" t="s">
        <v>446</v>
      </c>
      <c r="D74" s="621" t="s">
        <v>359</v>
      </c>
      <c r="E74" s="622">
        <v>6120000.0000999998</v>
      </c>
      <c r="F74" s="623">
        <v>6354.4817000000003</v>
      </c>
      <c r="G74" s="590">
        <f t="shared" si="14"/>
        <v>6.1200000001000001</v>
      </c>
      <c r="H74" s="591">
        <f>F74/1000</f>
        <v>6.3544817</v>
      </c>
      <c r="I74" s="542">
        <v>0</v>
      </c>
      <c r="J74" s="543">
        <v>0</v>
      </c>
      <c r="K74" s="604"/>
      <c r="L74" s="605"/>
      <c r="M74" s="546">
        <f t="shared" si="16"/>
        <v>0</v>
      </c>
      <c r="N74" s="547">
        <f t="shared" si="16"/>
        <v>0</v>
      </c>
      <c r="O74" s="902"/>
      <c r="P74" t="b">
        <f t="shared" si="8"/>
        <v>0</v>
      </c>
    </row>
    <row r="75" spans="1:16" ht="15.6">
      <c r="A75" s="535">
        <v>67</v>
      </c>
      <c r="B75" s="535" t="s">
        <v>247</v>
      </c>
      <c r="C75" s="586" t="s">
        <v>447</v>
      </c>
      <c r="D75" s="587" t="s">
        <v>357</v>
      </c>
      <c r="E75" s="588">
        <v>6126472.9587000003</v>
      </c>
      <c r="F75" s="589">
        <v>5296.4044000000004</v>
      </c>
      <c r="G75" s="590">
        <f t="shared" si="14"/>
        <v>6.1264729587</v>
      </c>
      <c r="H75" s="591">
        <f>F75/1000</f>
        <v>5.2964044000000001</v>
      </c>
      <c r="I75" s="592">
        <v>0</v>
      </c>
      <c r="J75" s="593">
        <v>0</v>
      </c>
      <c r="K75" s="594"/>
      <c r="L75" s="595"/>
      <c r="M75" s="546">
        <f t="shared" si="16"/>
        <v>0</v>
      </c>
      <c r="N75" s="547">
        <f t="shared" si="16"/>
        <v>0</v>
      </c>
      <c r="O75" s="902"/>
      <c r="P75" t="b">
        <f t="shared" si="8"/>
        <v>0</v>
      </c>
    </row>
    <row r="76" spans="1:16" ht="16.2" thickBot="1">
      <c r="A76" s="548">
        <v>68</v>
      </c>
      <c r="B76" s="548" t="s">
        <v>247</v>
      </c>
      <c r="C76" s="549" t="s">
        <v>448</v>
      </c>
      <c r="D76" s="550" t="s">
        <v>449</v>
      </c>
      <c r="E76" s="551">
        <v>3289999.9994000001</v>
      </c>
      <c r="F76" s="552">
        <v>7500</v>
      </c>
      <c r="G76" s="553">
        <f>E76/1000000</f>
        <v>3.2899999994</v>
      </c>
      <c r="H76" s="554">
        <f>F76/1000</f>
        <v>7.5</v>
      </c>
      <c r="I76" s="555">
        <v>0</v>
      </c>
      <c r="J76" s="556">
        <v>0</v>
      </c>
      <c r="K76" s="608"/>
      <c r="L76" s="558"/>
      <c r="M76" s="615">
        <f t="shared" si="16"/>
        <v>0</v>
      </c>
      <c r="N76" s="616">
        <f t="shared" si="16"/>
        <v>0</v>
      </c>
      <c r="O76" s="902"/>
      <c r="P76" t="b">
        <f t="shared" si="8"/>
        <v>0</v>
      </c>
    </row>
    <row r="77" spans="1:16" ht="15.6">
      <c r="A77" s="561">
        <v>69</v>
      </c>
      <c r="B77" s="561" t="s">
        <v>250</v>
      </c>
      <c r="C77" s="574" t="s">
        <v>450</v>
      </c>
      <c r="D77" s="609" t="s">
        <v>410</v>
      </c>
      <c r="E77" s="576">
        <v>13092924.908</v>
      </c>
      <c r="F77" s="577">
        <v>16229.302100000001</v>
      </c>
      <c r="G77" s="578">
        <v>13.99</v>
      </c>
      <c r="H77" s="579">
        <v>10.71</v>
      </c>
      <c r="I77" s="580">
        <v>13.99</v>
      </c>
      <c r="J77" s="581">
        <v>10.71</v>
      </c>
      <c r="K77" s="582"/>
      <c r="L77" s="583"/>
      <c r="M77" s="610">
        <f t="shared" si="16"/>
        <v>13.99</v>
      </c>
      <c r="N77" s="611">
        <f t="shared" si="16"/>
        <v>10.71</v>
      </c>
      <c r="O77" s="902"/>
      <c r="P77" t="b">
        <f t="shared" si="8"/>
        <v>1</v>
      </c>
    </row>
    <row r="78" spans="1:16" ht="15.6">
      <c r="A78" s="535">
        <v>70</v>
      </c>
      <c r="B78" s="535" t="s">
        <v>250</v>
      </c>
      <c r="C78" s="586" t="s">
        <v>451</v>
      </c>
      <c r="D78" s="587" t="s">
        <v>452</v>
      </c>
      <c r="E78" s="588">
        <v>2977242.159</v>
      </c>
      <c r="F78" s="589">
        <v>6902.6399000000001</v>
      </c>
      <c r="G78" s="590">
        <v>1.9</v>
      </c>
      <c r="H78" s="591">
        <v>3.04</v>
      </c>
      <c r="I78" s="592">
        <v>1.9</v>
      </c>
      <c r="J78" s="593">
        <v>3.04</v>
      </c>
      <c r="K78" s="594"/>
      <c r="L78" s="595"/>
      <c r="M78" s="546">
        <f t="shared" si="16"/>
        <v>1.9</v>
      </c>
      <c r="N78" s="547">
        <f t="shared" si="16"/>
        <v>3.04</v>
      </c>
      <c r="O78" s="902"/>
      <c r="P78" t="b">
        <f t="shared" si="8"/>
        <v>1</v>
      </c>
    </row>
    <row r="79" spans="1:16" ht="15.6">
      <c r="A79" s="535">
        <v>71</v>
      </c>
      <c r="B79" s="624" t="s">
        <v>250</v>
      </c>
      <c r="C79" s="617" t="s">
        <v>453</v>
      </c>
      <c r="D79" s="618" t="s">
        <v>233</v>
      </c>
      <c r="E79" s="619">
        <v>9624999.9987000003</v>
      </c>
      <c r="F79" s="619">
        <v>15060</v>
      </c>
      <c r="G79" s="540">
        <v>9.91</v>
      </c>
      <c r="H79" s="541">
        <v>12.25</v>
      </c>
      <c r="I79" s="542">
        <v>9.91</v>
      </c>
      <c r="J79" s="543">
        <v>12.25</v>
      </c>
      <c r="K79" s="604"/>
      <c r="L79" s="605"/>
      <c r="M79" s="546">
        <f t="shared" si="16"/>
        <v>9.91</v>
      </c>
      <c r="N79" s="547">
        <f t="shared" si="16"/>
        <v>12.25</v>
      </c>
      <c r="O79" s="902"/>
      <c r="P79" t="b">
        <f t="shared" si="8"/>
        <v>1</v>
      </c>
    </row>
    <row r="80" spans="1:16" ht="15.6">
      <c r="A80" s="561">
        <v>72</v>
      </c>
      <c r="B80" s="535" t="s">
        <v>250</v>
      </c>
      <c r="C80" s="586" t="s">
        <v>454</v>
      </c>
      <c r="D80" s="587" t="s">
        <v>455</v>
      </c>
      <c r="E80" s="622">
        <v>1349660.064</v>
      </c>
      <c r="F80" s="623">
        <v>2250.8485999999998</v>
      </c>
      <c r="G80" s="590">
        <f>E80/1000000</f>
        <v>1.349660064</v>
      </c>
      <c r="H80" s="591">
        <f>F80/1000</f>
        <v>2.2508485999999999</v>
      </c>
      <c r="I80" s="542">
        <v>0</v>
      </c>
      <c r="J80" s="543">
        <v>0</v>
      </c>
      <c r="K80" s="604"/>
      <c r="L80" s="605"/>
      <c r="M80" s="546">
        <f t="shared" ref="M80:N99" si="18">K80+I80</f>
        <v>0</v>
      </c>
      <c r="N80" s="547">
        <f t="shared" si="18"/>
        <v>0</v>
      </c>
      <c r="O80" s="902"/>
      <c r="P80" t="b">
        <f t="shared" si="8"/>
        <v>0</v>
      </c>
    </row>
    <row r="81" spans="1:16" ht="15.6">
      <c r="A81" s="535">
        <v>73</v>
      </c>
      <c r="B81" s="535" t="s">
        <v>250</v>
      </c>
      <c r="C81" s="586" t="s">
        <v>456</v>
      </c>
      <c r="D81" s="587" t="s">
        <v>357</v>
      </c>
      <c r="E81" s="622">
        <v>4895085.4353999998</v>
      </c>
      <c r="F81" s="623">
        <v>5784.8543</v>
      </c>
      <c r="G81" s="590">
        <f>E81/1000000</f>
        <v>4.8950854353999995</v>
      </c>
      <c r="H81" s="591">
        <f>F81/1000</f>
        <v>5.7848543000000001</v>
      </c>
      <c r="I81" s="542">
        <v>4.8950854353999995</v>
      </c>
      <c r="J81" s="543">
        <v>5.7848543000000001</v>
      </c>
      <c r="K81" s="604"/>
      <c r="L81" s="605"/>
      <c r="M81" s="546">
        <f t="shared" si="18"/>
        <v>4.8950854353999995</v>
      </c>
      <c r="N81" s="547">
        <f t="shared" si="18"/>
        <v>5.7848543000000001</v>
      </c>
      <c r="O81" s="902"/>
      <c r="P81" t="b">
        <f t="shared" si="8"/>
        <v>1</v>
      </c>
    </row>
    <row r="82" spans="1:16" ht="15.6">
      <c r="A82" s="535">
        <v>74</v>
      </c>
      <c r="B82" s="535" t="s">
        <v>250</v>
      </c>
      <c r="C82" s="586" t="s">
        <v>457</v>
      </c>
      <c r="D82" s="587" t="s">
        <v>458</v>
      </c>
      <c r="E82" s="588">
        <v>4988689.9151999997</v>
      </c>
      <c r="F82" s="589">
        <v>9475.1257999999998</v>
      </c>
      <c r="G82" s="590">
        <f>E82/1000000</f>
        <v>4.9886899151999993</v>
      </c>
      <c r="H82" s="591">
        <f>F82/1000</f>
        <v>9.4751257999999989</v>
      </c>
      <c r="I82" s="592">
        <v>0</v>
      </c>
      <c r="J82" s="593">
        <v>0</v>
      </c>
      <c r="K82" s="594"/>
      <c r="L82" s="595"/>
      <c r="M82" s="546">
        <f t="shared" si="18"/>
        <v>0</v>
      </c>
      <c r="N82" s="547">
        <f t="shared" si="18"/>
        <v>0</v>
      </c>
      <c r="O82" s="902"/>
      <c r="P82" t="b">
        <f t="shared" si="8"/>
        <v>0</v>
      </c>
    </row>
    <row r="83" spans="1:16" ht="15.6">
      <c r="A83" s="561">
        <v>75</v>
      </c>
      <c r="B83" s="535" t="s">
        <v>250</v>
      </c>
      <c r="C83" s="586" t="s">
        <v>459</v>
      </c>
      <c r="D83" s="587" t="s">
        <v>355</v>
      </c>
      <c r="E83" s="588">
        <v>3289999.9994000001</v>
      </c>
      <c r="F83" s="589">
        <v>7500</v>
      </c>
      <c r="G83" s="590">
        <v>2.4700000000000002</v>
      </c>
      <c r="H83" s="591">
        <v>4.6500000000000004</v>
      </c>
      <c r="I83" s="592">
        <v>2.4700000000000002</v>
      </c>
      <c r="J83" s="593">
        <v>4.6500000000000004</v>
      </c>
      <c r="K83" s="594"/>
      <c r="L83" s="595"/>
      <c r="M83" s="546">
        <f t="shared" si="18"/>
        <v>2.4700000000000002</v>
      </c>
      <c r="N83" s="547">
        <f t="shared" si="18"/>
        <v>4.6500000000000004</v>
      </c>
      <c r="O83" s="902"/>
      <c r="P83" t="b">
        <f t="shared" si="8"/>
        <v>1</v>
      </c>
    </row>
    <row r="84" spans="1:16" ht="15.6">
      <c r="A84" s="535">
        <v>76</v>
      </c>
      <c r="B84" s="535" t="s">
        <v>250</v>
      </c>
      <c r="C84" s="586" t="s">
        <v>460</v>
      </c>
      <c r="D84" s="587" t="s">
        <v>357</v>
      </c>
      <c r="E84" s="588">
        <v>6126472.9587000003</v>
      </c>
      <c r="F84" s="589">
        <v>5296.4044000000004</v>
      </c>
      <c r="G84" s="590">
        <f t="shared" ref="G84:G106" si="19">E84/1000000</f>
        <v>6.1264729587</v>
      </c>
      <c r="H84" s="591">
        <f t="shared" ref="H84:H89" si="20">F84/1000</f>
        <v>5.2964044000000001</v>
      </c>
      <c r="I84" s="592">
        <v>6.1264729587</v>
      </c>
      <c r="J84" s="593">
        <v>5.2964044000000001</v>
      </c>
      <c r="K84" s="596"/>
      <c r="L84" s="595"/>
      <c r="M84" s="546">
        <f t="shared" si="18"/>
        <v>6.1264729587</v>
      </c>
      <c r="N84" s="547">
        <f t="shared" si="18"/>
        <v>5.2964044000000001</v>
      </c>
      <c r="O84" s="902"/>
      <c r="P84" t="b">
        <f t="shared" si="8"/>
        <v>1</v>
      </c>
    </row>
    <row r="85" spans="1:16" ht="15.6">
      <c r="A85" s="535">
        <v>77</v>
      </c>
      <c r="B85" s="535" t="s">
        <v>250</v>
      </c>
      <c r="C85" s="586" t="s">
        <v>461</v>
      </c>
      <c r="D85" s="621" t="s">
        <v>359</v>
      </c>
      <c r="E85" s="622">
        <v>6120047.6896000002</v>
      </c>
      <c r="F85" s="623">
        <v>7250.1059999999998</v>
      </c>
      <c r="G85" s="590">
        <f t="shared" si="19"/>
        <v>6.1200476895999998</v>
      </c>
      <c r="H85" s="591">
        <f t="shared" si="20"/>
        <v>7.2501059999999997</v>
      </c>
      <c r="I85" s="592">
        <v>6.1200476895999998</v>
      </c>
      <c r="J85" s="593">
        <v>7.2501059999999997</v>
      </c>
      <c r="K85" s="596"/>
      <c r="L85" s="595"/>
      <c r="M85" s="546">
        <f t="shared" si="18"/>
        <v>6.1200476895999998</v>
      </c>
      <c r="N85" s="547">
        <f t="shared" si="18"/>
        <v>7.2501059999999997</v>
      </c>
      <c r="O85" s="902"/>
      <c r="P85" t="b">
        <f t="shared" si="8"/>
        <v>1</v>
      </c>
    </row>
    <row r="86" spans="1:16" ht="17.25" customHeight="1" thickBot="1">
      <c r="A86" s="548">
        <v>78</v>
      </c>
      <c r="B86" s="548" t="s">
        <v>250</v>
      </c>
      <c r="C86" s="549" t="s">
        <v>462</v>
      </c>
      <c r="D86" s="550" t="s">
        <v>398</v>
      </c>
      <c r="E86" s="551">
        <v>22437810.227899998</v>
      </c>
      <c r="F86" s="552">
        <v>27859.9571</v>
      </c>
      <c r="G86" s="553">
        <f t="shared" si="19"/>
        <v>22.437810227899998</v>
      </c>
      <c r="H86" s="554">
        <f t="shared" si="20"/>
        <v>27.859957099999999</v>
      </c>
      <c r="I86" s="555">
        <v>0</v>
      </c>
      <c r="J86" s="556">
        <v>0</v>
      </c>
      <c r="K86" s="608"/>
      <c r="L86" s="558"/>
      <c r="M86" s="615">
        <f t="shared" si="18"/>
        <v>0</v>
      </c>
      <c r="N86" s="616">
        <f t="shared" si="18"/>
        <v>0</v>
      </c>
      <c r="O86" s="902"/>
      <c r="P86" t="b">
        <f t="shared" si="8"/>
        <v>0</v>
      </c>
    </row>
    <row r="87" spans="1:16" ht="15.6">
      <c r="A87" s="561">
        <v>79</v>
      </c>
      <c r="B87" s="561" t="s">
        <v>256</v>
      </c>
      <c r="C87" s="574" t="s">
        <v>463</v>
      </c>
      <c r="D87" s="609" t="s">
        <v>464</v>
      </c>
      <c r="E87" s="576">
        <v>23133189.544199999</v>
      </c>
      <c r="F87" s="577">
        <v>32572.195500000002</v>
      </c>
      <c r="G87" s="578">
        <f t="shared" si="19"/>
        <v>23.1331895442</v>
      </c>
      <c r="H87" s="579">
        <f t="shared" si="20"/>
        <v>32.572195499999999</v>
      </c>
      <c r="I87" s="580">
        <v>0</v>
      </c>
      <c r="J87" s="581">
        <v>0</v>
      </c>
      <c r="K87" s="582"/>
      <c r="L87" s="583"/>
      <c r="M87" s="610">
        <f t="shared" si="18"/>
        <v>0</v>
      </c>
      <c r="N87" s="611">
        <f t="shared" si="18"/>
        <v>0</v>
      </c>
      <c r="O87" s="902"/>
      <c r="P87" t="b">
        <f t="shared" si="8"/>
        <v>0</v>
      </c>
    </row>
    <row r="88" spans="1:16" ht="15.6">
      <c r="A88" s="535">
        <v>80</v>
      </c>
      <c r="B88" s="535" t="s">
        <v>256</v>
      </c>
      <c r="C88" s="586" t="s">
        <v>465</v>
      </c>
      <c r="D88" s="587" t="s">
        <v>466</v>
      </c>
      <c r="E88" s="588">
        <v>104633062.6532</v>
      </c>
      <c r="F88" s="589">
        <v>49129.340499999998</v>
      </c>
      <c r="G88" s="590">
        <f t="shared" si="19"/>
        <v>104.6330626532</v>
      </c>
      <c r="H88" s="591">
        <f t="shared" si="20"/>
        <v>49.129340499999998</v>
      </c>
      <c r="I88" s="592">
        <v>104.6330626532</v>
      </c>
      <c r="J88" s="593">
        <v>49.129340499999998</v>
      </c>
      <c r="K88" s="594"/>
      <c r="L88" s="595"/>
      <c r="M88" s="546">
        <f t="shared" si="18"/>
        <v>104.6330626532</v>
      </c>
      <c r="N88" s="547">
        <f t="shared" si="18"/>
        <v>49.129340499999998</v>
      </c>
      <c r="O88" s="902"/>
      <c r="P88" t="b">
        <f t="shared" si="8"/>
        <v>1</v>
      </c>
    </row>
    <row r="89" spans="1:16" ht="18.45" customHeight="1">
      <c r="A89" s="561">
        <v>81</v>
      </c>
      <c r="B89" s="535" t="s">
        <v>256</v>
      </c>
      <c r="C89" s="586" t="s">
        <v>467</v>
      </c>
      <c r="D89" s="535" t="s">
        <v>468</v>
      </c>
      <c r="E89" s="588">
        <v>126772510.74789999</v>
      </c>
      <c r="F89" s="589">
        <v>43586.341699999997</v>
      </c>
      <c r="G89" s="590">
        <f t="shared" si="19"/>
        <v>126.7725107479</v>
      </c>
      <c r="H89" s="591">
        <f t="shared" si="20"/>
        <v>43.586341699999998</v>
      </c>
      <c r="I89" s="592">
        <v>0</v>
      </c>
      <c r="J89" s="593">
        <v>0</v>
      </c>
      <c r="K89" s="594"/>
      <c r="L89" s="595"/>
      <c r="M89" s="546">
        <f t="shared" si="18"/>
        <v>0</v>
      </c>
      <c r="N89" s="547">
        <f t="shared" si="18"/>
        <v>0</v>
      </c>
      <c r="O89" s="902"/>
      <c r="P89" t="b">
        <f t="shared" ref="P89:P153" si="21">H89=N89</f>
        <v>0</v>
      </c>
    </row>
    <row r="90" spans="1:16" ht="18.45" customHeight="1">
      <c r="A90" s="535">
        <v>82</v>
      </c>
      <c r="B90" s="624" t="s">
        <v>256</v>
      </c>
      <c r="C90" s="617" t="s">
        <v>469</v>
      </c>
      <c r="D90" s="618" t="s">
        <v>452</v>
      </c>
      <c r="E90" s="619">
        <v>3586702.4134</v>
      </c>
      <c r="F90" s="619">
        <v>7599.0218000000004</v>
      </c>
      <c r="G90" s="540">
        <v>1.9</v>
      </c>
      <c r="H90" s="541">
        <v>3.04</v>
      </c>
      <c r="I90" s="592">
        <v>1.9</v>
      </c>
      <c r="J90" s="593">
        <v>3.04</v>
      </c>
      <c r="K90" s="594"/>
      <c r="L90" s="595"/>
      <c r="M90" s="546">
        <f t="shared" si="18"/>
        <v>1.9</v>
      </c>
      <c r="N90" s="547">
        <f t="shared" si="18"/>
        <v>3.04</v>
      </c>
      <c r="O90" s="902"/>
      <c r="P90" t="b">
        <f t="shared" si="21"/>
        <v>1</v>
      </c>
    </row>
    <row r="91" spans="1:16" ht="18.45" customHeight="1">
      <c r="A91" s="535">
        <v>83</v>
      </c>
      <c r="B91" s="624" t="s">
        <v>256</v>
      </c>
      <c r="C91" s="617" t="s">
        <v>470</v>
      </c>
      <c r="D91" s="618" t="s">
        <v>410</v>
      </c>
      <c r="E91" s="619">
        <v>13109250.000800001</v>
      </c>
      <c r="F91" s="619">
        <v>16229.810799999999</v>
      </c>
      <c r="G91" s="540">
        <v>13.99</v>
      </c>
      <c r="H91" s="541">
        <v>10.71</v>
      </c>
      <c r="I91" s="592">
        <v>13.99</v>
      </c>
      <c r="J91" s="593">
        <v>10.71</v>
      </c>
      <c r="K91" s="594"/>
      <c r="L91" s="595"/>
      <c r="M91" s="546">
        <f t="shared" si="18"/>
        <v>13.99</v>
      </c>
      <c r="N91" s="547">
        <f t="shared" si="18"/>
        <v>10.71</v>
      </c>
      <c r="O91" s="902"/>
      <c r="P91" t="b">
        <f t="shared" si="21"/>
        <v>1</v>
      </c>
    </row>
    <row r="92" spans="1:16" ht="15.6">
      <c r="A92" s="561">
        <v>84</v>
      </c>
      <c r="B92" s="535" t="s">
        <v>256</v>
      </c>
      <c r="C92" s="586" t="s">
        <v>471</v>
      </c>
      <c r="D92" s="587" t="s">
        <v>357</v>
      </c>
      <c r="E92" s="588">
        <v>6068417.8914000001</v>
      </c>
      <c r="F92" s="589">
        <v>5203.3494000000001</v>
      </c>
      <c r="G92" s="590">
        <f t="shared" si="19"/>
        <v>6.0684178914000002</v>
      </c>
      <c r="H92" s="591">
        <f t="shared" ref="H92:H106" si="22">F92/1000</f>
        <v>5.2033494000000005</v>
      </c>
      <c r="I92" s="592">
        <v>6.0684178914000002</v>
      </c>
      <c r="J92" s="593">
        <v>5.2033494000000005</v>
      </c>
      <c r="K92" s="596"/>
      <c r="L92" s="595"/>
      <c r="M92" s="546">
        <f t="shared" si="18"/>
        <v>6.0684178914000002</v>
      </c>
      <c r="N92" s="547">
        <f t="shared" si="18"/>
        <v>5.2033494000000005</v>
      </c>
      <c r="O92" s="902"/>
      <c r="P92" t="b">
        <f t="shared" si="21"/>
        <v>1</v>
      </c>
    </row>
    <row r="93" spans="1:16" ht="15.6">
      <c r="A93" s="535">
        <v>85</v>
      </c>
      <c r="B93" s="535" t="s">
        <v>256</v>
      </c>
      <c r="C93" s="586" t="s">
        <v>472</v>
      </c>
      <c r="D93" s="587" t="s">
        <v>359</v>
      </c>
      <c r="E93" s="588">
        <v>6445247.8915999997</v>
      </c>
      <c r="F93" s="589">
        <v>8610.8048999999992</v>
      </c>
      <c r="G93" s="590">
        <f t="shared" si="19"/>
        <v>6.4452478915999993</v>
      </c>
      <c r="H93" s="591">
        <f t="shared" si="22"/>
        <v>8.6108048999999998</v>
      </c>
      <c r="I93" s="592">
        <v>6.4452478915999993</v>
      </c>
      <c r="J93" s="593">
        <v>8.6108048999999998</v>
      </c>
      <c r="K93" s="596"/>
      <c r="L93" s="595"/>
      <c r="M93" s="546">
        <f t="shared" si="18"/>
        <v>6.4452478915999993</v>
      </c>
      <c r="N93" s="547">
        <f t="shared" si="18"/>
        <v>8.6108048999999998</v>
      </c>
      <c r="O93" s="902"/>
      <c r="P93" t="b">
        <f t="shared" si="21"/>
        <v>1</v>
      </c>
    </row>
    <row r="94" spans="1:16" ht="15.6">
      <c r="A94" s="535">
        <v>86</v>
      </c>
      <c r="B94" s="535" t="s">
        <v>256</v>
      </c>
      <c r="C94" s="586" t="s">
        <v>473</v>
      </c>
      <c r="D94" s="587" t="s">
        <v>474</v>
      </c>
      <c r="E94" s="588">
        <v>82279384.114399999</v>
      </c>
      <c r="F94" s="589">
        <v>57085.692199999998</v>
      </c>
      <c r="G94" s="590">
        <f t="shared" si="19"/>
        <v>82.279384114400003</v>
      </c>
      <c r="H94" s="591">
        <f t="shared" si="22"/>
        <v>57.085692199999997</v>
      </c>
      <c r="I94" s="592">
        <v>0</v>
      </c>
      <c r="J94" s="593">
        <v>0</v>
      </c>
      <c r="K94" s="594"/>
      <c r="L94" s="595"/>
      <c r="M94" s="546">
        <f t="shared" si="18"/>
        <v>0</v>
      </c>
      <c r="N94" s="547">
        <f t="shared" si="18"/>
        <v>0</v>
      </c>
      <c r="O94" s="902"/>
      <c r="P94" t="b">
        <f t="shared" si="21"/>
        <v>0</v>
      </c>
    </row>
    <row r="95" spans="1:16" ht="15.6">
      <c r="A95" s="561">
        <v>87</v>
      </c>
      <c r="B95" s="535" t="s">
        <v>256</v>
      </c>
      <c r="C95" s="586" t="s">
        <v>475</v>
      </c>
      <c r="D95" s="587" t="s">
        <v>398</v>
      </c>
      <c r="E95" s="588">
        <v>23133216.230900001</v>
      </c>
      <c r="F95" s="589">
        <v>32572.2762</v>
      </c>
      <c r="G95" s="590">
        <f t="shared" si="19"/>
        <v>23.1332162309</v>
      </c>
      <c r="H95" s="591">
        <f t="shared" si="22"/>
        <v>32.572276199999997</v>
      </c>
      <c r="I95" s="592">
        <v>0</v>
      </c>
      <c r="J95" s="593">
        <v>0</v>
      </c>
      <c r="K95" s="594"/>
      <c r="L95" s="595"/>
      <c r="M95" s="546">
        <f t="shared" si="18"/>
        <v>0</v>
      </c>
      <c r="N95" s="547">
        <f t="shared" si="18"/>
        <v>0</v>
      </c>
      <c r="O95" s="902"/>
      <c r="P95" t="b">
        <f t="shared" si="21"/>
        <v>0</v>
      </c>
    </row>
    <row r="96" spans="1:16" ht="15.6">
      <c r="A96" s="535">
        <v>88</v>
      </c>
      <c r="B96" s="535" t="s">
        <v>256</v>
      </c>
      <c r="C96" s="586" t="s">
        <v>476</v>
      </c>
      <c r="D96" s="587" t="s">
        <v>477</v>
      </c>
      <c r="E96" s="588">
        <v>16586363.6961</v>
      </c>
      <c r="F96" s="589">
        <v>25134.642800000001</v>
      </c>
      <c r="G96" s="590">
        <f t="shared" si="19"/>
        <v>16.586363696100001</v>
      </c>
      <c r="H96" s="591">
        <f t="shared" si="22"/>
        <v>25.134642800000002</v>
      </c>
      <c r="I96" s="592">
        <v>0</v>
      </c>
      <c r="J96" s="593">
        <v>0</v>
      </c>
      <c r="K96" s="594"/>
      <c r="L96" s="595"/>
      <c r="M96" s="546">
        <f t="shared" si="18"/>
        <v>0</v>
      </c>
      <c r="N96" s="547">
        <f t="shared" si="18"/>
        <v>0</v>
      </c>
      <c r="O96" s="902"/>
      <c r="P96" t="b">
        <f t="shared" si="21"/>
        <v>0</v>
      </c>
    </row>
    <row r="97" spans="1:16" ht="16.2" thickBot="1">
      <c r="A97" s="548">
        <v>89</v>
      </c>
      <c r="B97" s="548" t="s">
        <v>256</v>
      </c>
      <c r="C97" s="549" t="s">
        <v>478</v>
      </c>
      <c r="D97" s="550" t="s">
        <v>410</v>
      </c>
      <c r="E97" s="551">
        <v>5006197.9278999995</v>
      </c>
      <c r="F97" s="552">
        <v>9452.3590000000004</v>
      </c>
      <c r="G97" s="553">
        <f t="shared" si="19"/>
        <v>5.0061979278999997</v>
      </c>
      <c r="H97" s="554">
        <f t="shared" si="22"/>
        <v>9.4523589999999995</v>
      </c>
      <c r="I97" s="555">
        <v>0</v>
      </c>
      <c r="J97" s="556">
        <v>0</v>
      </c>
      <c r="K97" s="608"/>
      <c r="L97" s="558"/>
      <c r="M97" s="615">
        <f t="shared" si="18"/>
        <v>0</v>
      </c>
      <c r="N97" s="616">
        <f t="shared" si="18"/>
        <v>0</v>
      </c>
      <c r="O97" s="902"/>
      <c r="P97" t="b">
        <f t="shared" si="21"/>
        <v>0</v>
      </c>
    </row>
    <row r="98" spans="1:16" ht="15.6">
      <c r="A98" s="561">
        <v>90</v>
      </c>
      <c r="B98" s="625" t="s">
        <v>259</v>
      </c>
      <c r="C98" s="626" t="s">
        <v>479</v>
      </c>
      <c r="D98" s="627" t="s">
        <v>410</v>
      </c>
      <c r="E98" s="628">
        <v>13990386.9671</v>
      </c>
      <c r="F98" s="628">
        <v>16210.0159</v>
      </c>
      <c r="G98" s="566">
        <f>E98/1000000</f>
        <v>13.990386967099999</v>
      </c>
      <c r="H98" s="567">
        <v>10.71</v>
      </c>
      <c r="I98" s="815">
        <v>0</v>
      </c>
      <c r="J98" s="816">
        <v>0</v>
      </c>
      <c r="K98" s="604"/>
      <c r="L98" s="605"/>
      <c r="M98" s="610">
        <f t="shared" si="18"/>
        <v>0</v>
      </c>
      <c r="N98" s="611">
        <f t="shared" si="18"/>
        <v>0</v>
      </c>
      <c r="O98" s="902"/>
      <c r="P98" t="b">
        <f t="shared" si="21"/>
        <v>0</v>
      </c>
    </row>
    <row r="99" spans="1:16" ht="15.6">
      <c r="A99" s="535">
        <v>91</v>
      </c>
      <c r="B99" s="624" t="s">
        <v>259</v>
      </c>
      <c r="C99" s="617" t="s">
        <v>480</v>
      </c>
      <c r="D99" s="630" t="s">
        <v>452</v>
      </c>
      <c r="E99" s="619">
        <v>2474976.0995999998</v>
      </c>
      <c r="F99" s="619">
        <v>6299.9681</v>
      </c>
      <c r="G99" s="540">
        <v>1.9</v>
      </c>
      <c r="H99" s="541">
        <v>3.04</v>
      </c>
      <c r="I99" s="780">
        <v>1.9</v>
      </c>
      <c r="J99" s="817">
        <v>3.04</v>
      </c>
      <c r="K99" s="604"/>
      <c r="L99" s="605"/>
      <c r="M99" s="546">
        <f t="shared" si="18"/>
        <v>1.9</v>
      </c>
      <c r="N99" s="547">
        <f t="shared" si="18"/>
        <v>3.04</v>
      </c>
      <c r="O99" s="902"/>
      <c r="P99" t="b">
        <f t="shared" si="21"/>
        <v>1</v>
      </c>
    </row>
    <row r="100" spans="1:16" ht="15.6">
      <c r="A100" s="535">
        <v>92</v>
      </c>
      <c r="B100" s="624" t="s">
        <v>259</v>
      </c>
      <c r="C100" s="617" t="s">
        <v>481</v>
      </c>
      <c r="D100" s="630" t="s">
        <v>359</v>
      </c>
      <c r="E100" s="619">
        <v>1835432.0926000001</v>
      </c>
      <c r="F100" s="619">
        <v>5422.3096999999998</v>
      </c>
      <c r="G100" s="540">
        <v>1.82</v>
      </c>
      <c r="H100" s="541">
        <v>4.3</v>
      </c>
      <c r="I100" s="780">
        <v>1.82</v>
      </c>
      <c r="J100" s="817">
        <v>4.3</v>
      </c>
      <c r="K100" s="604"/>
      <c r="L100" s="605"/>
      <c r="M100" s="546">
        <f t="shared" ref="M100:N137" si="23">K100+I100</f>
        <v>1.82</v>
      </c>
      <c r="N100" s="547">
        <f t="shared" si="23"/>
        <v>4.3</v>
      </c>
      <c r="O100" s="902"/>
      <c r="P100" t="b">
        <f t="shared" si="21"/>
        <v>1</v>
      </c>
    </row>
    <row r="101" spans="1:16" ht="15.6">
      <c r="A101" s="561">
        <v>93</v>
      </c>
      <c r="B101" s="624" t="s">
        <v>259</v>
      </c>
      <c r="C101" s="617" t="s">
        <v>482</v>
      </c>
      <c r="D101" s="587" t="s">
        <v>357</v>
      </c>
      <c r="E101" s="588">
        <v>4888675.3585000001</v>
      </c>
      <c r="F101" s="589">
        <v>5791.4273000000003</v>
      </c>
      <c r="G101" s="590">
        <f t="shared" ref="G101" si="24">E101/1000000</f>
        <v>4.8886753585000005</v>
      </c>
      <c r="H101" s="591">
        <f>F101/1000</f>
        <v>5.7914273000000005</v>
      </c>
      <c r="I101" s="780">
        <v>4.8886753585000005</v>
      </c>
      <c r="J101" s="817">
        <v>5.7914273000000005</v>
      </c>
      <c r="K101" s="604"/>
      <c r="L101" s="605"/>
      <c r="M101" s="546">
        <f t="shared" si="23"/>
        <v>4.8886753585000005</v>
      </c>
      <c r="N101" s="547">
        <f t="shared" si="23"/>
        <v>5.7914273000000005</v>
      </c>
      <c r="O101" s="902"/>
      <c r="P101" t="b">
        <f t="shared" si="21"/>
        <v>1</v>
      </c>
    </row>
    <row r="102" spans="1:16" ht="15.6">
      <c r="A102" s="535">
        <v>94</v>
      </c>
      <c r="B102" s="624" t="s">
        <v>259</v>
      </c>
      <c r="C102" s="617" t="s">
        <v>483</v>
      </c>
      <c r="D102" s="630" t="s">
        <v>484</v>
      </c>
      <c r="E102" s="619">
        <v>17711951.004999999</v>
      </c>
      <c r="F102" s="619">
        <v>18060.0249</v>
      </c>
      <c r="G102" s="540">
        <v>18.809999999999999</v>
      </c>
      <c r="H102" s="541">
        <v>17.670000000000002</v>
      </c>
      <c r="I102" s="780">
        <v>18.809999999999999</v>
      </c>
      <c r="J102" s="817">
        <v>17.670000000000002</v>
      </c>
      <c r="K102" s="596"/>
      <c r="L102" s="595"/>
      <c r="M102" s="546">
        <f t="shared" si="23"/>
        <v>18.809999999999999</v>
      </c>
      <c r="N102" s="547">
        <f t="shared" si="23"/>
        <v>17.670000000000002</v>
      </c>
      <c r="O102" s="902"/>
      <c r="P102" t="b">
        <f t="shared" si="21"/>
        <v>1</v>
      </c>
    </row>
    <row r="103" spans="1:16" ht="15.6">
      <c r="A103" s="535">
        <v>95</v>
      </c>
      <c r="B103" s="624" t="s">
        <v>259</v>
      </c>
      <c r="C103" s="617" t="s">
        <v>485</v>
      </c>
      <c r="D103" s="587" t="s">
        <v>357</v>
      </c>
      <c r="E103" s="588">
        <v>6126500.0001999997</v>
      </c>
      <c r="F103" s="589">
        <v>5290</v>
      </c>
      <c r="G103" s="590">
        <f t="shared" ref="G103" si="25">E103/1000000</f>
        <v>6.1265000002000001</v>
      </c>
      <c r="H103" s="591">
        <f>F103/1000</f>
        <v>5.29</v>
      </c>
      <c r="I103" s="782">
        <v>0</v>
      </c>
      <c r="J103" s="569">
        <v>0</v>
      </c>
      <c r="K103" s="633"/>
      <c r="L103" s="605"/>
      <c r="M103" s="546">
        <f t="shared" si="23"/>
        <v>0</v>
      </c>
      <c r="N103" s="547">
        <f t="shared" si="23"/>
        <v>0</v>
      </c>
      <c r="O103" s="902"/>
      <c r="P103" t="b">
        <f t="shared" si="21"/>
        <v>0</v>
      </c>
    </row>
    <row r="104" spans="1:16" ht="16.2" thickBot="1">
      <c r="A104" s="548">
        <v>96</v>
      </c>
      <c r="B104" s="634" t="s">
        <v>259</v>
      </c>
      <c r="C104" s="635" t="s">
        <v>486</v>
      </c>
      <c r="D104" s="636" t="s">
        <v>233</v>
      </c>
      <c r="E104" s="637">
        <v>9914313.0114999991</v>
      </c>
      <c r="F104" s="637">
        <v>15120.134899999999</v>
      </c>
      <c r="G104" s="638">
        <f>E104/1000000</f>
        <v>9.9143130114999991</v>
      </c>
      <c r="H104" s="639">
        <v>12.24</v>
      </c>
      <c r="I104" s="785">
        <v>9.9143130114999991</v>
      </c>
      <c r="J104" s="725">
        <v>12.24</v>
      </c>
      <c r="K104" s="557"/>
      <c r="L104" s="558"/>
      <c r="M104" s="615">
        <f t="shared" si="23"/>
        <v>9.9143130114999991</v>
      </c>
      <c r="N104" s="616">
        <f t="shared" si="23"/>
        <v>12.24</v>
      </c>
      <c r="O104" s="902"/>
      <c r="P104" t="b">
        <f t="shared" si="21"/>
        <v>1</v>
      </c>
    </row>
    <row r="105" spans="1:16" ht="15.6">
      <c r="A105" s="561">
        <v>97</v>
      </c>
      <c r="B105" s="561" t="s">
        <v>262</v>
      </c>
      <c r="C105" s="574" t="s">
        <v>487</v>
      </c>
      <c r="D105" s="609" t="s">
        <v>436</v>
      </c>
      <c r="E105" s="576">
        <v>394489769.57120001</v>
      </c>
      <c r="F105" s="577">
        <v>133616.905</v>
      </c>
      <c r="G105" s="578">
        <f t="shared" si="19"/>
        <v>394.48976957119999</v>
      </c>
      <c r="H105" s="579">
        <f t="shared" si="22"/>
        <v>133.616905</v>
      </c>
      <c r="I105" s="642">
        <v>266.7</v>
      </c>
      <c r="J105" s="643">
        <v>77.47</v>
      </c>
      <c r="K105" s="644">
        <v>127.79</v>
      </c>
      <c r="L105" s="583">
        <v>81.23</v>
      </c>
      <c r="M105" s="610">
        <f t="shared" si="23"/>
        <v>394.49</v>
      </c>
      <c r="N105" s="611">
        <f t="shared" si="23"/>
        <v>158.69999999999999</v>
      </c>
      <c r="O105" s="903" t="s">
        <v>763</v>
      </c>
      <c r="P105" t="b">
        <f t="shared" si="21"/>
        <v>0</v>
      </c>
    </row>
    <row r="106" spans="1:16" ht="15.6">
      <c r="A106" s="535">
        <v>98</v>
      </c>
      <c r="B106" s="535" t="s">
        <v>262</v>
      </c>
      <c r="C106" s="586" t="s">
        <v>488</v>
      </c>
      <c r="D106" s="587" t="s">
        <v>436</v>
      </c>
      <c r="E106" s="588">
        <v>375788026.3847</v>
      </c>
      <c r="F106" s="589">
        <v>132285.38399999999</v>
      </c>
      <c r="G106" s="590">
        <f t="shared" si="19"/>
        <v>375.7880263847</v>
      </c>
      <c r="H106" s="591">
        <f t="shared" si="22"/>
        <v>132.28538399999999</v>
      </c>
      <c r="I106" s="645">
        <v>220.98</v>
      </c>
      <c r="J106" s="646">
        <v>68.14</v>
      </c>
      <c r="K106" s="647">
        <v>154.80802638470001</v>
      </c>
      <c r="L106" s="595">
        <v>64.145383999999993</v>
      </c>
      <c r="M106" s="546">
        <f t="shared" si="23"/>
        <v>375.7880263847</v>
      </c>
      <c r="N106" s="547">
        <f t="shared" si="23"/>
        <v>132.28538399999999</v>
      </c>
      <c r="O106" s="903" t="s">
        <v>764</v>
      </c>
      <c r="P106" t="b">
        <f t="shared" si="21"/>
        <v>1</v>
      </c>
    </row>
    <row r="107" spans="1:16" ht="15.6">
      <c r="A107" s="561">
        <v>99</v>
      </c>
      <c r="B107" s="648" t="s">
        <v>262</v>
      </c>
      <c r="C107" s="649" t="s">
        <v>489</v>
      </c>
      <c r="D107" s="650" t="s">
        <v>410</v>
      </c>
      <c r="E107" s="651">
        <v>13990386.9671</v>
      </c>
      <c r="F107" s="652">
        <v>16210.0159</v>
      </c>
      <c r="G107" s="632">
        <f>E107/1000000</f>
        <v>13.990386967099999</v>
      </c>
      <c r="H107" s="653">
        <v>10.81</v>
      </c>
      <c r="I107" s="782">
        <v>13.990386967099999</v>
      </c>
      <c r="J107" s="713">
        <v>10.81</v>
      </c>
      <c r="K107" s="647"/>
      <c r="L107" s="595"/>
      <c r="M107" s="546">
        <f t="shared" si="23"/>
        <v>13.990386967099999</v>
      </c>
      <c r="N107" s="547">
        <f t="shared" si="23"/>
        <v>10.81</v>
      </c>
      <c r="O107" s="902"/>
      <c r="P107" t="b">
        <f t="shared" si="21"/>
        <v>1</v>
      </c>
    </row>
    <row r="108" spans="1:16" ht="15.6">
      <c r="A108" s="535">
        <v>100</v>
      </c>
      <c r="B108" s="648" t="s">
        <v>262</v>
      </c>
      <c r="C108" s="586" t="s">
        <v>490</v>
      </c>
      <c r="D108" s="587" t="s">
        <v>357</v>
      </c>
      <c r="E108" s="588">
        <v>4888675.3585000001</v>
      </c>
      <c r="F108" s="589">
        <v>5791.4273000000003</v>
      </c>
      <c r="G108" s="590">
        <f t="shared" ref="G108:G109" si="26">E108/1000000</f>
        <v>4.8886753585000005</v>
      </c>
      <c r="H108" s="591">
        <f>F108/1000</f>
        <v>5.7914273000000005</v>
      </c>
      <c r="I108" s="645">
        <v>4.8886753585000005</v>
      </c>
      <c r="J108" s="646">
        <v>5.7914273000000005</v>
      </c>
      <c r="K108" s="647"/>
      <c r="L108" s="595"/>
      <c r="M108" s="546">
        <f t="shared" si="23"/>
        <v>4.8886753585000005</v>
      </c>
      <c r="N108" s="547">
        <f t="shared" si="23"/>
        <v>5.7914273000000005</v>
      </c>
      <c r="O108" s="902"/>
      <c r="P108" t="b">
        <f t="shared" si="21"/>
        <v>1</v>
      </c>
    </row>
    <row r="109" spans="1:16" ht="15.6">
      <c r="A109" s="535"/>
      <c r="B109" s="561" t="s">
        <v>262</v>
      </c>
      <c r="C109" s="574" t="s">
        <v>733</v>
      </c>
      <c r="D109" s="609" t="s">
        <v>355</v>
      </c>
      <c r="E109" s="576">
        <v>2410940.2281999998</v>
      </c>
      <c r="F109" s="577">
        <v>4604.5720000000001</v>
      </c>
      <c r="G109" s="590">
        <f t="shared" si="26"/>
        <v>2.4109402281999999</v>
      </c>
      <c r="H109" s="591">
        <f>F109/1000</f>
        <v>4.6045720000000001</v>
      </c>
      <c r="I109" s="840"/>
      <c r="J109" s="841"/>
      <c r="K109" s="647">
        <f>G109</f>
        <v>2.4109402281999999</v>
      </c>
      <c r="L109" s="595">
        <f>H109</f>
        <v>4.6045720000000001</v>
      </c>
      <c r="M109" s="546">
        <f t="shared" si="23"/>
        <v>2.4109402281999999</v>
      </c>
      <c r="N109" s="547">
        <f t="shared" si="23"/>
        <v>4.6045720000000001</v>
      </c>
      <c r="O109" s="903" t="s">
        <v>765</v>
      </c>
    </row>
    <row r="110" spans="1:16" ht="15.6">
      <c r="A110" s="535">
        <v>101</v>
      </c>
      <c r="B110" s="648" t="s">
        <v>262</v>
      </c>
      <c r="C110" s="649" t="s">
        <v>491</v>
      </c>
      <c r="D110" s="650" t="s">
        <v>492</v>
      </c>
      <c r="E110" s="651">
        <v>27838817.1635</v>
      </c>
      <c r="F110" s="652">
        <v>23799.848399999999</v>
      </c>
      <c r="G110" s="540">
        <f>E110/1000000</f>
        <v>27.8388171635</v>
      </c>
      <c r="H110" s="541">
        <v>17.399999999999999</v>
      </c>
      <c r="I110" s="780">
        <v>27.8388171635</v>
      </c>
      <c r="J110" s="781">
        <v>17.399999999999999</v>
      </c>
      <c r="K110" s="647"/>
      <c r="L110" s="595"/>
      <c r="M110" s="546">
        <f t="shared" si="23"/>
        <v>27.8388171635</v>
      </c>
      <c r="N110" s="547">
        <f t="shared" si="23"/>
        <v>17.399999999999999</v>
      </c>
      <c r="O110" s="902"/>
      <c r="P110" t="b">
        <f t="shared" si="21"/>
        <v>1</v>
      </c>
    </row>
    <row r="111" spans="1:16" ht="15.6">
      <c r="A111" s="561">
        <v>102</v>
      </c>
      <c r="B111" s="624" t="s">
        <v>262</v>
      </c>
      <c r="C111" s="617" t="s">
        <v>493</v>
      </c>
      <c r="D111" s="630" t="s">
        <v>452</v>
      </c>
      <c r="E111" s="619">
        <v>2474970.5229000002</v>
      </c>
      <c r="F111" s="654">
        <v>6299.9614000000001</v>
      </c>
      <c r="G111" s="632">
        <v>1.9</v>
      </c>
      <c r="H111" s="653">
        <v>3.04</v>
      </c>
      <c r="I111" s="655">
        <v>1.9</v>
      </c>
      <c r="J111" s="656">
        <v>3.04</v>
      </c>
      <c r="K111" s="647"/>
      <c r="L111" s="595"/>
      <c r="M111" s="546">
        <f t="shared" si="23"/>
        <v>1.9</v>
      </c>
      <c r="N111" s="547">
        <f t="shared" si="23"/>
        <v>3.04</v>
      </c>
      <c r="O111" s="902"/>
      <c r="P111" t="b">
        <f t="shared" si="21"/>
        <v>1</v>
      </c>
    </row>
    <row r="112" spans="1:16" ht="15.6">
      <c r="A112" s="535">
        <v>103</v>
      </c>
      <c r="B112" s="624" t="s">
        <v>262</v>
      </c>
      <c r="C112" s="617" t="s">
        <v>494</v>
      </c>
      <c r="D112" s="587" t="s">
        <v>357</v>
      </c>
      <c r="E112" s="588">
        <v>6126500.0001999997</v>
      </c>
      <c r="F112" s="589">
        <v>5290</v>
      </c>
      <c r="G112" s="590">
        <f t="shared" ref="G112" si="27">E112/1000000</f>
        <v>6.1265000002000001</v>
      </c>
      <c r="H112" s="591">
        <f>F112/1000</f>
        <v>5.29</v>
      </c>
      <c r="I112" s="645">
        <v>0</v>
      </c>
      <c r="J112" s="646">
        <v>0</v>
      </c>
      <c r="K112" s="647"/>
      <c r="L112" s="595"/>
      <c r="M112" s="546">
        <f t="shared" si="23"/>
        <v>0</v>
      </c>
      <c r="N112" s="547">
        <f t="shared" si="23"/>
        <v>0</v>
      </c>
      <c r="O112" s="902"/>
      <c r="P112" t="b">
        <f t="shared" si="21"/>
        <v>0</v>
      </c>
    </row>
    <row r="113" spans="1:16" ht="15.6">
      <c r="A113" s="535">
        <v>104</v>
      </c>
      <c r="B113" s="648" t="s">
        <v>262</v>
      </c>
      <c r="C113" s="657" t="s">
        <v>495</v>
      </c>
      <c r="D113" s="650" t="s">
        <v>233</v>
      </c>
      <c r="E113" s="658">
        <v>9914313.0114999991</v>
      </c>
      <c r="F113" s="658">
        <v>15120.134899999999</v>
      </c>
      <c r="G113" s="632">
        <v>9.34</v>
      </c>
      <c r="H113" s="659">
        <v>9.7200000000000006</v>
      </c>
      <c r="I113" s="780">
        <v>9.34</v>
      </c>
      <c r="J113" s="781">
        <v>9.7200000000000006</v>
      </c>
      <c r="K113" s="647"/>
      <c r="L113" s="595"/>
      <c r="M113" s="546">
        <f t="shared" si="23"/>
        <v>9.34</v>
      </c>
      <c r="N113" s="547">
        <f t="shared" si="23"/>
        <v>9.7200000000000006</v>
      </c>
      <c r="O113" s="902"/>
      <c r="P113" t="b">
        <f t="shared" si="21"/>
        <v>1</v>
      </c>
    </row>
    <row r="114" spans="1:16" ht="15.6">
      <c r="A114" s="561">
        <v>105</v>
      </c>
      <c r="B114" s="624" t="s">
        <v>262</v>
      </c>
      <c r="C114" s="617" t="s">
        <v>496</v>
      </c>
      <c r="D114" s="650" t="s">
        <v>497</v>
      </c>
      <c r="E114" s="651">
        <v>9934937.2851999998</v>
      </c>
      <c r="F114" s="652">
        <v>15124.3663</v>
      </c>
      <c r="G114" s="540">
        <f>9.91</f>
        <v>9.91</v>
      </c>
      <c r="H114" s="541">
        <v>12.15</v>
      </c>
      <c r="I114" s="780">
        <v>9.91</v>
      </c>
      <c r="J114" s="781">
        <v>12.15</v>
      </c>
      <c r="K114" s="647"/>
      <c r="L114" s="595"/>
      <c r="M114" s="546">
        <f t="shared" si="23"/>
        <v>9.91</v>
      </c>
      <c r="N114" s="547">
        <f t="shared" si="23"/>
        <v>12.15</v>
      </c>
      <c r="O114" s="902"/>
      <c r="P114" t="b">
        <f t="shared" si="21"/>
        <v>1</v>
      </c>
    </row>
    <row r="115" spans="1:16" ht="16.2" thickBot="1">
      <c r="A115" s="548">
        <v>106</v>
      </c>
      <c r="B115" s="548" t="s">
        <v>262</v>
      </c>
      <c r="C115" s="549" t="s">
        <v>498</v>
      </c>
      <c r="D115" s="550" t="s">
        <v>410</v>
      </c>
      <c r="E115" s="551">
        <v>5544827.8422999997</v>
      </c>
      <c r="F115" s="552">
        <v>10441.578799999999</v>
      </c>
      <c r="G115" s="553">
        <v>5.6</v>
      </c>
      <c r="H115" s="554">
        <v>6.97</v>
      </c>
      <c r="I115" s="660">
        <v>5.6</v>
      </c>
      <c r="J115" s="661">
        <v>6.97</v>
      </c>
      <c r="K115" s="662"/>
      <c r="L115" s="558"/>
      <c r="M115" s="615">
        <f t="shared" si="23"/>
        <v>5.6</v>
      </c>
      <c r="N115" s="616">
        <f t="shared" si="23"/>
        <v>6.97</v>
      </c>
      <c r="O115" s="902"/>
      <c r="P115" t="b">
        <f t="shared" si="21"/>
        <v>1</v>
      </c>
    </row>
    <row r="116" spans="1:16" ht="15.6">
      <c r="A116" s="561">
        <v>107</v>
      </c>
      <c r="B116" s="535" t="s">
        <v>265</v>
      </c>
      <c r="C116" s="586"/>
      <c r="D116" s="609" t="s">
        <v>355</v>
      </c>
      <c r="E116" s="663">
        <v>3392535.0321999998</v>
      </c>
      <c r="F116" s="664">
        <v>7627.1139999999996</v>
      </c>
      <c r="G116" s="590">
        <f>E116/1000000</f>
        <v>3.3925350321999996</v>
      </c>
      <c r="H116" s="591">
        <f>F116/1000</f>
        <v>7.6271139999999997</v>
      </c>
      <c r="I116" s="665">
        <v>3.3925350321999996</v>
      </c>
      <c r="J116" s="593">
        <v>7.6271139999999997</v>
      </c>
      <c r="K116" s="594"/>
      <c r="L116" s="595"/>
      <c r="M116" s="546">
        <f t="shared" si="23"/>
        <v>3.3925350321999996</v>
      </c>
      <c r="N116" s="547">
        <f t="shared" si="23"/>
        <v>7.6271139999999997</v>
      </c>
      <c r="O116" s="902"/>
      <c r="P116" t="b">
        <f t="shared" si="21"/>
        <v>1</v>
      </c>
    </row>
    <row r="117" spans="1:16" ht="15.6">
      <c r="A117" s="561">
        <v>108</v>
      </c>
      <c r="B117" s="535" t="s">
        <v>265</v>
      </c>
      <c r="C117" s="586"/>
      <c r="D117" s="587" t="s">
        <v>410</v>
      </c>
      <c r="E117" s="666">
        <v>5019975.2718000002</v>
      </c>
      <c r="F117" s="667">
        <v>5901.4583000000002</v>
      </c>
      <c r="G117" s="590">
        <f t="shared" ref="G117:G227" si="28">E117/1000000</f>
        <v>5.0199752717999999</v>
      </c>
      <c r="H117" s="591">
        <f t="shared" ref="H117:H180" si="29">F117/1000</f>
        <v>5.9014582999999998</v>
      </c>
      <c r="I117" s="665">
        <v>5.0199752717999999</v>
      </c>
      <c r="J117" s="593">
        <v>5.9014582999999998</v>
      </c>
      <c r="K117" s="594"/>
      <c r="L117" s="595"/>
      <c r="M117" s="546">
        <f t="shared" si="23"/>
        <v>5.0199752717999999</v>
      </c>
      <c r="N117" s="547">
        <f t="shared" si="23"/>
        <v>5.9014582999999998</v>
      </c>
      <c r="O117" s="902"/>
      <c r="P117" t="b">
        <f t="shared" si="21"/>
        <v>1</v>
      </c>
    </row>
    <row r="118" spans="1:16" ht="15.6">
      <c r="A118" s="535">
        <v>109</v>
      </c>
      <c r="B118" s="535" t="s">
        <v>265</v>
      </c>
      <c r="C118" s="586"/>
      <c r="D118" s="587" t="s">
        <v>359</v>
      </c>
      <c r="E118" s="588">
        <v>6099550.8362999996</v>
      </c>
      <c r="F118" s="589">
        <v>7235.8855999999996</v>
      </c>
      <c r="G118" s="590">
        <f t="shared" si="28"/>
        <v>6.0995508362999997</v>
      </c>
      <c r="H118" s="591">
        <f t="shared" si="29"/>
        <v>7.2358855999999996</v>
      </c>
      <c r="I118" s="592">
        <v>6.0995508362999997</v>
      </c>
      <c r="J118" s="593">
        <v>7.2358855999999996</v>
      </c>
      <c r="K118" s="594"/>
      <c r="L118" s="595"/>
      <c r="M118" s="546">
        <f t="shared" si="23"/>
        <v>6.0995508362999997</v>
      </c>
      <c r="N118" s="547">
        <f t="shared" si="23"/>
        <v>7.2358855999999996</v>
      </c>
      <c r="O118" s="902"/>
      <c r="P118" t="b">
        <f t="shared" si="21"/>
        <v>1</v>
      </c>
    </row>
    <row r="119" spans="1:16" ht="16.2" thickBot="1">
      <c r="A119" s="548">
        <v>110</v>
      </c>
      <c r="B119" s="548" t="s">
        <v>265</v>
      </c>
      <c r="C119" s="549"/>
      <c r="D119" s="550" t="s">
        <v>357</v>
      </c>
      <c r="E119" s="551">
        <v>7700810.0179000003</v>
      </c>
      <c r="F119" s="552">
        <v>10314.069299999999</v>
      </c>
      <c r="G119" s="553">
        <f t="shared" si="28"/>
        <v>7.7008100179000003</v>
      </c>
      <c r="H119" s="554">
        <f t="shared" si="29"/>
        <v>10.3140693</v>
      </c>
      <c r="I119" s="555">
        <v>7.7008100179000003</v>
      </c>
      <c r="J119" s="556">
        <v>10.3140693</v>
      </c>
      <c r="K119" s="608"/>
      <c r="L119" s="558"/>
      <c r="M119" s="615">
        <f t="shared" si="23"/>
        <v>7.7008100179000003</v>
      </c>
      <c r="N119" s="616">
        <f t="shared" si="23"/>
        <v>10.3140693</v>
      </c>
      <c r="O119" s="902"/>
      <c r="P119" t="b">
        <f t="shared" si="21"/>
        <v>1</v>
      </c>
    </row>
    <row r="120" spans="1:16" ht="15.6">
      <c r="A120" s="561">
        <v>111</v>
      </c>
      <c r="B120" s="609" t="s">
        <v>267</v>
      </c>
      <c r="C120" s="574" t="s">
        <v>499</v>
      </c>
      <c r="D120" s="609" t="s">
        <v>355</v>
      </c>
      <c r="E120" s="668">
        <v>2572540.5687000002</v>
      </c>
      <c r="F120" s="669">
        <v>4777.1234000000004</v>
      </c>
      <c r="G120" s="578">
        <f>E120/1000000</f>
        <v>2.5725405687</v>
      </c>
      <c r="H120" s="579">
        <f t="shared" si="29"/>
        <v>4.7771234000000007</v>
      </c>
      <c r="I120" s="670">
        <v>2.5725405687</v>
      </c>
      <c r="J120" s="581">
        <v>4.7771234000000007</v>
      </c>
      <c r="K120" s="596"/>
      <c r="L120" s="595"/>
      <c r="M120" s="610">
        <f t="shared" si="23"/>
        <v>2.5725405687</v>
      </c>
      <c r="N120" s="611">
        <f t="shared" si="23"/>
        <v>4.7771234000000007</v>
      </c>
      <c r="O120" s="902"/>
      <c r="P120" t="b">
        <f t="shared" si="21"/>
        <v>1</v>
      </c>
    </row>
    <row r="121" spans="1:16" ht="15.6">
      <c r="A121" s="535">
        <v>112</v>
      </c>
      <c r="B121" s="587" t="s">
        <v>267</v>
      </c>
      <c r="C121" s="586"/>
      <c r="D121" s="587" t="s">
        <v>410</v>
      </c>
      <c r="E121" s="666">
        <v>5019975.2718000002</v>
      </c>
      <c r="F121" s="667">
        <v>5901.4583000000002</v>
      </c>
      <c r="G121" s="590">
        <f t="shared" ref="G121:G123" si="30">E121/1000000</f>
        <v>5.0199752717999999</v>
      </c>
      <c r="H121" s="591">
        <f t="shared" si="29"/>
        <v>5.9014582999999998</v>
      </c>
      <c r="I121" s="670">
        <v>5.0199752717999999</v>
      </c>
      <c r="J121" s="581">
        <v>5.9014582999999998</v>
      </c>
      <c r="K121" s="596"/>
      <c r="L121" s="595"/>
      <c r="M121" s="546">
        <f t="shared" si="23"/>
        <v>5.0199752717999999</v>
      </c>
      <c r="N121" s="547">
        <f t="shared" si="23"/>
        <v>5.9014582999999998</v>
      </c>
      <c r="O121" s="902"/>
      <c r="P121" t="b">
        <f t="shared" si="21"/>
        <v>1</v>
      </c>
    </row>
    <row r="122" spans="1:16" ht="15.6">
      <c r="A122" s="535">
        <v>113</v>
      </c>
      <c r="B122" s="587" t="s">
        <v>267</v>
      </c>
      <c r="C122" s="586"/>
      <c r="D122" s="587" t="s">
        <v>359</v>
      </c>
      <c r="E122" s="588">
        <v>6099550.8362999996</v>
      </c>
      <c r="F122" s="589">
        <v>7235.8855999999996</v>
      </c>
      <c r="G122" s="590">
        <f t="shared" si="30"/>
        <v>6.0995508362999997</v>
      </c>
      <c r="H122" s="591">
        <f t="shared" si="29"/>
        <v>7.2358855999999996</v>
      </c>
      <c r="I122" s="592">
        <v>6.0995508362999997</v>
      </c>
      <c r="J122" s="593">
        <v>7.2358855999999996</v>
      </c>
      <c r="K122" s="594"/>
      <c r="L122" s="595"/>
      <c r="M122" s="546">
        <f t="shared" si="23"/>
        <v>6.0995508362999997</v>
      </c>
      <c r="N122" s="547">
        <f t="shared" si="23"/>
        <v>7.2358855999999996</v>
      </c>
      <c r="O122" s="902"/>
      <c r="P122" t="b">
        <f t="shared" si="21"/>
        <v>1</v>
      </c>
    </row>
    <row r="123" spans="1:16" ht="16.2" thickBot="1">
      <c r="A123" s="548">
        <v>114</v>
      </c>
      <c r="B123" s="550" t="s">
        <v>267</v>
      </c>
      <c r="C123" s="549"/>
      <c r="D123" s="550" t="s">
        <v>357</v>
      </c>
      <c r="E123" s="551">
        <v>7700810.0179000003</v>
      </c>
      <c r="F123" s="552">
        <v>10314.069299999999</v>
      </c>
      <c r="G123" s="553">
        <f t="shared" si="30"/>
        <v>7.7008100179000003</v>
      </c>
      <c r="H123" s="554">
        <f t="shared" si="29"/>
        <v>10.3140693</v>
      </c>
      <c r="I123" s="555">
        <v>7.7008100179000003</v>
      </c>
      <c r="J123" s="556">
        <v>10.3140693</v>
      </c>
      <c r="K123" s="608"/>
      <c r="L123" s="558"/>
      <c r="M123" s="615">
        <f t="shared" si="23"/>
        <v>7.7008100179000003</v>
      </c>
      <c r="N123" s="616">
        <f t="shared" si="23"/>
        <v>10.3140693</v>
      </c>
      <c r="O123" s="902"/>
      <c r="P123" t="b">
        <f t="shared" si="21"/>
        <v>1</v>
      </c>
    </row>
    <row r="124" spans="1:16" ht="15.6">
      <c r="A124" s="561">
        <v>115</v>
      </c>
      <c r="B124" s="609" t="s">
        <v>268</v>
      </c>
      <c r="C124" s="574" t="s">
        <v>500</v>
      </c>
      <c r="D124" s="609" t="s">
        <v>355</v>
      </c>
      <c r="E124" s="668">
        <v>2572540.5687000002</v>
      </c>
      <c r="F124" s="669">
        <v>4777.1234000000004</v>
      </c>
      <c r="G124" s="578">
        <f t="shared" si="28"/>
        <v>2.5725405687</v>
      </c>
      <c r="H124" s="579">
        <f t="shared" si="29"/>
        <v>4.7771234000000007</v>
      </c>
      <c r="I124" s="670">
        <v>2.5725405687</v>
      </c>
      <c r="J124" s="581">
        <v>4.7771234000000007</v>
      </c>
      <c r="K124" s="596"/>
      <c r="L124" s="595"/>
      <c r="M124" s="610">
        <f t="shared" si="23"/>
        <v>2.5725405687</v>
      </c>
      <c r="N124" s="611">
        <f t="shared" si="23"/>
        <v>4.7771234000000007</v>
      </c>
      <c r="O124" s="902"/>
      <c r="P124" t="b">
        <f t="shared" si="21"/>
        <v>1</v>
      </c>
    </row>
    <row r="125" spans="1:16" ht="15.6">
      <c r="A125" s="535">
        <v>116</v>
      </c>
      <c r="B125" s="587" t="s">
        <v>268</v>
      </c>
      <c r="C125" s="586"/>
      <c r="D125" s="587" t="s">
        <v>410</v>
      </c>
      <c r="E125" s="666">
        <v>5019975.2718000002</v>
      </c>
      <c r="F125" s="667">
        <v>5901.4583000000002</v>
      </c>
      <c r="G125" s="590">
        <f t="shared" si="28"/>
        <v>5.0199752717999999</v>
      </c>
      <c r="H125" s="591">
        <f t="shared" si="29"/>
        <v>5.9014582999999998</v>
      </c>
      <c r="I125" s="670">
        <v>5.0199752717999999</v>
      </c>
      <c r="J125" s="581">
        <v>5.9014582999999998</v>
      </c>
      <c r="K125" s="596"/>
      <c r="L125" s="595"/>
      <c r="M125" s="546">
        <f t="shared" si="23"/>
        <v>5.0199752717999999</v>
      </c>
      <c r="N125" s="547">
        <f t="shared" si="23"/>
        <v>5.9014582999999998</v>
      </c>
      <c r="O125" s="902"/>
      <c r="P125" t="b">
        <f t="shared" si="21"/>
        <v>1</v>
      </c>
    </row>
    <row r="126" spans="1:16" ht="15.6">
      <c r="A126" s="561">
        <v>117</v>
      </c>
      <c r="B126" s="587" t="s">
        <v>268</v>
      </c>
      <c r="C126" s="586"/>
      <c r="D126" s="587" t="s">
        <v>359</v>
      </c>
      <c r="E126" s="588">
        <v>6099550.8362999996</v>
      </c>
      <c r="F126" s="589">
        <v>7235.8855999999996</v>
      </c>
      <c r="G126" s="590">
        <f t="shared" si="28"/>
        <v>6.0995508362999997</v>
      </c>
      <c r="H126" s="591">
        <f t="shared" si="29"/>
        <v>7.2358855999999996</v>
      </c>
      <c r="I126" s="592">
        <v>6.0995508362999997</v>
      </c>
      <c r="J126" s="593">
        <v>7.2358855999999996</v>
      </c>
      <c r="K126" s="594"/>
      <c r="L126" s="595"/>
      <c r="M126" s="546">
        <f t="shared" si="23"/>
        <v>6.0995508362999997</v>
      </c>
      <c r="N126" s="547">
        <f t="shared" si="23"/>
        <v>7.2358855999999996</v>
      </c>
      <c r="O126" s="902"/>
      <c r="P126" t="b">
        <f t="shared" si="21"/>
        <v>1</v>
      </c>
    </row>
    <row r="127" spans="1:16" ht="16.2" thickBot="1">
      <c r="A127" s="548">
        <v>118</v>
      </c>
      <c r="B127" s="550" t="s">
        <v>268</v>
      </c>
      <c r="C127" s="549"/>
      <c r="D127" s="550" t="s">
        <v>357</v>
      </c>
      <c r="E127" s="551">
        <v>7700810.0179000003</v>
      </c>
      <c r="F127" s="552">
        <v>10314.069299999999</v>
      </c>
      <c r="G127" s="553">
        <f t="shared" si="28"/>
        <v>7.7008100179000003</v>
      </c>
      <c r="H127" s="554">
        <f t="shared" si="29"/>
        <v>10.3140693</v>
      </c>
      <c r="I127" s="555">
        <v>7.7008100179000003</v>
      </c>
      <c r="J127" s="556">
        <v>10.3140693</v>
      </c>
      <c r="K127" s="608"/>
      <c r="L127" s="558"/>
      <c r="M127" s="615">
        <f t="shared" si="23"/>
        <v>7.7008100179000003</v>
      </c>
      <c r="N127" s="616">
        <f t="shared" si="23"/>
        <v>10.3140693</v>
      </c>
      <c r="O127" s="902"/>
      <c r="P127" t="b">
        <f t="shared" si="21"/>
        <v>1</v>
      </c>
    </row>
    <row r="128" spans="1:16" ht="15.6">
      <c r="A128" s="561">
        <v>119</v>
      </c>
      <c r="B128" s="609" t="s">
        <v>269</v>
      </c>
      <c r="C128" s="574" t="s">
        <v>501</v>
      </c>
      <c r="D128" s="609" t="s">
        <v>355</v>
      </c>
      <c r="E128" s="668">
        <v>2572540.5687000002</v>
      </c>
      <c r="F128" s="669">
        <v>4777.1234000000004</v>
      </c>
      <c r="G128" s="578">
        <f t="shared" si="28"/>
        <v>2.5725405687</v>
      </c>
      <c r="H128" s="579">
        <f t="shared" si="29"/>
        <v>4.7771234000000007</v>
      </c>
      <c r="I128" s="670">
        <v>2.5725405687</v>
      </c>
      <c r="J128" s="581">
        <v>4.7771234000000007</v>
      </c>
      <c r="K128" s="596"/>
      <c r="L128" s="595"/>
      <c r="M128" s="610">
        <f t="shared" si="23"/>
        <v>2.5725405687</v>
      </c>
      <c r="N128" s="611">
        <f t="shared" si="23"/>
        <v>4.7771234000000007</v>
      </c>
      <c r="O128" s="902"/>
      <c r="P128" t="b">
        <f t="shared" si="21"/>
        <v>1</v>
      </c>
    </row>
    <row r="129" spans="1:16" ht="18" customHeight="1">
      <c r="A129" s="561">
        <v>120</v>
      </c>
      <c r="B129" s="587" t="s">
        <v>269</v>
      </c>
      <c r="C129" s="586"/>
      <c r="D129" s="587" t="s">
        <v>410</v>
      </c>
      <c r="E129" s="666">
        <v>5019975.2718000002</v>
      </c>
      <c r="F129" s="667">
        <v>5901.4583000000002</v>
      </c>
      <c r="G129" s="590">
        <f t="shared" si="28"/>
        <v>5.0199752717999999</v>
      </c>
      <c r="H129" s="591">
        <f t="shared" si="29"/>
        <v>5.9014582999999998</v>
      </c>
      <c r="I129" s="670">
        <v>5.0199752717999999</v>
      </c>
      <c r="J129" s="581">
        <v>5.9014582999999998</v>
      </c>
      <c r="K129" s="596"/>
      <c r="L129" s="595"/>
      <c r="M129" s="546">
        <f t="shared" si="23"/>
        <v>5.0199752717999999</v>
      </c>
      <c r="N129" s="547">
        <f t="shared" si="23"/>
        <v>5.9014582999999998</v>
      </c>
      <c r="O129" s="902"/>
      <c r="P129" t="b">
        <f t="shared" si="21"/>
        <v>1</v>
      </c>
    </row>
    <row r="130" spans="1:16" ht="18" customHeight="1">
      <c r="A130" s="535">
        <v>121</v>
      </c>
      <c r="B130" s="587" t="s">
        <v>269</v>
      </c>
      <c r="C130" s="586"/>
      <c r="D130" s="587" t="s">
        <v>359</v>
      </c>
      <c r="E130" s="588">
        <v>6099550.8362999996</v>
      </c>
      <c r="F130" s="589">
        <v>7235.8855999999996</v>
      </c>
      <c r="G130" s="590">
        <f t="shared" si="28"/>
        <v>6.0995508362999997</v>
      </c>
      <c r="H130" s="591">
        <f t="shared" si="29"/>
        <v>7.2358855999999996</v>
      </c>
      <c r="I130" s="665">
        <v>6.0995508362999997</v>
      </c>
      <c r="J130" s="593">
        <v>7.2358855999999996</v>
      </c>
      <c r="K130" s="594"/>
      <c r="L130" s="595"/>
      <c r="M130" s="546">
        <f t="shared" si="23"/>
        <v>6.0995508362999997</v>
      </c>
      <c r="N130" s="547">
        <f t="shared" si="23"/>
        <v>7.2358855999999996</v>
      </c>
      <c r="O130" s="902"/>
      <c r="P130" t="b">
        <f t="shared" si="21"/>
        <v>1</v>
      </c>
    </row>
    <row r="131" spans="1:16" ht="18" customHeight="1" thickBot="1">
      <c r="A131" s="548">
        <v>122</v>
      </c>
      <c r="B131" s="550" t="s">
        <v>269</v>
      </c>
      <c r="C131" s="549"/>
      <c r="D131" s="550" t="s">
        <v>357</v>
      </c>
      <c r="E131" s="551">
        <v>7700810.0179000003</v>
      </c>
      <c r="F131" s="552">
        <v>10314.069299999999</v>
      </c>
      <c r="G131" s="553">
        <f t="shared" si="28"/>
        <v>7.7008100179000003</v>
      </c>
      <c r="H131" s="554">
        <f t="shared" si="29"/>
        <v>10.3140693</v>
      </c>
      <c r="I131" s="671">
        <v>7.7008100179000003</v>
      </c>
      <c r="J131" s="556">
        <v>10.3140693</v>
      </c>
      <c r="K131" s="608"/>
      <c r="L131" s="558"/>
      <c r="M131" s="615">
        <f t="shared" si="23"/>
        <v>7.7008100179000003</v>
      </c>
      <c r="N131" s="616">
        <f t="shared" si="23"/>
        <v>10.3140693</v>
      </c>
      <c r="O131" s="902"/>
      <c r="P131" t="b">
        <f t="shared" si="21"/>
        <v>1</v>
      </c>
    </row>
    <row r="132" spans="1:16" ht="15.6">
      <c r="A132" s="561">
        <v>123</v>
      </c>
      <c r="B132" s="609" t="s">
        <v>270</v>
      </c>
      <c r="C132" s="574" t="s">
        <v>502</v>
      </c>
      <c r="D132" s="609" t="s">
        <v>355</v>
      </c>
      <c r="E132" s="668">
        <v>2572540.5687000002</v>
      </c>
      <c r="F132" s="669">
        <v>4777.1234000000004</v>
      </c>
      <c r="G132" s="578">
        <f t="shared" si="28"/>
        <v>2.5725405687</v>
      </c>
      <c r="H132" s="579">
        <f t="shared" si="29"/>
        <v>4.7771234000000007</v>
      </c>
      <c r="I132" s="670">
        <v>2.5725405687</v>
      </c>
      <c r="J132" s="581">
        <v>4.7771234000000007</v>
      </c>
      <c r="K132" s="596"/>
      <c r="L132" s="595"/>
      <c r="M132" s="610">
        <f t="shared" si="23"/>
        <v>2.5725405687</v>
      </c>
      <c r="N132" s="611">
        <f t="shared" si="23"/>
        <v>4.7771234000000007</v>
      </c>
      <c r="O132" s="902"/>
      <c r="P132" t="b">
        <f t="shared" si="21"/>
        <v>1</v>
      </c>
    </row>
    <row r="133" spans="1:16" ht="18" customHeight="1">
      <c r="A133" s="535">
        <v>124</v>
      </c>
      <c r="B133" s="587" t="s">
        <v>270</v>
      </c>
      <c r="C133" s="586"/>
      <c r="D133" s="587" t="s">
        <v>410</v>
      </c>
      <c r="E133" s="666">
        <v>5019975.2718000002</v>
      </c>
      <c r="F133" s="667">
        <v>5901.4583000000002</v>
      </c>
      <c r="G133" s="590">
        <f t="shared" si="28"/>
        <v>5.0199752717999999</v>
      </c>
      <c r="H133" s="591">
        <f t="shared" si="29"/>
        <v>5.9014582999999998</v>
      </c>
      <c r="I133" s="670">
        <v>5.0199752717999999</v>
      </c>
      <c r="J133" s="581">
        <v>5.9014582999999998</v>
      </c>
      <c r="K133" s="596"/>
      <c r="L133" s="595"/>
      <c r="M133" s="546">
        <f t="shared" si="23"/>
        <v>5.0199752717999999</v>
      </c>
      <c r="N133" s="547">
        <f t="shared" si="23"/>
        <v>5.9014582999999998</v>
      </c>
      <c r="O133" s="902"/>
      <c r="P133" t="b">
        <f t="shared" si="21"/>
        <v>1</v>
      </c>
    </row>
    <row r="134" spans="1:16" ht="18" customHeight="1">
      <c r="A134" s="535">
        <v>125</v>
      </c>
      <c r="B134" s="587" t="s">
        <v>270</v>
      </c>
      <c r="C134" s="586"/>
      <c r="D134" s="587" t="s">
        <v>359</v>
      </c>
      <c r="E134" s="588">
        <v>6099550.8362999996</v>
      </c>
      <c r="F134" s="589">
        <v>7235.8855999999996</v>
      </c>
      <c r="G134" s="590">
        <f t="shared" si="28"/>
        <v>6.0995508362999997</v>
      </c>
      <c r="H134" s="591">
        <f t="shared" si="29"/>
        <v>7.2358855999999996</v>
      </c>
      <c r="I134" s="665">
        <v>6.0995508362999997</v>
      </c>
      <c r="J134" s="593">
        <v>7.2358855999999996</v>
      </c>
      <c r="K134" s="594"/>
      <c r="L134" s="595"/>
      <c r="M134" s="546">
        <f t="shared" si="23"/>
        <v>6.0995508362999997</v>
      </c>
      <c r="N134" s="547">
        <f t="shared" si="23"/>
        <v>7.2358855999999996</v>
      </c>
      <c r="O134" s="902"/>
      <c r="P134" t="b">
        <f t="shared" si="21"/>
        <v>1</v>
      </c>
    </row>
    <row r="135" spans="1:16" ht="18" customHeight="1" thickBot="1">
      <c r="A135" s="548">
        <v>126</v>
      </c>
      <c r="B135" s="550" t="s">
        <v>270</v>
      </c>
      <c r="C135" s="549"/>
      <c r="D135" s="550" t="s">
        <v>357</v>
      </c>
      <c r="E135" s="551">
        <v>7700810.0179000003</v>
      </c>
      <c r="F135" s="552">
        <v>10314.069299999999</v>
      </c>
      <c r="G135" s="553">
        <f t="shared" si="28"/>
        <v>7.7008100179000003</v>
      </c>
      <c r="H135" s="554">
        <f t="shared" si="29"/>
        <v>10.3140693</v>
      </c>
      <c r="I135" s="671">
        <v>7.7008100179000003</v>
      </c>
      <c r="J135" s="556">
        <v>10.3140693</v>
      </c>
      <c r="K135" s="608"/>
      <c r="L135" s="558"/>
      <c r="M135" s="615">
        <f t="shared" si="23"/>
        <v>7.7008100179000003</v>
      </c>
      <c r="N135" s="616">
        <f t="shared" si="23"/>
        <v>10.3140693</v>
      </c>
      <c r="O135" s="902"/>
      <c r="P135" t="b">
        <f t="shared" si="21"/>
        <v>1</v>
      </c>
    </row>
    <row r="136" spans="1:16" ht="15.6">
      <c r="A136" s="561">
        <v>127</v>
      </c>
      <c r="B136" s="609" t="s">
        <v>271</v>
      </c>
      <c r="C136" s="574" t="s">
        <v>503</v>
      </c>
      <c r="D136" s="609" t="s">
        <v>355</v>
      </c>
      <c r="E136" s="668">
        <v>2572540.5687000002</v>
      </c>
      <c r="F136" s="669">
        <v>4777.1234000000004</v>
      </c>
      <c r="G136" s="578">
        <f t="shared" si="28"/>
        <v>2.5725405687</v>
      </c>
      <c r="H136" s="579">
        <f t="shared" si="29"/>
        <v>4.7771234000000007</v>
      </c>
      <c r="I136" s="670">
        <v>2.5725405687</v>
      </c>
      <c r="J136" s="581">
        <v>4.7771234000000007</v>
      </c>
      <c r="K136" s="596"/>
      <c r="L136" s="595"/>
      <c r="M136" s="610">
        <f t="shared" si="23"/>
        <v>2.5725405687</v>
      </c>
      <c r="N136" s="611">
        <f t="shared" si="23"/>
        <v>4.7771234000000007</v>
      </c>
      <c r="O136" s="902"/>
      <c r="P136" t="b">
        <f t="shared" si="21"/>
        <v>1</v>
      </c>
    </row>
    <row r="137" spans="1:16" ht="18" customHeight="1">
      <c r="A137" s="535">
        <v>128</v>
      </c>
      <c r="B137" s="587" t="s">
        <v>271</v>
      </c>
      <c r="C137" s="586"/>
      <c r="D137" s="587" t="s">
        <v>410</v>
      </c>
      <c r="E137" s="666">
        <v>5019975.2718000002</v>
      </c>
      <c r="F137" s="667">
        <v>5901.4583000000002</v>
      </c>
      <c r="G137" s="590">
        <f t="shared" si="28"/>
        <v>5.0199752717999999</v>
      </c>
      <c r="H137" s="591">
        <f t="shared" si="29"/>
        <v>5.9014582999999998</v>
      </c>
      <c r="I137" s="670">
        <v>5.0199752717999999</v>
      </c>
      <c r="J137" s="581">
        <v>5.9014582999999998</v>
      </c>
      <c r="K137" s="596"/>
      <c r="L137" s="595"/>
      <c r="M137" s="546">
        <f t="shared" si="23"/>
        <v>5.0199752717999999</v>
      </c>
      <c r="N137" s="547">
        <f t="shared" si="23"/>
        <v>5.9014582999999998</v>
      </c>
      <c r="O137" s="902"/>
      <c r="P137" t="b">
        <f t="shared" si="21"/>
        <v>1</v>
      </c>
    </row>
    <row r="138" spans="1:16" ht="18" customHeight="1">
      <c r="A138" s="561">
        <v>129</v>
      </c>
      <c r="B138" s="587" t="s">
        <v>271</v>
      </c>
      <c r="C138" s="586"/>
      <c r="D138" s="587" t="s">
        <v>359</v>
      </c>
      <c r="E138" s="588">
        <v>6099550.8362999996</v>
      </c>
      <c r="F138" s="589">
        <v>7235.8855999999996</v>
      </c>
      <c r="G138" s="590">
        <f t="shared" si="28"/>
        <v>6.0995508362999997</v>
      </c>
      <c r="H138" s="591">
        <f t="shared" si="29"/>
        <v>7.2358855999999996</v>
      </c>
      <c r="I138" s="665">
        <v>6.0995508362999997</v>
      </c>
      <c r="J138" s="593">
        <v>7.2358855999999996</v>
      </c>
      <c r="K138" s="594"/>
      <c r="L138" s="595"/>
      <c r="M138" s="546">
        <f t="shared" ref="M138:N169" si="31">K138+I138</f>
        <v>6.0995508362999997</v>
      </c>
      <c r="N138" s="547">
        <f t="shared" si="31"/>
        <v>7.2358855999999996</v>
      </c>
      <c r="O138" s="902"/>
      <c r="P138" t="b">
        <f t="shared" si="21"/>
        <v>1</v>
      </c>
    </row>
    <row r="139" spans="1:16" ht="18" customHeight="1" thickBot="1">
      <c r="A139" s="548">
        <v>130</v>
      </c>
      <c r="B139" s="550" t="s">
        <v>271</v>
      </c>
      <c r="C139" s="549"/>
      <c r="D139" s="550" t="s">
        <v>357</v>
      </c>
      <c r="E139" s="551">
        <v>7700810.0179000003</v>
      </c>
      <c r="F139" s="552">
        <v>10314.069299999999</v>
      </c>
      <c r="G139" s="553">
        <f t="shared" si="28"/>
        <v>7.7008100179000003</v>
      </c>
      <c r="H139" s="554">
        <f t="shared" si="29"/>
        <v>10.3140693</v>
      </c>
      <c r="I139" s="671">
        <v>7.7008100179000003</v>
      </c>
      <c r="J139" s="556">
        <v>10.3140693</v>
      </c>
      <c r="K139" s="608"/>
      <c r="L139" s="558"/>
      <c r="M139" s="615">
        <f t="shared" si="31"/>
        <v>7.7008100179000003</v>
      </c>
      <c r="N139" s="616">
        <f t="shared" si="31"/>
        <v>10.3140693</v>
      </c>
      <c r="O139" s="902"/>
      <c r="P139" t="b">
        <f t="shared" si="21"/>
        <v>1</v>
      </c>
    </row>
    <row r="140" spans="1:16" ht="15.6">
      <c r="A140" s="561">
        <v>131</v>
      </c>
      <c r="B140" s="609" t="s">
        <v>272</v>
      </c>
      <c r="C140" s="574" t="s">
        <v>504</v>
      </c>
      <c r="D140" s="609" t="s">
        <v>355</v>
      </c>
      <c r="E140" s="668">
        <v>2572540.5687000002</v>
      </c>
      <c r="F140" s="669">
        <v>4777.1234000000004</v>
      </c>
      <c r="G140" s="578">
        <f t="shared" si="28"/>
        <v>2.5725405687</v>
      </c>
      <c r="H140" s="579">
        <f t="shared" si="29"/>
        <v>4.7771234000000007</v>
      </c>
      <c r="I140" s="670">
        <v>2.5725405687</v>
      </c>
      <c r="J140" s="581">
        <v>4.7771234000000007</v>
      </c>
      <c r="K140" s="596"/>
      <c r="L140" s="595"/>
      <c r="M140" s="610">
        <f t="shared" si="31"/>
        <v>2.5725405687</v>
      </c>
      <c r="N140" s="611">
        <f t="shared" si="31"/>
        <v>4.7771234000000007</v>
      </c>
      <c r="O140" s="902"/>
      <c r="P140" t="b">
        <f t="shared" si="21"/>
        <v>1</v>
      </c>
    </row>
    <row r="141" spans="1:16" ht="18" customHeight="1">
      <c r="A141" s="561">
        <v>132</v>
      </c>
      <c r="B141" s="587" t="s">
        <v>272</v>
      </c>
      <c r="C141" s="586"/>
      <c r="D141" s="587" t="s">
        <v>410</v>
      </c>
      <c r="E141" s="666">
        <v>5019975.2718000002</v>
      </c>
      <c r="F141" s="667">
        <v>5901.4583000000002</v>
      </c>
      <c r="G141" s="590">
        <f t="shared" si="28"/>
        <v>5.0199752717999999</v>
      </c>
      <c r="H141" s="591">
        <f t="shared" si="29"/>
        <v>5.9014582999999998</v>
      </c>
      <c r="I141" s="670">
        <v>5.0199752717999999</v>
      </c>
      <c r="J141" s="581">
        <v>5.9014582999999998</v>
      </c>
      <c r="K141" s="596"/>
      <c r="L141" s="595"/>
      <c r="M141" s="546">
        <f t="shared" si="31"/>
        <v>5.0199752717999999</v>
      </c>
      <c r="N141" s="547">
        <f t="shared" si="31"/>
        <v>5.9014582999999998</v>
      </c>
      <c r="O141" s="902"/>
      <c r="P141" t="b">
        <f t="shared" si="21"/>
        <v>1</v>
      </c>
    </row>
    <row r="142" spans="1:16" ht="18" customHeight="1">
      <c r="A142" s="535">
        <v>133</v>
      </c>
      <c r="B142" s="587" t="s">
        <v>272</v>
      </c>
      <c r="C142" s="586"/>
      <c r="D142" s="587" t="s">
        <v>359</v>
      </c>
      <c r="E142" s="588">
        <v>6099550.8362999996</v>
      </c>
      <c r="F142" s="589">
        <v>7235.8855999999996</v>
      </c>
      <c r="G142" s="590">
        <f t="shared" si="28"/>
        <v>6.0995508362999997</v>
      </c>
      <c r="H142" s="591">
        <f t="shared" si="29"/>
        <v>7.2358855999999996</v>
      </c>
      <c r="I142" s="665">
        <v>6.0995508362999997</v>
      </c>
      <c r="J142" s="593">
        <v>7.2358855999999996</v>
      </c>
      <c r="K142" s="594"/>
      <c r="L142" s="595"/>
      <c r="M142" s="546">
        <f t="shared" si="31"/>
        <v>6.0995508362999997</v>
      </c>
      <c r="N142" s="547">
        <f t="shared" si="31"/>
        <v>7.2358855999999996</v>
      </c>
      <c r="O142" s="902"/>
      <c r="P142" t="b">
        <f t="shared" si="21"/>
        <v>1</v>
      </c>
    </row>
    <row r="143" spans="1:16" ht="18" customHeight="1" thickBot="1">
      <c r="A143" s="548">
        <v>134</v>
      </c>
      <c r="B143" s="550" t="s">
        <v>272</v>
      </c>
      <c r="C143" s="549"/>
      <c r="D143" s="550" t="s">
        <v>357</v>
      </c>
      <c r="E143" s="551">
        <v>7700810.0179000003</v>
      </c>
      <c r="F143" s="552">
        <v>10314.069299999999</v>
      </c>
      <c r="G143" s="553">
        <f t="shared" si="28"/>
        <v>7.7008100179000003</v>
      </c>
      <c r="H143" s="554">
        <f t="shared" si="29"/>
        <v>10.3140693</v>
      </c>
      <c r="I143" s="671">
        <v>7.7008100179000003</v>
      </c>
      <c r="J143" s="556">
        <v>10.3140693</v>
      </c>
      <c r="K143" s="608"/>
      <c r="L143" s="558"/>
      <c r="M143" s="615">
        <f t="shared" si="31"/>
        <v>7.7008100179000003</v>
      </c>
      <c r="N143" s="616">
        <f t="shared" si="31"/>
        <v>10.3140693</v>
      </c>
      <c r="O143" s="902"/>
      <c r="P143" t="b">
        <f t="shared" si="21"/>
        <v>1</v>
      </c>
    </row>
    <row r="144" spans="1:16" ht="15.6">
      <c r="A144" s="561">
        <v>135</v>
      </c>
      <c r="B144" s="609" t="s">
        <v>273</v>
      </c>
      <c r="C144" s="574" t="s">
        <v>505</v>
      </c>
      <c r="D144" s="609" t="s">
        <v>355</v>
      </c>
      <c r="E144" s="668">
        <v>2572540.5687000002</v>
      </c>
      <c r="F144" s="669">
        <v>4777.1234000000004</v>
      </c>
      <c r="G144" s="578">
        <f t="shared" si="28"/>
        <v>2.5725405687</v>
      </c>
      <c r="H144" s="579">
        <f t="shared" si="29"/>
        <v>4.7771234000000007</v>
      </c>
      <c r="I144" s="670">
        <v>2.5725405687</v>
      </c>
      <c r="J144" s="581">
        <v>4.7771234000000007</v>
      </c>
      <c r="K144" s="596"/>
      <c r="L144" s="595"/>
      <c r="M144" s="610">
        <f t="shared" si="31"/>
        <v>2.5725405687</v>
      </c>
      <c r="N144" s="611">
        <f t="shared" si="31"/>
        <v>4.7771234000000007</v>
      </c>
      <c r="O144" s="902"/>
      <c r="P144" t="b">
        <f t="shared" si="21"/>
        <v>1</v>
      </c>
    </row>
    <row r="145" spans="1:16" ht="18" customHeight="1">
      <c r="A145" s="535">
        <v>136</v>
      </c>
      <c r="B145" s="587" t="s">
        <v>273</v>
      </c>
      <c r="C145" s="586"/>
      <c r="D145" s="587" t="s">
        <v>410</v>
      </c>
      <c r="E145" s="666">
        <v>5019975.2718000002</v>
      </c>
      <c r="F145" s="667">
        <v>5901.4583000000002</v>
      </c>
      <c r="G145" s="590">
        <f t="shared" si="28"/>
        <v>5.0199752717999999</v>
      </c>
      <c r="H145" s="591">
        <f t="shared" si="29"/>
        <v>5.9014582999999998</v>
      </c>
      <c r="I145" s="670">
        <v>5.0199752717999999</v>
      </c>
      <c r="J145" s="581">
        <v>5.9014582999999998</v>
      </c>
      <c r="K145" s="596"/>
      <c r="L145" s="595"/>
      <c r="M145" s="546">
        <f t="shared" si="31"/>
        <v>5.0199752717999999</v>
      </c>
      <c r="N145" s="547">
        <f t="shared" si="31"/>
        <v>5.9014582999999998</v>
      </c>
      <c r="O145" s="902"/>
      <c r="P145" t="b">
        <f t="shared" si="21"/>
        <v>1</v>
      </c>
    </row>
    <row r="146" spans="1:16" ht="18" customHeight="1">
      <c r="A146" s="535">
        <v>137</v>
      </c>
      <c r="B146" s="587" t="s">
        <v>273</v>
      </c>
      <c r="C146" s="586"/>
      <c r="D146" s="587" t="s">
        <v>359</v>
      </c>
      <c r="E146" s="588">
        <v>6099550.8362999996</v>
      </c>
      <c r="F146" s="589">
        <v>7235.8855999999996</v>
      </c>
      <c r="G146" s="590">
        <f t="shared" si="28"/>
        <v>6.0995508362999997</v>
      </c>
      <c r="H146" s="591">
        <f t="shared" si="29"/>
        <v>7.2358855999999996</v>
      </c>
      <c r="I146" s="665">
        <v>6.0995508362999997</v>
      </c>
      <c r="J146" s="593">
        <v>7.2358855999999996</v>
      </c>
      <c r="K146" s="594"/>
      <c r="L146" s="595"/>
      <c r="M146" s="546">
        <f t="shared" si="31"/>
        <v>6.0995508362999997</v>
      </c>
      <c r="N146" s="547">
        <f t="shared" si="31"/>
        <v>7.2358855999999996</v>
      </c>
      <c r="O146" s="902"/>
      <c r="P146" t="b">
        <f t="shared" si="21"/>
        <v>1</v>
      </c>
    </row>
    <row r="147" spans="1:16" ht="18" customHeight="1" thickBot="1">
      <c r="A147" s="548">
        <v>138</v>
      </c>
      <c r="B147" s="550" t="s">
        <v>273</v>
      </c>
      <c r="C147" s="549"/>
      <c r="D147" s="550" t="s">
        <v>357</v>
      </c>
      <c r="E147" s="551">
        <v>7700810.0179000003</v>
      </c>
      <c r="F147" s="552">
        <v>10314.069299999999</v>
      </c>
      <c r="G147" s="553">
        <f t="shared" si="28"/>
        <v>7.7008100179000003</v>
      </c>
      <c r="H147" s="554">
        <f t="shared" si="29"/>
        <v>10.3140693</v>
      </c>
      <c r="I147" s="671">
        <v>7.7008100179000003</v>
      </c>
      <c r="J147" s="556">
        <v>10.3140693</v>
      </c>
      <c r="K147" s="608"/>
      <c r="L147" s="558"/>
      <c r="M147" s="615">
        <f t="shared" si="31"/>
        <v>7.7008100179000003</v>
      </c>
      <c r="N147" s="616">
        <f t="shared" si="31"/>
        <v>10.3140693</v>
      </c>
      <c r="O147" s="902"/>
      <c r="P147" t="b">
        <f t="shared" si="21"/>
        <v>1</v>
      </c>
    </row>
    <row r="148" spans="1:16" ht="15.6">
      <c r="A148" s="561">
        <v>139</v>
      </c>
      <c r="B148" s="609" t="s">
        <v>274</v>
      </c>
      <c r="C148" s="574" t="s">
        <v>506</v>
      </c>
      <c r="D148" s="609" t="s">
        <v>355</v>
      </c>
      <c r="E148" s="668">
        <v>2572540.5687000002</v>
      </c>
      <c r="F148" s="669">
        <v>4777.1234000000004</v>
      </c>
      <c r="G148" s="578">
        <f t="shared" si="28"/>
        <v>2.5725405687</v>
      </c>
      <c r="H148" s="579">
        <f t="shared" si="29"/>
        <v>4.7771234000000007</v>
      </c>
      <c r="I148" s="670">
        <v>2.5725405687</v>
      </c>
      <c r="J148" s="581">
        <v>4.7771234000000007</v>
      </c>
      <c r="K148" s="596"/>
      <c r="L148" s="595"/>
      <c r="M148" s="610">
        <f t="shared" si="31"/>
        <v>2.5725405687</v>
      </c>
      <c r="N148" s="611">
        <f t="shared" si="31"/>
        <v>4.7771234000000007</v>
      </c>
      <c r="O148" s="902"/>
      <c r="P148" t="b">
        <f t="shared" si="21"/>
        <v>1</v>
      </c>
    </row>
    <row r="149" spans="1:16" ht="18" customHeight="1">
      <c r="A149" s="535">
        <v>140</v>
      </c>
      <c r="B149" s="587" t="s">
        <v>274</v>
      </c>
      <c r="C149" s="586"/>
      <c r="D149" s="587" t="s">
        <v>410</v>
      </c>
      <c r="E149" s="666">
        <v>5019975.2718000002</v>
      </c>
      <c r="F149" s="667">
        <v>5901.4583000000002</v>
      </c>
      <c r="G149" s="590">
        <f t="shared" si="28"/>
        <v>5.0199752717999999</v>
      </c>
      <c r="H149" s="591">
        <f t="shared" si="29"/>
        <v>5.9014582999999998</v>
      </c>
      <c r="I149" s="670">
        <v>5.0199752717999999</v>
      </c>
      <c r="J149" s="581">
        <v>5.9014582999999998</v>
      </c>
      <c r="K149" s="596"/>
      <c r="L149" s="595"/>
      <c r="M149" s="546">
        <f t="shared" si="31"/>
        <v>5.0199752717999999</v>
      </c>
      <c r="N149" s="547">
        <f t="shared" si="31"/>
        <v>5.9014582999999998</v>
      </c>
      <c r="O149" s="902"/>
      <c r="P149" t="b">
        <f t="shared" si="21"/>
        <v>1</v>
      </c>
    </row>
    <row r="150" spans="1:16" ht="18" customHeight="1">
      <c r="A150" s="561">
        <v>141</v>
      </c>
      <c r="B150" s="587" t="s">
        <v>274</v>
      </c>
      <c r="C150" s="586"/>
      <c r="D150" s="587" t="s">
        <v>359</v>
      </c>
      <c r="E150" s="588">
        <v>6099550.8362999996</v>
      </c>
      <c r="F150" s="589">
        <v>7235.8855999999996</v>
      </c>
      <c r="G150" s="590">
        <f t="shared" si="28"/>
        <v>6.0995508362999997</v>
      </c>
      <c r="H150" s="591">
        <f t="shared" si="29"/>
        <v>7.2358855999999996</v>
      </c>
      <c r="I150" s="665">
        <v>6.0995508362999997</v>
      </c>
      <c r="J150" s="593">
        <v>7.2358855999999996</v>
      </c>
      <c r="K150" s="594"/>
      <c r="L150" s="595"/>
      <c r="M150" s="546">
        <f t="shared" si="31"/>
        <v>6.0995508362999997</v>
      </c>
      <c r="N150" s="547">
        <f t="shared" si="31"/>
        <v>7.2358855999999996</v>
      </c>
      <c r="O150" s="902"/>
      <c r="P150" t="b">
        <f t="shared" si="21"/>
        <v>1</v>
      </c>
    </row>
    <row r="151" spans="1:16" ht="18" customHeight="1" thickBot="1">
      <c r="A151" s="548">
        <v>142</v>
      </c>
      <c r="B151" s="550" t="s">
        <v>274</v>
      </c>
      <c r="C151" s="549"/>
      <c r="D151" s="550" t="s">
        <v>357</v>
      </c>
      <c r="E151" s="551">
        <v>7700810.0179000003</v>
      </c>
      <c r="F151" s="552">
        <v>10314.069299999999</v>
      </c>
      <c r="G151" s="553">
        <f t="shared" si="28"/>
        <v>7.7008100179000003</v>
      </c>
      <c r="H151" s="554">
        <f t="shared" si="29"/>
        <v>10.3140693</v>
      </c>
      <c r="I151" s="671">
        <v>7.7008100179000003</v>
      </c>
      <c r="J151" s="556">
        <v>10.3140693</v>
      </c>
      <c r="K151" s="608"/>
      <c r="L151" s="558"/>
      <c r="M151" s="615">
        <f t="shared" si="31"/>
        <v>7.7008100179000003</v>
      </c>
      <c r="N151" s="616">
        <f t="shared" si="31"/>
        <v>10.3140693</v>
      </c>
      <c r="O151" s="902"/>
      <c r="P151" t="b">
        <f t="shared" si="21"/>
        <v>1</v>
      </c>
    </row>
    <row r="152" spans="1:16" ht="15.6">
      <c r="A152" s="561">
        <v>143</v>
      </c>
      <c r="B152" s="609" t="s">
        <v>275</v>
      </c>
      <c r="C152" s="574" t="s">
        <v>507</v>
      </c>
      <c r="D152" s="609" t="s">
        <v>355</v>
      </c>
      <c r="E152" s="668">
        <v>2572540.5687000002</v>
      </c>
      <c r="F152" s="669">
        <v>4777.1234000000004</v>
      </c>
      <c r="G152" s="578">
        <f t="shared" si="28"/>
        <v>2.5725405687</v>
      </c>
      <c r="H152" s="579">
        <f t="shared" si="29"/>
        <v>4.7771234000000007</v>
      </c>
      <c r="I152" s="670">
        <v>2.5725405687</v>
      </c>
      <c r="J152" s="581">
        <v>4.7771234000000007</v>
      </c>
      <c r="K152" s="596"/>
      <c r="L152" s="595"/>
      <c r="M152" s="610">
        <f t="shared" si="31"/>
        <v>2.5725405687</v>
      </c>
      <c r="N152" s="611">
        <f t="shared" si="31"/>
        <v>4.7771234000000007</v>
      </c>
      <c r="O152" s="902"/>
      <c r="P152" t="b">
        <f t="shared" si="21"/>
        <v>1</v>
      </c>
    </row>
    <row r="153" spans="1:16" ht="18" customHeight="1">
      <c r="A153" s="561">
        <v>144</v>
      </c>
      <c r="B153" s="587" t="s">
        <v>275</v>
      </c>
      <c r="C153" s="586"/>
      <c r="D153" s="587" t="s">
        <v>410</v>
      </c>
      <c r="E153" s="666">
        <v>5019975.2718000002</v>
      </c>
      <c r="F153" s="667">
        <v>5901.4583000000002</v>
      </c>
      <c r="G153" s="590">
        <f t="shared" si="28"/>
        <v>5.0199752717999999</v>
      </c>
      <c r="H153" s="591">
        <f t="shared" si="29"/>
        <v>5.9014582999999998</v>
      </c>
      <c r="I153" s="670">
        <v>5.0199752717999999</v>
      </c>
      <c r="J153" s="581">
        <v>5.9014582999999998</v>
      </c>
      <c r="K153" s="596"/>
      <c r="L153" s="595"/>
      <c r="M153" s="546">
        <f t="shared" si="31"/>
        <v>5.0199752717999999</v>
      </c>
      <c r="N153" s="547">
        <f t="shared" si="31"/>
        <v>5.9014582999999998</v>
      </c>
      <c r="O153" s="902"/>
      <c r="P153" t="b">
        <f t="shared" si="21"/>
        <v>1</v>
      </c>
    </row>
    <row r="154" spans="1:16" ht="18" customHeight="1">
      <c r="A154" s="535">
        <v>145</v>
      </c>
      <c r="B154" s="587" t="s">
        <v>275</v>
      </c>
      <c r="C154" s="586"/>
      <c r="D154" s="587" t="s">
        <v>359</v>
      </c>
      <c r="E154" s="588">
        <v>6099550.8362999996</v>
      </c>
      <c r="F154" s="589">
        <v>7235.8855999999996</v>
      </c>
      <c r="G154" s="590">
        <f t="shared" si="28"/>
        <v>6.0995508362999997</v>
      </c>
      <c r="H154" s="591">
        <f t="shared" si="29"/>
        <v>7.2358855999999996</v>
      </c>
      <c r="I154" s="665">
        <v>6.0995508362999997</v>
      </c>
      <c r="J154" s="593">
        <v>7.2358855999999996</v>
      </c>
      <c r="K154" s="594"/>
      <c r="L154" s="595"/>
      <c r="M154" s="546">
        <f t="shared" si="31"/>
        <v>6.0995508362999997</v>
      </c>
      <c r="N154" s="547">
        <f t="shared" si="31"/>
        <v>7.2358855999999996</v>
      </c>
      <c r="O154" s="902"/>
      <c r="P154" t="b">
        <f t="shared" ref="P154:P217" si="32">H154=N154</f>
        <v>1</v>
      </c>
    </row>
    <row r="155" spans="1:16" ht="18" customHeight="1" thickBot="1">
      <c r="A155" s="548">
        <v>146</v>
      </c>
      <c r="B155" s="550" t="s">
        <v>275</v>
      </c>
      <c r="C155" s="549"/>
      <c r="D155" s="550" t="s">
        <v>357</v>
      </c>
      <c r="E155" s="551">
        <v>7700810.0179000003</v>
      </c>
      <c r="F155" s="552">
        <v>10314.069299999999</v>
      </c>
      <c r="G155" s="553">
        <f t="shared" si="28"/>
        <v>7.7008100179000003</v>
      </c>
      <c r="H155" s="554">
        <f t="shared" si="29"/>
        <v>10.3140693</v>
      </c>
      <c r="I155" s="671">
        <v>7.7008100179000003</v>
      </c>
      <c r="J155" s="556">
        <v>10.3140693</v>
      </c>
      <c r="K155" s="608"/>
      <c r="L155" s="558"/>
      <c r="M155" s="615">
        <f t="shared" si="31"/>
        <v>7.7008100179000003</v>
      </c>
      <c r="N155" s="616">
        <f t="shared" si="31"/>
        <v>10.3140693</v>
      </c>
      <c r="O155" s="902"/>
      <c r="P155" t="b">
        <f t="shared" si="32"/>
        <v>1</v>
      </c>
    </row>
    <row r="156" spans="1:16" ht="15.6">
      <c r="A156" s="561">
        <v>147</v>
      </c>
      <c r="B156" s="609" t="s">
        <v>508</v>
      </c>
      <c r="C156" s="574" t="s">
        <v>509</v>
      </c>
      <c r="D156" s="609" t="s">
        <v>410</v>
      </c>
      <c r="E156" s="668">
        <v>5020003.4935999997</v>
      </c>
      <c r="F156" s="669">
        <v>5917.0439999999999</v>
      </c>
      <c r="G156" s="578">
        <f>E156/1000000</f>
        <v>5.0200034936</v>
      </c>
      <c r="H156" s="579">
        <f t="shared" si="29"/>
        <v>5.9170439999999997</v>
      </c>
      <c r="I156" s="670">
        <v>0</v>
      </c>
      <c r="J156" s="581">
        <v>0</v>
      </c>
      <c r="K156" s="582">
        <v>5.0200034936</v>
      </c>
      <c r="L156" s="583">
        <v>5.9170439999999997</v>
      </c>
      <c r="M156" s="610">
        <f t="shared" si="31"/>
        <v>5.0200034936</v>
      </c>
      <c r="N156" s="611">
        <f t="shared" si="31"/>
        <v>5.9170439999999997</v>
      </c>
      <c r="O156" s="902" t="s">
        <v>0</v>
      </c>
      <c r="P156" t="b">
        <f t="shared" si="32"/>
        <v>1</v>
      </c>
    </row>
    <row r="157" spans="1:16" ht="15.6">
      <c r="A157" s="535">
        <v>148</v>
      </c>
      <c r="B157" s="587" t="s">
        <v>508</v>
      </c>
      <c r="C157" s="586" t="s">
        <v>510</v>
      </c>
      <c r="D157" s="587" t="s">
        <v>355</v>
      </c>
      <c r="E157" s="666">
        <v>2539992.6288000001</v>
      </c>
      <c r="F157" s="667">
        <v>4753.3163000000004</v>
      </c>
      <c r="G157" s="590">
        <f t="shared" si="28"/>
        <v>2.5399926287999999</v>
      </c>
      <c r="H157" s="591">
        <f t="shared" si="29"/>
        <v>4.7533163000000007</v>
      </c>
      <c r="I157" s="665">
        <v>0</v>
      </c>
      <c r="J157" s="593">
        <v>0</v>
      </c>
      <c r="K157" s="594">
        <f>90%*2.5399926288</f>
        <v>2.28599336592</v>
      </c>
      <c r="L157" s="595">
        <f>90%*4.7533163</f>
        <v>4.2779846700000004</v>
      </c>
      <c r="M157" s="546">
        <f t="shared" si="31"/>
        <v>2.28599336592</v>
      </c>
      <c r="N157" s="547">
        <f t="shared" si="31"/>
        <v>4.2779846700000004</v>
      </c>
      <c r="O157" s="901" t="s">
        <v>757</v>
      </c>
      <c r="P157" t="b">
        <f t="shared" si="32"/>
        <v>0</v>
      </c>
    </row>
    <row r="158" spans="1:16" ht="15.6">
      <c r="A158" s="535">
        <v>149</v>
      </c>
      <c r="B158" s="587" t="s">
        <v>508</v>
      </c>
      <c r="C158" s="586" t="s">
        <v>511</v>
      </c>
      <c r="D158" s="587" t="s">
        <v>359</v>
      </c>
      <c r="E158" s="666">
        <v>6132531.2106999997</v>
      </c>
      <c r="F158" s="667">
        <v>7271.0389999999998</v>
      </c>
      <c r="G158" s="590">
        <f t="shared" si="28"/>
        <v>6.1325312106999998</v>
      </c>
      <c r="H158" s="591">
        <f t="shared" si="29"/>
        <v>7.271039</v>
      </c>
      <c r="I158" s="665">
        <v>0</v>
      </c>
      <c r="J158" s="593">
        <v>0</v>
      </c>
      <c r="K158" s="594">
        <v>6.1325312106999998</v>
      </c>
      <c r="L158" s="595">
        <v>7.271039</v>
      </c>
      <c r="M158" s="546">
        <f t="shared" si="31"/>
        <v>6.1325312106999998</v>
      </c>
      <c r="N158" s="547">
        <f t="shared" si="31"/>
        <v>7.271039</v>
      </c>
      <c r="O158" s="903" t="s">
        <v>766</v>
      </c>
      <c r="P158" t="b">
        <f t="shared" si="32"/>
        <v>1</v>
      </c>
    </row>
    <row r="159" spans="1:16" ht="15.6">
      <c r="A159" s="561">
        <v>150</v>
      </c>
      <c r="B159" s="587" t="s">
        <v>508</v>
      </c>
      <c r="C159" s="586" t="s">
        <v>512</v>
      </c>
      <c r="D159" s="587" t="s">
        <v>357</v>
      </c>
      <c r="E159" s="666">
        <v>6121505.4154000003</v>
      </c>
      <c r="F159" s="667">
        <v>5288.3693999999996</v>
      </c>
      <c r="G159" s="590">
        <f t="shared" si="28"/>
        <v>6.1215054154000006</v>
      </c>
      <c r="H159" s="591">
        <f t="shared" si="29"/>
        <v>5.2883693999999997</v>
      </c>
      <c r="I159" s="665">
        <v>0</v>
      </c>
      <c r="J159" s="593">
        <v>0</v>
      </c>
      <c r="K159" s="594">
        <v>6.1215054154000006</v>
      </c>
      <c r="L159" s="595">
        <v>5.2883693999999997</v>
      </c>
      <c r="M159" s="546">
        <f t="shared" si="31"/>
        <v>6.1215054154000006</v>
      </c>
      <c r="N159" s="547">
        <f t="shared" si="31"/>
        <v>5.2883693999999997</v>
      </c>
      <c r="O159" s="900"/>
      <c r="P159" t="b">
        <f t="shared" si="32"/>
        <v>1</v>
      </c>
    </row>
    <row r="160" spans="1:16" ht="15.6">
      <c r="A160" s="535">
        <v>151</v>
      </c>
      <c r="B160" s="587" t="s">
        <v>508</v>
      </c>
      <c r="C160" s="586" t="s">
        <v>513</v>
      </c>
      <c r="D160" s="587" t="s">
        <v>514</v>
      </c>
      <c r="E160" s="666">
        <v>67548602.606000006</v>
      </c>
      <c r="F160" s="667">
        <v>33158.390299999999</v>
      </c>
      <c r="G160" s="590">
        <f t="shared" si="28"/>
        <v>67.548602606000003</v>
      </c>
      <c r="H160" s="591">
        <f t="shared" si="29"/>
        <v>33.158390300000001</v>
      </c>
      <c r="I160" s="665">
        <v>0</v>
      </c>
      <c r="J160" s="593">
        <v>0</v>
      </c>
      <c r="K160" s="594"/>
      <c r="L160" s="595"/>
      <c r="M160" s="546">
        <f t="shared" si="31"/>
        <v>0</v>
      </c>
      <c r="N160" s="547">
        <f t="shared" si="31"/>
        <v>0</v>
      </c>
      <c r="O160" s="902"/>
      <c r="P160" t="b">
        <f t="shared" si="32"/>
        <v>0</v>
      </c>
    </row>
    <row r="161" spans="1:16" ht="16.2" thickBot="1">
      <c r="A161" s="548">
        <v>152</v>
      </c>
      <c r="B161" s="550" t="s">
        <v>508</v>
      </c>
      <c r="C161" s="549" t="s">
        <v>515</v>
      </c>
      <c r="D161" s="550" t="s">
        <v>514</v>
      </c>
      <c r="E161" s="672">
        <v>58865659.012599997</v>
      </c>
      <c r="F161" s="673">
        <v>30855.8979</v>
      </c>
      <c r="G161" s="553">
        <f t="shared" si="28"/>
        <v>58.865659012599998</v>
      </c>
      <c r="H161" s="554">
        <f t="shared" si="29"/>
        <v>30.855897899999999</v>
      </c>
      <c r="I161" s="671">
        <v>0</v>
      </c>
      <c r="J161" s="556">
        <v>0</v>
      </c>
      <c r="K161" s="608"/>
      <c r="L161" s="558"/>
      <c r="M161" s="615">
        <f t="shared" si="31"/>
        <v>0</v>
      </c>
      <c r="N161" s="616">
        <f t="shared" si="31"/>
        <v>0</v>
      </c>
      <c r="O161" s="902"/>
      <c r="P161" t="b">
        <f t="shared" si="32"/>
        <v>0</v>
      </c>
    </row>
    <row r="162" spans="1:16" ht="31.2">
      <c r="A162" s="561">
        <v>153</v>
      </c>
      <c r="B162" s="609" t="s">
        <v>516</v>
      </c>
      <c r="C162" s="574" t="s">
        <v>517</v>
      </c>
      <c r="D162" s="609" t="s">
        <v>410</v>
      </c>
      <c r="E162" s="668">
        <v>5019978.5687999995</v>
      </c>
      <c r="F162" s="669">
        <v>5922.4715999999999</v>
      </c>
      <c r="G162" s="578">
        <f t="shared" si="28"/>
        <v>5.0199785687999992</v>
      </c>
      <c r="H162" s="579">
        <f t="shared" si="29"/>
        <v>5.9224715999999997</v>
      </c>
      <c r="I162" s="670">
        <v>0</v>
      </c>
      <c r="J162" s="581">
        <v>0</v>
      </c>
      <c r="K162" s="582">
        <v>5.0199785687999992</v>
      </c>
      <c r="L162" s="583">
        <v>5.9224715999999997</v>
      </c>
      <c r="M162" s="610">
        <f t="shared" si="31"/>
        <v>5.0199785687999992</v>
      </c>
      <c r="N162" s="611">
        <f t="shared" si="31"/>
        <v>5.9224715999999997</v>
      </c>
      <c r="O162" s="903" t="s">
        <v>767</v>
      </c>
      <c r="P162" t="b">
        <f t="shared" si="32"/>
        <v>1</v>
      </c>
    </row>
    <row r="163" spans="1:16" ht="31.2">
      <c r="A163" s="535">
        <v>154</v>
      </c>
      <c r="B163" s="587" t="s">
        <v>516</v>
      </c>
      <c r="C163" s="586" t="s">
        <v>518</v>
      </c>
      <c r="D163" s="587" t="s">
        <v>355</v>
      </c>
      <c r="E163" s="666">
        <v>2539868.2456999999</v>
      </c>
      <c r="F163" s="667">
        <v>4756.5757999999996</v>
      </c>
      <c r="G163" s="590">
        <f t="shared" si="28"/>
        <v>2.5398682456999997</v>
      </c>
      <c r="H163" s="591">
        <f t="shared" si="29"/>
        <v>4.7565757999999994</v>
      </c>
      <c r="I163" s="665">
        <v>0</v>
      </c>
      <c r="J163" s="593">
        <v>0</v>
      </c>
      <c r="K163" s="594">
        <f>90%*2.5398682457</f>
        <v>2.28588142113</v>
      </c>
      <c r="L163" s="595">
        <f>90%*4.7565758</f>
        <v>4.2809182200000002</v>
      </c>
      <c r="M163" s="546">
        <f t="shared" si="31"/>
        <v>2.28588142113</v>
      </c>
      <c r="N163" s="547">
        <f t="shared" si="31"/>
        <v>4.2809182200000002</v>
      </c>
      <c r="O163" s="901" t="s">
        <v>757</v>
      </c>
      <c r="P163" t="b">
        <f t="shared" si="32"/>
        <v>0</v>
      </c>
    </row>
    <row r="164" spans="1:16" ht="28.5" customHeight="1">
      <c r="A164" s="535">
        <v>155</v>
      </c>
      <c r="B164" s="587" t="s">
        <v>516</v>
      </c>
      <c r="C164" s="586" t="s">
        <v>519</v>
      </c>
      <c r="D164" s="609" t="s">
        <v>343</v>
      </c>
      <c r="E164" s="668">
        <v>27359282.9505</v>
      </c>
      <c r="F164" s="669">
        <v>12518.9457</v>
      </c>
      <c r="G164" s="590">
        <f t="shared" si="28"/>
        <v>27.359282950499999</v>
      </c>
      <c r="H164" s="591">
        <f t="shared" si="29"/>
        <v>12.5189457</v>
      </c>
      <c r="I164" s="670"/>
      <c r="J164" s="581"/>
      <c r="K164" s="582"/>
      <c r="L164" s="583"/>
      <c r="M164" s="572"/>
      <c r="N164" s="573"/>
      <c r="O164" s="902"/>
      <c r="P164" t="b">
        <f t="shared" si="32"/>
        <v>0</v>
      </c>
    </row>
    <row r="165" spans="1:16" ht="31.2">
      <c r="A165" s="561">
        <v>156</v>
      </c>
      <c r="B165" s="587" t="s">
        <v>516</v>
      </c>
      <c r="C165" s="586" t="s">
        <v>520</v>
      </c>
      <c r="D165" s="587" t="s">
        <v>357</v>
      </c>
      <c r="E165" s="666">
        <v>6121501.0109999999</v>
      </c>
      <c r="F165" s="667">
        <v>5292.3855000000003</v>
      </c>
      <c r="G165" s="590">
        <f t="shared" si="28"/>
        <v>6.1215010110000003</v>
      </c>
      <c r="H165" s="591">
        <f t="shared" si="29"/>
        <v>5.2923855</v>
      </c>
      <c r="I165" s="665">
        <v>0</v>
      </c>
      <c r="J165" s="593">
        <v>0</v>
      </c>
      <c r="K165" s="594">
        <v>6.1215010110000003</v>
      </c>
      <c r="L165" s="595">
        <v>5.2923855</v>
      </c>
      <c r="M165" s="546">
        <f t="shared" si="31"/>
        <v>6.1215010110000003</v>
      </c>
      <c r="N165" s="547">
        <f t="shared" si="31"/>
        <v>5.2923855</v>
      </c>
      <c r="O165" s="902"/>
      <c r="P165" t="b">
        <f t="shared" si="32"/>
        <v>1</v>
      </c>
    </row>
    <row r="166" spans="1:16" ht="16.95" customHeight="1">
      <c r="A166" s="535">
        <v>157</v>
      </c>
      <c r="B166" s="587" t="s">
        <v>516</v>
      </c>
      <c r="C166" s="586" t="s">
        <v>521</v>
      </c>
      <c r="D166" s="587" t="s">
        <v>359</v>
      </c>
      <c r="E166" s="588">
        <v>6132486.1460999995</v>
      </c>
      <c r="F166" s="589">
        <v>7273.0497999999998</v>
      </c>
      <c r="G166" s="590">
        <f t="shared" si="28"/>
        <v>6.1324861460999998</v>
      </c>
      <c r="H166" s="591">
        <f t="shared" si="29"/>
        <v>7.2730497999999999</v>
      </c>
      <c r="I166" s="665">
        <v>0</v>
      </c>
      <c r="J166" s="593">
        <v>0</v>
      </c>
      <c r="K166" s="594">
        <v>6.1324861460999998</v>
      </c>
      <c r="L166" s="595">
        <v>7.2730497999999999</v>
      </c>
      <c r="M166" s="546">
        <f t="shared" si="31"/>
        <v>6.1324861460999998</v>
      </c>
      <c r="N166" s="547">
        <f t="shared" si="31"/>
        <v>7.2730497999999999</v>
      </c>
      <c r="O166" s="903" t="s">
        <v>766</v>
      </c>
      <c r="P166" t="b">
        <f t="shared" si="32"/>
        <v>1</v>
      </c>
    </row>
    <row r="167" spans="1:16" ht="28.5" customHeight="1">
      <c r="A167" s="535">
        <v>158</v>
      </c>
      <c r="B167" s="587" t="s">
        <v>516</v>
      </c>
      <c r="C167" s="586" t="s">
        <v>522</v>
      </c>
      <c r="D167" s="609" t="s">
        <v>523</v>
      </c>
      <c r="E167" s="668">
        <v>72495000.0079</v>
      </c>
      <c r="F167" s="669">
        <v>49904.301700000004</v>
      </c>
      <c r="G167" s="590">
        <f>E167/1000000</f>
        <v>72.495000007900003</v>
      </c>
      <c r="H167" s="591">
        <f>F167/1000</f>
        <v>49.904301700000005</v>
      </c>
      <c r="I167" s="670"/>
      <c r="J167" s="581"/>
      <c r="K167" s="582"/>
      <c r="L167" s="583"/>
      <c r="M167" s="572"/>
      <c r="N167" s="573"/>
      <c r="O167" s="902"/>
      <c r="P167" t="b">
        <f t="shared" si="32"/>
        <v>0</v>
      </c>
    </row>
    <row r="168" spans="1:16" ht="31.2">
      <c r="A168" s="561">
        <v>159</v>
      </c>
      <c r="B168" s="587" t="s">
        <v>516</v>
      </c>
      <c r="C168" s="586" t="s">
        <v>524</v>
      </c>
      <c r="D168" s="587" t="s">
        <v>525</v>
      </c>
      <c r="E168" s="666">
        <v>215282748.06240001</v>
      </c>
      <c r="F168" s="667">
        <v>71710.003400000001</v>
      </c>
      <c r="G168" s="590">
        <f t="shared" si="28"/>
        <v>215.2827480624</v>
      </c>
      <c r="H168" s="591">
        <f t="shared" si="29"/>
        <v>71.710003400000005</v>
      </c>
      <c r="I168" s="665">
        <v>215.2827480624</v>
      </c>
      <c r="J168" s="593">
        <v>71.710003400000005</v>
      </c>
      <c r="K168" s="594"/>
      <c r="L168" s="595"/>
      <c r="M168" s="546">
        <f t="shared" si="31"/>
        <v>215.2827480624</v>
      </c>
      <c r="N168" s="547">
        <f t="shared" si="31"/>
        <v>71.710003400000005</v>
      </c>
      <c r="O168" s="902"/>
      <c r="P168" t="b">
        <f t="shared" si="32"/>
        <v>1</v>
      </c>
    </row>
    <row r="169" spans="1:16" ht="31.2">
      <c r="A169" s="535">
        <v>160</v>
      </c>
      <c r="B169" s="587" t="s">
        <v>516</v>
      </c>
      <c r="C169" s="586" t="s">
        <v>526</v>
      </c>
      <c r="D169" s="587" t="s">
        <v>527</v>
      </c>
      <c r="E169" s="666">
        <v>68848024.739999995</v>
      </c>
      <c r="F169" s="667">
        <v>31999.922500000001</v>
      </c>
      <c r="G169" s="590">
        <v>115.47</v>
      </c>
      <c r="H169" s="591">
        <f t="shared" si="29"/>
        <v>31.9999225</v>
      </c>
      <c r="I169" s="665">
        <v>115.47</v>
      </c>
      <c r="J169" s="593">
        <v>31.9999225</v>
      </c>
      <c r="K169" s="594"/>
      <c r="L169" s="595"/>
      <c r="M169" s="546">
        <f t="shared" si="31"/>
        <v>115.47</v>
      </c>
      <c r="N169" s="547">
        <f t="shared" si="31"/>
        <v>31.9999225</v>
      </c>
      <c r="O169" s="902"/>
      <c r="P169" t="b">
        <f t="shared" si="32"/>
        <v>1</v>
      </c>
    </row>
    <row r="170" spans="1:16" ht="31.2">
      <c r="A170" s="535">
        <v>161</v>
      </c>
      <c r="B170" s="587" t="s">
        <v>516</v>
      </c>
      <c r="C170" s="586" t="s">
        <v>528</v>
      </c>
      <c r="D170" s="612" t="s">
        <v>529</v>
      </c>
      <c r="E170" s="666">
        <v>68849646.530300006</v>
      </c>
      <c r="F170" s="667">
        <v>31999.922500000001</v>
      </c>
      <c r="G170" s="590">
        <v>115.47</v>
      </c>
      <c r="H170" s="591">
        <f t="shared" si="29"/>
        <v>31.9999225</v>
      </c>
      <c r="I170" s="665">
        <v>115.47</v>
      </c>
      <c r="J170" s="593">
        <v>31.9999225</v>
      </c>
      <c r="K170" s="594"/>
      <c r="L170" s="595"/>
      <c r="M170" s="546">
        <f t="shared" ref="M170:N203" si="33">K170+I170</f>
        <v>115.47</v>
      </c>
      <c r="N170" s="547">
        <f t="shared" si="33"/>
        <v>31.9999225</v>
      </c>
      <c r="O170" s="902"/>
      <c r="P170" t="b">
        <f t="shared" si="32"/>
        <v>1</v>
      </c>
    </row>
    <row r="171" spans="1:16" ht="31.2">
      <c r="A171" s="561">
        <v>162</v>
      </c>
      <c r="B171" s="587" t="s">
        <v>516</v>
      </c>
      <c r="C171" s="586" t="s">
        <v>530</v>
      </c>
      <c r="D171" s="587" t="s">
        <v>527</v>
      </c>
      <c r="E171" s="666">
        <v>89010372.981999993</v>
      </c>
      <c r="F171" s="667">
        <v>37327.063699999999</v>
      </c>
      <c r="G171" s="590">
        <f t="shared" si="28"/>
        <v>89.010372981999993</v>
      </c>
      <c r="H171" s="591">
        <f t="shared" si="29"/>
        <v>37.327063699999997</v>
      </c>
      <c r="I171" s="665">
        <v>0</v>
      </c>
      <c r="J171" s="593">
        <v>0</v>
      </c>
      <c r="K171" s="594">
        <f>90%*89.010372982</f>
        <v>80.109335683800012</v>
      </c>
      <c r="L171" s="595">
        <f>90%*37.3270637</f>
        <v>33.594357330000001</v>
      </c>
      <c r="M171" s="546">
        <f t="shared" si="33"/>
        <v>80.109335683800012</v>
      </c>
      <c r="N171" s="547">
        <f t="shared" si="33"/>
        <v>33.594357330000001</v>
      </c>
      <c r="O171" s="901" t="s">
        <v>757</v>
      </c>
      <c r="P171" t="b">
        <f t="shared" si="32"/>
        <v>0</v>
      </c>
    </row>
    <row r="172" spans="1:16" ht="31.8" thickBot="1">
      <c r="A172" s="548">
        <v>163</v>
      </c>
      <c r="B172" s="550" t="s">
        <v>516</v>
      </c>
      <c r="C172" s="549" t="s">
        <v>531</v>
      </c>
      <c r="D172" s="550" t="s">
        <v>532</v>
      </c>
      <c r="E172" s="672">
        <v>82068247.710500002</v>
      </c>
      <c r="F172" s="673">
        <v>36369.522499999999</v>
      </c>
      <c r="G172" s="553">
        <f t="shared" si="28"/>
        <v>82.068247710500003</v>
      </c>
      <c r="H172" s="554">
        <f t="shared" si="29"/>
        <v>36.369522500000002</v>
      </c>
      <c r="I172" s="671">
        <v>82.068247710500003</v>
      </c>
      <c r="J172" s="556">
        <v>36.369522500000002</v>
      </c>
      <c r="K172" s="608"/>
      <c r="L172" s="558"/>
      <c r="M172" s="615">
        <f t="shared" si="33"/>
        <v>82.068247710500003</v>
      </c>
      <c r="N172" s="616">
        <f t="shared" si="33"/>
        <v>36.369522500000002</v>
      </c>
      <c r="O172" s="902"/>
      <c r="P172" t="b">
        <f t="shared" si="32"/>
        <v>1</v>
      </c>
    </row>
    <row r="173" spans="1:16" ht="15.6">
      <c r="A173" s="561">
        <v>164</v>
      </c>
      <c r="B173" s="609" t="s">
        <v>278</v>
      </c>
      <c r="C173" s="574" t="s">
        <v>533</v>
      </c>
      <c r="D173" s="609" t="s">
        <v>355</v>
      </c>
      <c r="E173" s="668">
        <v>2572540.5687000002</v>
      </c>
      <c r="F173" s="669">
        <v>4777.1234000000004</v>
      </c>
      <c r="G173" s="578">
        <f t="shared" si="28"/>
        <v>2.5725405687</v>
      </c>
      <c r="H173" s="579">
        <f t="shared" si="29"/>
        <v>4.7771234000000007</v>
      </c>
      <c r="I173" s="670">
        <v>0</v>
      </c>
      <c r="J173" s="581">
        <v>0</v>
      </c>
      <c r="K173" s="582"/>
      <c r="L173" s="583"/>
      <c r="M173" s="610">
        <f t="shared" si="33"/>
        <v>0</v>
      </c>
      <c r="N173" s="611">
        <f t="shared" si="33"/>
        <v>0</v>
      </c>
      <c r="O173" s="902"/>
      <c r="P173" t="b">
        <f t="shared" si="32"/>
        <v>0</v>
      </c>
    </row>
    <row r="174" spans="1:16" ht="18" customHeight="1">
      <c r="A174" s="561">
        <v>165</v>
      </c>
      <c r="B174" s="609" t="s">
        <v>278</v>
      </c>
      <c r="C174" s="574" t="s">
        <v>534</v>
      </c>
      <c r="D174" s="587" t="s">
        <v>410</v>
      </c>
      <c r="E174" s="666">
        <v>5019975.2718000002</v>
      </c>
      <c r="F174" s="667">
        <v>5901.4583000000002</v>
      </c>
      <c r="G174" s="590">
        <f t="shared" si="28"/>
        <v>5.0199752717999999</v>
      </c>
      <c r="H174" s="591">
        <f t="shared" si="29"/>
        <v>5.9014582999999998</v>
      </c>
      <c r="I174" s="665">
        <v>0</v>
      </c>
      <c r="J174" s="593">
        <v>0</v>
      </c>
      <c r="K174" s="594">
        <v>5.0199752717999999</v>
      </c>
      <c r="L174" s="595">
        <v>5.9014582999999998</v>
      </c>
      <c r="M174" s="546">
        <f t="shared" si="33"/>
        <v>5.0199752717999999</v>
      </c>
      <c r="N174" s="547">
        <f t="shared" si="33"/>
        <v>5.9014582999999998</v>
      </c>
      <c r="O174" s="902"/>
      <c r="P174" t="b">
        <f t="shared" si="32"/>
        <v>1</v>
      </c>
    </row>
    <row r="175" spans="1:16" ht="15.6">
      <c r="A175" s="535">
        <v>166</v>
      </c>
      <c r="B175" s="609" t="s">
        <v>278</v>
      </c>
      <c r="C175" s="574" t="s">
        <v>535</v>
      </c>
      <c r="D175" s="587" t="s">
        <v>359</v>
      </c>
      <c r="E175" s="588">
        <v>6099550.8362999996</v>
      </c>
      <c r="F175" s="589">
        <v>7235.8855999999996</v>
      </c>
      <c r="G175" s="590">
        <f t="shared" si="28"/>
        <v>6.0995508362999997</v>
      </c>
      <c r="H175" s="591">
        <f t="shared" si="29"/>
        <v>7.2358855999999996</v>
      </c>
      <c r="I175" s="665">
        <v>0</v>
      </c>
      <c r="J175" s="593">
        <v>0</v>
      </c>
      <c r="K175" s="594">
        <v>6.0995508362999997</v>
      </c>
      <c r="L175" s="595">
        <v>7.2358855999999996</v>
      </c>
      <c r="M175" s="546">
        <f t="shared" si="33"/>
        <v>6.0995508362999997</v>
      </c>
      <c r="N175" s="547">
        <f t="shared" si="33"/>
        <v>7.2358855999999996</v>
      </c>
      <c r="O175" s="902"/>
      <c r="P175" t="b">
        <f t="shared" si="32"/>
        <v>1</v>
      </c>
    </row>
    <row r="176" spans="1:16" ht="16.2" thickBot="1">
      <c r="A176" s="548">
        <v>167</v>
      </c>
      <c r="B176" s="550" t="s">
        <v>278</v>
      </c>
      <c r="C176" s="549" t="s">
        <v>536</v>
      </c>
      <c r="D176" s="550" t="s">
        <v>357</v>
      </c>
      <c r="E176" s="551">
        <v>7700810.0179000003</v>
      </c>
      <c r="F176" s="552">
        <v>10314.069299999999</v>
      </c>
      <c r="G176" s="553">
        <f t="shared" si="28"/>
        <v>7.7008100179000003</v>
      </c>
      <c r="H176" s="554">
        <f t="shared" si="29"/>
        <v>10.3140693</v>
      </c>
      <c r="I176" s="555">
        <v>0</v>
      </c>
      <c r="J176" s="556">
        <v>0</v>
      </c>
      <c r="K176" s="608">
        <f>90%*7.7008100179</f>
        <v>6.9307290161100008</v>
      </c>
      <c r="L176" s="558">
        <f>90%*10.3140693</f>
        <v>9.2826623700000006</v>
      </c>
      <c r="M176" s="615">
        <f t="shared" si="33"/>
        <v>6.9307290161100008</v>
      </c>
      <c r="N176" s="616">
        <f t="shared" si="33"/>
        <v>9.2826623700000006</v>
      </c>
      <c r="O176" s="901" t="s">
        <v>757</v>
      </c>
      <c r="P176" t="b">
        <f t="shared" si="32"/>
        <v>0</v>
      </c>
    </row>
    <row r="177" spans="1:16" ht="15.6">
      <c r="A177" s="561">
        <v>168</v>
      </c>
      <c r="B177" s="609" t="s">
        <v>279</v>
      </c>
      <c r="C177" s="574" t="s">
        <v>537</v>
      </c>
      <c r="D177" s="609" t="s">
        <v>410</v>
      </c>
      <c r="E177" s="668">
        <v>5624914.1752000004</v>
      </c>
      <c r="F177" s="669">
        <v>5901.4583000000002</v>
      </c>
      <c r="G177" s="578">
        <f t="shared" si="28"/>
        <v>5.6249141752000007</v>
      </c>
      <c r="H177" s="579">
        <f t="shared" si="29"/>
        <v>5.9014582999999998</v>
      </c>
      <c r="I177" s="670">
        <v>0</v>
      </c>
      <c r="J177" s="581">
        <v>0</v>
      </c>
      <c r="K177" s="582">
        <v>5.6249141752000007</v>
      </c>
      <c r="L177" s="583">
        <v>5.9014582999999998</v>
      </c>
      <c r="M177" s="610">
        <f t="shared" si="33"/>
        <v>5.6249141752000007</v>
      </c>
      <c r="N177" s="611">
        <f t="shared" si="33"/>
        <v>5.9014582999999998</v>
      </c>
      <c r="O177" s="903" t="s">
        <v>767</v>
      </c>
      <c r="P177" t="b">
        <f t="shared" si="32"/>
        <v>1</v>
      </c>
    </row>
    <row r="178" spans="1:16" ht="15.6">
      <c r="A178" s="535">
        <v>169</v>
      </c>
      <c r="B178" s="587" t="s">
        <v>279</v>
      </c>
      <c r="C178" s="586" t="s">
        <v>538</v>
      </c>
      <c r="D178" s="587" t="s">
        <v>355</v>
      </c>
      <c r="E178" s="668">
        <v>2572540.5687000002</v>
      </c>
      <c r="F178" s="669">
        <v>4777.1234000000004</v>
      </c>
      <c r="G178" s="590">
        <f t="shared" si="28"/>
        <v>2.5725405687</v>
      </c>
      <c r="H178" s="591">
        <f t="shared" si="29"/>
        <v>4.7771234000000007</v>
      </c>
      <c r="I178" s="665">
        <v>0</v>
      </c>
      <c r="J178" s="593">
        <v>0</v>
      </c>
      <c r="K178" s="594"/>
      <c r="L178" s="595"/>
      <c r="M178" s="546">
        <f t="shared" si="33"/>
        <v>0</v>
      </c>
      <c r="N178" s="547">
        <f t="shared" si="33"/>
        <v>0</v>
      </c>
      <c r="O178" s="902"/>
      <c r="P178" t="b">
        <f t="shared" si="32"/>
        <v>0</v>
      </c>
    </row>
    <row r="179" spans="1:16" ht="18.75" customHeight="1">
      <c r="A179" s="535">
        <v>170</v>
      </c>
      <c r="B179" s="587" t="s">
        <v>279</v>
      </c>
      <c r="C179" s="574" t="s">
        <v>539</v>
      </c>
      <c r="D179" s="587" t="s">
        <v>359</v>
      </c>
      <c r="E179" s="588">
        <v>6099550.8362999996</v>
      </c>
      <c r="F179" s="589">
        <v>7235.8855999999996</v>
      </c>
      <c r="G179" s="590">
        <f t="shared" si="28"/>
        <v>6.0995508362999997</v>
      </c>
      <c r="H179" s="591">
        <f t="shared" si="29"/>
        <v>7.2358855999999996</v>
      </c>
      <c r="I179" s="665">
        <v>0</v>
      </c>
      <c r="J179" s="593">
        <v>0</v>
      </c>
      <c r="K179" s="594">
        <v>6.0995508362999997</v>
      </c>
      <c r="L179" s="595">
        <v>7.2358855999999996</v>
      </c>
      <c r="M179" s="546">
        <f t="shared" si="33"/>
        <v>6.0995508362999997</v>
      </c>
      <c r="N179" s="547">
        <f t="shared" si="33"/>
        <v>7.2358855999999996</v>
      </c>
      <c r="O179" s="903" t="s">
        <v>768</v>
      </c>
      <c r="P179" t="b">
        <f t="shared" si="32"/>
        <v>1</v>
      </c>
    </row>
    <row r="180" spans="1:16" ht="18" customHeight="1" thickBot="1">
      <c r="A180" s="548">
        <v>171</v>
      </c>
      <c r="B180" s="550" t="s">
        <v>279</v>
      </c>
      <c r="C180" s="549" t="s">
        <v>540</v>
      </c>
      <c r="D180" s="550" t="s">
        <v>357</v>
      </c>
      <c r="E180" s="551">
        <v>7700810.0179000003</v>
      </c>
      <c r="F180" s="552">
        <v>10314.069299999999</v>
      </c>
      <c r="G180" s="553">
        <f t="shared" si="28"/>
        <v>7.7008100179000003</v>
      </c>
      <c r="H180" s="554">
        <f t="shared" si="29"/>
        <v>10.3140693</v>
      </c>
      <c r="I180" s="671">
        <v>0</v>
      </c>
      <c r="J180" s="556">
        <v>0</v>
      </c>
      <c r="K180" s="608">
        <f>90%*7.7008100179</f>
        <v>6.9307290161100008</v>
      </c>
      <c r="L180" s="558">
        <f>90%*10.3140693</f>
        <v>9.2826623700000006</v>
      </c>
      <c r="M180" s="615">
        <f t="shared" si="33"/>
        <v>6.9307290161100008</v>
      </c>
      <c r="N180" s="616">
        <f t="shared" si="33"/>
        <v>9.2826623700000006</v>
      </c>
      <c r="O180" s="901" t="s">
        <v>757</v>
      </c>
      <c r="P180" t="b">
        <f t="shared" si="32"/>
        <v>0</v>
      </c>
    </row>
    <row r="181" spans="1:16" ht="15.6">
      <c r="A181" s="561">
        <v>172</v>
      </c>
      <c r="B181" s="609" t="s">
        <v>280</v>
      </c>
      <c r="C181" s="574" t="s">
        <v>541</v>
      </c>
      <c r="D181" s="609" t="s">
        <v>410</v>
      </c>
      <c r="E181" s="668">
        <v>5624914.1752000004</v>
      </c>
      <c r="F181" s="669">
        <v>5901.4583000000002</v>
      </c>
      <c r="G181" s="578">
        <f t="shared" si="28"/>
        <v>5.6249141752000007</v>
      </c>
      <c r="H181" s="579">
        <f t="shared" ref="H181:H227" si="34">F181/1000</f>
        <v>5.9014582999999998</v>
      </c>
      <c r="I181" s="670">
        <v>0</v>
      </c>
      <c r="J181" s="581">
        <v>0</v>
      </c>
      <c r="K181" s="582">
        <v>5.6249141752000007</v>
      </c>
      <c r="L181" s="583">
        <v>5.9014582999999998</v>
      </c>
      <c r="M181" s="610">
        <f t="shared" si="33"/>
        <v>5.6249141752000007</v>
      </c>
      <c r="N181" s="611">
        <f t="shared" si="33"/>
        <v>5.9014582999999998</v>
      </c>
      <c r="O181" s="903" t="s">
        <v>767</v>
      </c>
      <c r="P181" t="b">
        <f t="shared" si="32"/>
        <v>1</v>
      </c>
    </row>
    <row r="182" spans="1:16" ht="15.6">
      <c r="A182" s="535">
        <v>173</v>
      </c>
      <c r="B182" s="587" t="s">
        <v>280</v>
      </c>
      <c r="C182" s="586" t="s">
        <v>542</v>
      </c>
      <c r="D182" s="587" t="s">
        <v>355</v>
      </c>
      <c r="E182" s="668">
        <v>2572540.5687000002</v>
      </c>
      <c r="F182" s="669">
        <v>4777.1234000000004</v>
      </c>
      <c r="G182" s="590">
        <f t="shared" si="28"/>
        <v>2.5725405687</v>
      </c>
      <c r="H182" s="591">
        <f t="shared" si="34"/>
        <v>4.7771234000000007</v>
      </c>
      <c r="I182" s="665">
        <v>0</v>
      </c>
      <c r="J182" s="593">
        <v>0</v>
      </c>
      <c r="K182" s="594"/>
      <c r="L182" s="595"/>
      <c r="M182" s="546">
        <f t="shared" si="33"/>
        <v>0</v>
      </c>
      <c r="N182" s="547">
        <f t="shared" si="33"/>
        <v>0</v>
      </c>
      <c r="O182" s="902"/>
      <c r="P182" t="b">
        <f t="shared" si="32"/>
        <v>0</v>
      </c>
    </row>
    <row r="183" spans="1:16" ht="18" customHeight="1">
      <c r="A183" s="561">
        <v>174</v>
      </c>
      <c r="B183" s="587" t="s">
        <v>280</v>
      </c>
      <c r="C183" s="574" t="s">
        <v>543</v>
      </c>
      <c r="D183" s="587" t="s">
        <v>359</v>
      </c>
      <c r="E183" s="588">
        <v>6099550.8362999996</v>
      </c>
      <c r="F183" s="589">
        <v>7235.8855999999996</v>
      </c>
      <c r="G183" s="590">
        <f t="shared" si="28"/>
        <v>6.0995508362999997</v>
      </c>
      <c r="H183" s="591">
        <f t="shared" si="34"/>
        <v>7.2358855999999996</v>
      </c>
      <c r="I183" s="665">
        <v>0</v>
      </c>
      <c r="J183" s="593">
        <v>0</v>
      </c>
      <c r="K183" s="594">
        <v>6.0995508362999997</v>
      </c>
      <c r="L183" s="595">
        <v>7.2358855999999996</v>
      </c>
      <c r="M183" s="546">
        <f t="shared" si="33"/>
        <v>6.0995508362999997</v>
      </c>
      <c r="N183" s="547">
        <f t="shared" si="33"/>
        <v>7.2358855999999996</v>
      </c>
      <c r="O183" s="903" t="s">
        <v>768</v>
      </c>
      <c r="P183" t="b">
        <f t="shared" si="32"/>
        <v>1</v>
      </c>
    </row>
    <row r="184" spans="1:16" ht="18" customHeight="1" thickBot="1">
      <c r="A184" s="548">
        <v>175</v>
      </c>
      <c r="B184" s="550" t="s">
        <v>280</v>
      </c>
      <c r="C184" s="549" t="s">
        <v>544</v>
      </c>
      <c r="D184" s="550" t="s">
        <v>357</v>
      </c>
      <c r="E184" s="551">
        <v>7700810.0179000003</v>
      </c>
      <c r="F184" s="552">
        <v>10314.069299999999</v>
      </c>
      <c r="G184" s="553">
        <f t="shared" si="28"/>
        <v>7.7008100179000003</v>
      </c>
      <c r="H184" s="554">
        <f t="shared" si="34"/>
        <v>10.3140693</v>
      </c>
      <c r="I184" s="671">
        <v>0</v>
      </c>
      <c r="J184" s="556">
        <v>0</v>
      </c>
      <c r="K184" s="608">
        <f>90%*7.7008100179</f>
        <v>6.9307290161100008</v>
      </c>
      <c r="L184" s="558">
        <f>90%*10.3140693</f>
        <v>9.2826623700000006</v>
      </c>
      <c r="M184" s="615">
        <f t="shared" si="33"/>
        <v>6.9307290161100008</v>
      </c>
      <c r="N184" s="616">
        <f t="shared" si="33"/>
        <v>9.2826623700000006</v>
      </c>
      <c r="O184" s="901" t="s">
        <v>757</v>
      </c>
      <c r="P184" t="b">
        <f t="shared" si="32"/>
        <v>0</v>
      </c>
    </row>
    <row r="185" spans="1:16" ht="15.6">
      <c r="A185" s="561">
        <v>176</v>
      </c>
      <c r="B185" s="609" t="s">
        <v>281</v>
      </c>
      <c r="C185" s="574" t="s">
        <v>545</v>
      </c>
      <c r="D185" s="609" t="s">
        <v>410</v>
      </c>
      <c r="E185" s="668">
        <v>5624914.1752000004</v>
      </c>
      <c r="F185" s="669">
        <v>5901.4583000000002</v>
      </c>
      <c r="G185" s="578">
        <f t="shared" si="28"/>
        <v>5.6249141752000007</v>
      </c>
      <c r="H185" s="579">
        <f t="shared" si="34"/>
        <v>5.9014582999999998</v>
      </c>
      <c r="I185" s="670">
        <v>0</v>
      </c>
      <c r="J185" s="581">
        <v>0</v>
      </c>
      <c r="K185" s="582">
        <v>5.6249141752000007</v>
      </c>
      <c r="L185" s="583">
        <v>5.9014582999999998</v>
      </c>
      <c r="M185" s="610">
        <f t="shared" si="33"/>
        <v>5.6249141752000007</v>
      </c>
      <c r="N185" s="611">
        <f t="shared" si="33"/>
        <v>5.9014582999999998</v>
      </c>
      <c r="O185" s="903" t="s">
        <v>767</v>
      </c>
      <c r="P185" t="b">
        <f t="shared" si="32"/>
        <v>1</v>
      </c>
    </row>
    <row r="186" spans="1:16" ht="15.6">
      <c r="A186" s="561">
        <v>177</v>
      </c>
      <c r="B186" s="587" t="s">
        <v>281</v>
      </c>
      <c r="C186" s="586" t="s">
        <v>546</v>
      </c>
      <c r="D186" s="587" t="s">
        <v>355</v>
      </c>
      <c r="E186" s="668">
        <v>2572540.5687000002</v>
      </c>
      <c r="F186" s="669">
        <v>4777.1234000000004</v>
      </c>
      <c r="G186" s="590">
        <f t="shared" si="28"/>
        <v>2.5725405687</v>
      </c>
      <c r="H186" s="591">
        <f t="shared" si="34"/>
        <v>4.7771234000000007</v>
      </c>
      <c r="I186" s="665">
        <v>0</v>
      </c>
      <c r="J186" s="593">
        <v>0</v>
      </c>
      <c r="K186" s="594"/>
      <c r="L186" s="595"/>
      <c r="M186" s="546">
        <f t="shared" si="33"/>
        <v>0</v>
      </c>
      <c r="N186" s="547">
        <f t="shared" si="33"/>
        <v>0</v>
      </c>
      <c r="O186" s="902"/>
      <c r="P186" t="b">
        <f t="shared" si="32"/>
        <v>0</v>
      </c>
    </row>
    <row r="187" spans="1:16" ht="18" customHeight="1">
      <c r="A187" s="535">
        <v>178</v>
      </c>
      <c r="B187" s="587" t="s">
        <v>281</v>
      </c>
      <c r="C187" s="574" t="s">
        <v>547</v>
      </c>
      <c r="D187" s="587" t="s">
        <v>359</v>
      </c>
      <c r="E187" s="588">
        <v>6099550.8362999996</v>
      </c>
      <c r="F187" s="589">
        <v>7235.8855999999996</v>
      </c>
      <c r="G187" s="590">
        <f t="shared" si="28"/>
        <v>6.0995508362999997</v>
      </c>
      <c r="H187" s="591">
        <f t="shared" si="34"/>
        <v>7.2358855999999996</v>
      </c>
      <c r="I187" s="665">
        <v>0</v>
      </c>
      <c r="J187" s="593">
        <v>0</v>
      </c>
      <c r="K187" s="594">
        <v>6.0995508362999997</v>
      </c>
      <c r="L187" s="595">
        <v>7.2358855999999996</v>
      </c>
      <c r="M187" s="546">
        <f t="shared" si="33"/>
        <v>6.0995508362999997</v>
      </c>
      <c r="N187" s="547">
        <f t="shared" si="33"/>
        <v>7.2358855999999996</v>
      </c>
      <c r="O187" s="903" t="s">
        <v>768</v>
      </c>
      <c r="P187" t="b">
        <f t="shared" si="32"/>
        <v>1</v>
      </c>
    </row>
    <row r="188" spans="1:16" ht="18" customHeight="1" thickBot="1">
      <c r="A188" s="548">
        <v>179</v>
      </c>
      <c r="B188" s="550" t="s">
        <v>281</v>
      </c>
      <c r="C188" s="549" t="s">
        <v>548</v>
      </c>
      <c r="D188" s="550" t="s">
        <v>357</v>
      </c>
      <c r="E188" s="551">
        <v>7700810.0179000003</v>
      </c>
      <c r="F188" s="552">
        <v>10314.069299999999</v>
      </c>
      <c r="G188" s="553">
        <f t="shared" si="28"/>
        <v>7.7008100179000003</v>
      </c>
      <c r="H188" s="554">
        <f t="shared" si="34"/>
        <v>10.3140693</v>
      </c>
      <c r="I188" s="671">
        <v>0</v>
      </c>
      <c r="J188" s="556">
        <v>0</v>
      </c>
      <c r="K188" s="608">
        <f>90%*7.7008100179</f>
        <v>6.9307290161100008</v>
      </c>
      <c r="L188" s="558">
        <f>90%*10.3140693</f>
        <v>9.2826623700000006</v>
      </c>
      <c r="M188" s="615">
        <f t="shared" si="33"/>
        <v>6.9307290161100008</v>
      </c>
      <c r="N188" s="616">
        <f t="shared" si="33"/>
        <v>9.2826623700000006</v>
      </c>
      <c r="O188" s="901" t="s">
        <v>757</v>
      </c>
      <c r="P188" t="b">
        <f t="shared" si="32"/>
        <v>0</v>
      </c>
    </row>
    <row r="189" spans="1:16" ht="15.6">
      <c r="A189" s="561">
        <v>180</v>
      </c>
      <c r="B189" s="674" t="s">
        <v>282</v>
      </c>
      <c r="C189" s="675" t="s">
        <v>549</v>
      </c>
      <c r="D189" s="674" t="s">
        <v>355</v>
      </c>
      <c r="E189" s="668">
        <v>2572540.5687000002</v>
      </c>
      <c r="F189" s="669">
        <v>4777.1234000000004</v>
      </c>
      <c r="G189" s="676">
        <f t="shared" si="28"/>
        <v>2.5725405687</v>
      </c>
      <c r="H189" s="677">
        <f t="shared" si="34"/>
        <v>4.7771234000000007</v>
      </c>
      <c r="I189" s="678">
        <v>0</v>
      </c>
      <c r="J189" s="679">
        <v>0</v>
      </c>
      <c r="K189" s="570"/>
      <c r="L189" s="571"/>
      <c r="M189" s="610">
        <f t="shared" si="33"/>
        <v>0</v>
      </c>
      <c r="N189" s="611">
        <f t="shared" si="33"/>
        <v>0</v>
      </c>
      <c r="O189" s="902"/>
      <c r="P189" t="b">
        <f t="shared" si="32"/>
        <v>0</v>
      </c>
    </row>
    <row r="190" spans="1:16" ht="18" customHeight="1">
      <c r="A190" s="535">
        <v>181</v>
      </c>
      <c r="B190" s="587" t="s">
        <v>282</v>
      </c>
      <c r="C190" s="574" t="s">
        <v>550</v>
      </c>
      <c r="D190" s="587" t="s">
        <v>410</v>
      </c>
      <c r="E190" s="666">
        <v>5019975.2718000002</v>
      </c>
      <c r="F190" s="667">
        <v>5901.4583000000002</v>
      </c>
      <c r="G190" s="590">
        <f t="shared" si="28"/>
        <v>5.0199752717999999</v>
      </c>
      <c r="H190" s="591">
        <f t="shared" si="34"/>
        <v>5.9014582999999998</v>
      </c>
      <c r="I190" s="665">
        <v>0</v>
      </c>
      <c r="J190" s="593">
        <v>0</v>
      </c>
      <c r="K190" s="594">
        <v>5.0199752717999999</v>
      </c>
      <c r="L190" s="595">
        <v>5.9014582999999998</v>
      </c>
      <c r="M190" s="546">
        <f t="shared" si="33"/>
        <v>5.0199752717999999</v>
      </c>
      <c r="N190" s="547">
        <f t="shared" si="33"/>
        <v>5.9014582999999998</v>
      </c>
      <c r="O190" s="903" t="s">
        <v>767</v>
      </c>
      <c r="P190" t="b">
        <f t="shared" si="32"/>
        <v>1</v>
      </c>
    </row>
    <row r="191" spans="1:16" ht="18" customHeight="1">
      <c r="A191" s="535">
        <v>182</v>
      </c>
      <c r="B191" s="587" t="s">
        <v>282</v>
      </c>
      <c r="C191" s="574" t="s">
        <v>551</v>
      </c>
      <c r="D191" s="587" t="s">
        <v>359</v>
      </c>
      <c r="E191" s="588">
        <v>6099550.8362999996</v>
      </c>
      <c r="F191" s="589">
        <v>7235.8855999999996</v>
      </c>
      <c r="G191" s="590">
        <f t="shared" si="28"/>
        <v>6.0995508362999997</v>
      </c>
      <c r="H191" s="591">
        <f t="shared" si="34"/>
        <v>7.2358855999999996</v>
      </c>
      <c r="I191" s="665">
        <v>0</v>
      </c>
      <c r="J191" s="593">
        <v>0</v>
      </c>
      <c r="K191" s="594"/>
      <c r="L191" s="595"/>
      <c r="M191" s="546">
        <f t="shared" si="33"/>
        <v>0</v>
      </c>
      <c r="N191" s="547">
        <f t="shared" si="33"/>
        <v>0</v>
      </c>
      <c r="O191" s="902"/>
      <c r="P191" t="b">
        <f t="shared" si="32"/>
        <v>0</v>
      </c>
    </row>
    <row r="192" spans="1:16" ht="18" customHeight="1" thickBot="1">
      <c r="A192" s="548">
        <v>183</v>
      </c>
      <c r="B192" s="550" t="s">
        <v>282</v>
      </c>
      <c r="C192" s="549" t="s">
        <v>552</v>
      </c>
      <c r="D192" s="550" t="s">
        <v>357</v>
      </c>
      <c r="E192" s="551">
        <v>7700810.0179000003</v>
      </c>
      <c r="F192" s="552">
        <v>10314.069299999999</v>
      </c>
      <c r="G192" s="553">
        <f t="shared" si="28"/>
        <v>7.7008100179000003</v>
      </c>
      <c r="H192" s="554">
        <f t="shared" si="34"/>
        <v>10.3140693</v>
      </c>
      <c r="I192" s="671">
        <v>0</v>
      </c>
      <c r="J192" s="556">
        <v>0</v>
      </c>
      <c r="K192" s="608"/>
      <c r="L192" s="558"/>
      <c r="M192" s="615">
        <f t="shared" si="33"/>
        <v>0</v>
      </c>
      <c r="N192" s="616">
        <f t="shared" si="33"/>
        <v>0</v>
      </c>
      <c r="O192" s="902"/>
      <c r="P192" t="b">
        <f t="shared" si="32"/>
        <v>0</v>
      </c>
    </row>
    <row r="193" spans="1:16" ht="15.6">
      <c r="A193" s="561">
        <v>184</v>
      </c>
      <c r="B193" s="674" t="s">
        <v>283</v>
      </c>
      <c r="C193" s="675" t="s">
        <v>553</v>
      </c>
      <c r="D193" s="674" t="s">
        <v>355</v>
      </c>
      <c r="E193" s="668">
        <v>2572540.5687000002</v>
      </c>
      <c r="F193" s="669">
        <v>4777.1234000000004</v>
      </c>
      <c r="G193" s="676">
        <f t="shared" si="28"/>
        <v>2.5725405687</v>
      </c>
      <c r="H193" s="677">
        <f t="shared" si="34"/>
        <v>4.7771234000000007</v>
      </c>
      <c r="I193" s="678">
        <v>0</v>
      </c>
      <c r="J193" s="679">
        <v>0</v>
      </c>
      <c r="K193" s="570"/>
      <c r="L193" s="571"/>
      <c r="M193" s="610">
        <f t="shared" si="33"/>
        <v>0</v>
      </c>
      <c r="N193" s="611">
        <f t="shared" si="33"/>
        <v>0</v>
      </c>
      <c r="O193" s="902"/>
      <c r="P193" t="b">
        <f t="shared" si="32"/>
        <v>0</v>
      </c>
    </row>
    <row r="194" spans="1:16" ht="18" customHeight="1">
      <c r="A194" s="535">
        <v>185</v>
      </c>
      <c r="B194" s="587" t="s">
        <v>283</v>
      </c>
      <c r="C194" s="574" t="s">
        <v>554</v>
      </c>
      <c r="D194" s="587" t="s">
        <v>410</v>
      </c>
      <c r="E194" s="666">
        <v>5019975.2718000002</v>
      </c>
      <c r="F194" s="667">
        <v>5901.4583000000002</v>
      </c>
      <c r="G194" s="590">
        <f t="shared" si="28"/>
        <v>5.0199752717999999</v>
      </c>
      <c r="H194" s="591">
        <f t="shared" si="34"/>
        <v>5.9014582999999998</v>
      </c>
      <c r="I194" s="665">
        <v>0</v>
      </c>
      <c r="J194" s="593">
        <v>0</v>
      </c>
      <c r="K194" s="594">
        <v>5.0199752717999999</v>
      </c>
      <c r="L194" s="595">
        <v>5.9014582999999998</v>
      </c>
      <c r="M194" s="546">
        <f t="shared" si="33"/>
        <v>5.0199752717999999</v>
      </c>
      <c r="N194" s="547">
        <f t="shared" si="33"/>
        <v>5.9014582999999998</v>
      </c>
      <c r="O194" s="903" t="s">
        <v>767</v>
      </c>
      <c r="P194" t="b">
        <f t="shared" si="32"/>
        <v>1</v>
      </c>
    </row>
    <row r="195" spans="1:16" ht="18" customHeight="1">
      <c r="A195" s="561">
        <v>186</v>
      </c>
      <c r="B195" s="587" t="s">
        <v>283</v>
      </c>
      <c r="C195" s="574" t="s">
        <v>555</v>
      </c>
      <c r="D195" s="587" t="s">
        <v>359</v>
      </c>
      <c r="E195" s="588">
        <v>6099550.8362999996</v>
      </c>
      <c r="F195" s="589">
        <v>7235.8855999999996</v>
      </c>
      <c r="G195" s="590">
        <f t="shared" si="28"/>
        <v>6.0995508362999997</v>
      </c>
      <c r="H195" s="591">
        <f t="shared" si="34"/>
        <v>7.2358855999999996</v>
      </c>
      <c r="I195" s="665">
        <v>0</v>
      </c>
      <c r="J195" s="593">
        <v>0</v>
      </c>
      <c r="K195" s="594"/>
      <c r="L195" s="595"/>
      <c r="M195" s="546">
        <f t="shared" si="33"/>
        <v>0</v>
      </c>
      <c r="N195" s="547">
        <f t="shared" si="33"/>
        <v>0</v>
      </c>
      <c r="O195" s="902"/>
      <c r="P195" t="b">
        <f t="shared" si="32"/>
        <v>0</v>
      </c>
    </row>
    <row r="196" spans="1:16" ht="18" customHeight="1" thickBot="1">
      <c r="A196" s="548">
        <v>187</v>
      </c>
      <c r="B196" s="550" t="s">
        <v>283</v>
      </c>
      <c r="C196" s="549" t="s">
        <v>556</v>
      </c>
      <c r="D196" s="550" t="s">
        <v>357</v>
      </c>
      <c r="E196" s="551">
        <v>7700810.0179000003</v>
      </c>
      <c r="F196" s="552">
        <v>10314.069299999999</v>
      </c>
      <c r="G196" s="553">
        <f t="shared" si="28"/>
        <v>7.7008100179000003</v>
      </c>
      <c r="H196" s="554">
        <f t="shared" si="34"/>
        <v>10.3140693</v>
      </c>
      <c r="I196" s="671">
        <v>0</v>
      </c>
      <c r="J196" s="556">
        <v>0</v>
      </c>
      <c r="K196" s="608"/>
      <c r="L196" s="558"/>
      <c r="M196" s="615">
        <f t="shared" si="33"/>
        <v>0</v>
      </c>
      <c r="N196" s="616">
        <f t="shared" si="33"/>
        <v>0</v>
      </c>
      <c r="O196" s="902"/>
      <c r="P196" t="b">
        <f t="shared" si="32"/>
        <v>0</v>
      </c>
    </row>
    <row r="197" spans="1:16" ht="15.6">
      <c r="A197" s="561">
        <v>188</v>
      </c>
      <c r="B197" s="609" t="s">
        <v>284</v>
      </c>
      <c r="C197" s="574" t="s">
        <v>557</v>
      </c>
      <c r="D197" s="609" t="s">
        <v>355</v>
      </c>
      <c r="E197" s="668">
        <v>2572540.5687000002</v>
      </c>
      <c r="F197" s="669">
        <v>4777.1234000000004</v>
      </c>
      <c r="G197" s="578">
        <f t="shared" si="28"/>
        <v>2.5725405687</v>
      </c>
      <c r="H197" s="579">
        <f t="shared" si="34"/>
        <v>4.7771234000000007</v>
      </c>
      <c r="I197" s="670">
        <v>0</v>
      </c>
      <c r="J197" s="581">
        <v>0</v>
      </c>
      <c r="K197" s="582"/>
      <c r="L197" s="583"/>
      <c r="M197" s="610">
        <f t="shared" si="33"/>
        <v>0</v>
      </c>
      <c r="N197" s="611">
        <f t="shared" si="33"/>
        <v>0</v>
      </c>
      <c r="O197" s="902"/>
      <c r="P197" t="b">
        <f t="shared" si="32"/>
        <v>0</v>
      </c>
    </row>
    <row r="198" spans="1:16" ht="18" customHeight="1">
      <c r="A198" s="561">
        <v>189</v>
      </c>
      <c r="B198" s="609" t="s">
        <v>284</v>
      </c>
      <c r="C198" s="574" t="s">
        <v>558</v>
      </c>
      <c r="D198" s="587" t="s">
        <v>410</v>
      </c>
      <c r="E198" s="666">
        <v>5019975.2718000002</v>
      </c>
      <c r="F198" s="667">
        <v>5901.4583000000002</v>
      </c>
      <c r="G198" s="590">
        <f t="shared" si="28"/>
        <v>5.0199752717999999</v>
      </c>
      <c r="H198" s="591">
        <f t="shared" si="34"/>
        <v>5.9014582999999998</v>
      </c>
      <c r="I198" s="665">
        <v>0</v>
      </c>
      <c r="J198" s="593">
        <v>0</v>
      </c>
      <c r="K198" s="594">
        <v>5.0199752717999999</v>
      </c>
      <c r="L198" s="595">
        <v>5.9014582999999998</v>
      </c>
      <c r="M198" s="546">
        <f t="shared" si="33"/>
        <v>5.0199752717999999</v>
      </c>
      <c r="N198" s="547">
        <f t="shared" si="33"/>
        <v>5.9014582999999998</v>
      </c>
      <c r="O198" s="903" t="s">
        <v>767</v>
      </c>
      <c r="P198" t="b">
        <f t="shared" si="32"/>
        <v>1</v>
      </c>
    </row>
    <row r="199" spans="1:16" ht="18" customHeight="1">
      <c r="A199" s="535">
        <v>190</v>
      </c>
      <c r="B199" s="609" t="s">
        <v>284</v>
      </c>
      <c r="C199" s="574" t="s">
        <v>559</v>
      </c>
      <c r="D199" s="587" t="s">
        <v>359</v>
      </c>
      <c r="E199" s="588">
        <v>6099550.8362999996</v>
      </c>
      <c r="F199" s="589">
        <v>7235.8855999999996</v>
      </c>
      <c r="G199" s="590">
        <f t="shared" si="28"/>
        <v>6.0995508362999997</v>
      </c>
      <c r="H199" s="591">
        <f t="shared" si="34"/>
        <v>7.2358855999999996</v>
      </c>
      <c r="I199" s="665">
        <v>0</v>
      </c>
      <c r="J199" s="593">
        <v>0</v>
      </c>
      <c r="K199" s="594"/>
      <c r="L199" s="595"/>
      <c r="M199" s="546">
        <f t="shared" si="33"/>
        <v>0</v>
      </c>
      <c r="N199" s="547">
        <f t="shared" si="33"/>
        <v>0</v>
      </c>
      <c r="O199" s="902"/>
      <c r="P199" t="b">
        <f t="shared" si="32"/>
        <v>0</v>
      </c>
    </row>
    <row r="200" spans="1:16" ht="18" customHeight="1" thickBot="1">
      <c r="A200" s="548">
        <v>191</v>
      </c>
      <c r="B200" s="550" t="s">
        <v>284</v>
      </c>
      <c r="C200" s="549" t="s">
        <v>560</v>
      </c>
      <c r="D200" s="550" t="s">
        <v>357</v>
      </c>
      <c r="E200" s="551">
        <v>7700810.0179000003</v>
      </c>
      <c r="F200" s="552">
        <v>10314.069299999999</v>
      </c>
      <c r="G200" s="553">
        <f t="shared" si="28"/>
        <v>7.7008100179000003</v>
      </c>
      <c r="H200" s="554">
        <f t="shared" si="34"/>
        <v>10.3140693</v>
      </c>
      <c r="I200" s="671">
        <v>0</v>
      </c>
      <c r="J200" s="556">
        <v>0</v>
      </c>
      <c r="K200" s="608"/>
      <c r="L200" s="558"/>
      <c r="M200" s="615">
        <f t="shared" si="33"/>
        <v>0</v>
      </c>
      <c r="N200" s="616">
        <f t="shared" si="33"/>
        <v>0</v>
      </c>
      <c r="O200" s="902"/>
      <c r="P200" t="b">
        <f t="shared" si="32"/>
        <v>0</v>
      </c>
    </row>
    <row r="201" spans="1:16" ht="15.6">
      <c r="A201" s="561">
        <v>192</v>
      </c>
      <c r="B201" s="609" t="s">
        <v>285</v>
      </c>
      <c r="C201" s="574" t="s">
        <v>561</v>
      </c>
      <c r="D201" s="609" t="s">
        <v>355</v>
      </c>
      <c r="E201" s="668">
        <v>2572540.5687000002</v>
      </c>
      <c r="F201" s="669">
        <v>4777.1234000000004</v>
      </c>
      <c r="G201" s="578">
        <f t="shared" si="28"/>
        <v>2.5725405687</v>
      </c>
      <c r="H201" s="579">
        <f t="shared" si="34"/>
        <v>4.7771234000000007</v>
      </c>
      <c r="I201" s="670">
        <v>0</v>
      </c>
      <c r="J201" s="581">
        <v>0</v>
      </c>
      <c r="K201" s="582"/>
      <c r="L201" s="583"/>
      <c r="M201" s="610">
        <f t="shared" si="33"/>
        <v>0</v>
      </c>
      <c r="N201" s="611">
        <f t="shared" si="33"/>
        <v>0</v>
      </c>
      <c r="O201" s="902"/>
      <c r="P201" t="b">
        <f t="shared" si="32"/>
        <v>0</v>
      </c>
    </row>
    <row r="202" spans="1:16" ht="18" customHeight="1">
      <c r="A202" s="535">
        <v>193</v>
      </c>
      <c r="B202" s="587" t="s">
        <v>285</v>
      </c>
      <c r="C202" s="574" t="s">
        <v>562</v>
      </c>
      <c r="D202" s="587" t="s">
        <v>410</v>
      </c>
      <c r="E202" s="666">
        <v>5019975.2718000002</v>
      </c>
      <c r="F202" s="667">
        <v>5901.4583000000002</v>
      </c>
      <c r="G202" s="590">
        <f t="shared" si="28"/>
        <v>5.0199752717999999</v>
      </c>
      <c r="H202" s="591">
        <f t="shared" si="34"/>
        <v>5.9014582999999998</v>
      </c>
      <c r="I202" s="665">
        <v>0</v>
      </c>
      <c r="J202" s="593">
        <v>0</v>
      </c>
      <c r="K202" s="594">
        <v>5.0199752717999999</v>
      </c>
      <c r="L202" s="595">
        <v>5.9014582999999998</v>
      </c>
      <c r="M202" s="546">
        <f t="shared" si="33"/>
        <v>5.0199752717999999</v>
      </c>
      <c r="N202" s="547">
        <f t="shared" si="33"/>
        <v>5.9014582999999998</v>
      </c>
      <c r="O202" s="903" t="s">
        <v>767</v>
      </c>
      <c r="P202" t="b">
        <f t="shared" si="32"/>
        <v>1</v>
      </c>
    </row>
    <row r="203" spans="1:16" ht="18" customHeight="1">
      <c r="A203" s="535">
        <v>194</v>
      </c>
      <c r="B203" s="587" t="s">
        <v>285</v>
      </c>
      <c r="C203" s="574" t="s">
        <v>563</v>
      </c>
      <c r="D203" s="587" t="s">
        <v>359</v>
      </c>
      <c r="E203" s="588">
        <v>6099550.8362999996</v>
      </c>
      <c r="F203" s="589">
        <v>7235.8855999999996</v>
      </c>
      <c r="G203" s="590">
        <f t="shared" si="28"/>
        <v>6.0995508362999997</v>
      </c>
      <c r="H203" s="591">
        <f t="shared" si="34"/>
        <v>7.2358855999999996</v>
      </c>
      <c r="I203" s="665">
        <v>0</v>
      </c>
      <c r="J203" s="593">
        <v>0</v>
      </c>
      <c r="K203" s="594"/>
      <c r="L203" s="595"/>
      <c r="M203" s="546">
        <f t="shared" si="33"/>
        <v>0</v>
      </c>
      <c r="N203" s="547">
        <f t="shared" si="33"/>
        <v>0</v>
      </c>
      <c r="O203" s="902"/>
      <c r="P203" t="b">
        <f t="shared" si="32"/>
        <v>0</v>
      </c>
    </row>
    <row r="204" spans="1:16" ht="18" customHeight="1" thickBot="1">
      <c r="A204" s="548">
        <v>195</v>
      </c>
      <c r="B204" s="550" t="s">
        <v>285</v>
      </c>
      <c r="C204" s="549" t="s">
        <v>564</v>
      </c>
      <c r="D204" s="550" t="s">
        <v>357</v>
      </c>
      <c r="E204" s="551">
        <v>7700810.0179000003</v>
      </c>
      <c r="F204" s="552">
        <v>10314.069299999999</v>
      </c>
      <c r="G204" s="553">
        <f t="shared" si="28"/>
        <v>7.7008100179000003</v>
      </c>
      <c r="H204" s="554">
        <f t="shared" si="34"/>
        <v>10.3140693</v>
      </c>
      <c r="I204" s="671">
        <v>0</v>
      </c>
      <c r="J204" s="556">
        <v>0</v>
      </c>
      <c r="K204" s="608"/>
      <c r="L204" s="558"/>
      <c r="M204" s="615">
        <f t="shared" ref="M204:N227" si="35">K204+I204</f>
        <v>0</v>
      </c>
      <c r="N204" s="616">
        <f t="shared" si="35"/>
        <v>0</v>
      </c>
      <c r="O204" s="902"/>
      <c r="P204" t="b">
        <f t="shared" si="32"/>
        <v>0</v>
      </c>
    </row>
    <row r="205" spans="1:16" ht="15.6">
      <c r="A205" s="561">
        <v>196</v>
      </c>
      <c r="B205" s="609" t="s">
        <v>286</v>
      </c>
      <c r="C205" s="574" t="s">
        <v>565</v>
      </c>
      <c r="D205" s="609" t="s">
        <v>355</v>
      </c>
      <c r="E205" s="668">
        <v>2572540.5687000002</v>
      </c>
      <c r="F205" s="669">
        <v>4777.1234000000004</v>
      </c>
      <c r="G205" s="578">
        <f t="shared" si="28"/>
        <v>2.5725405687</v>
      </c>
      <c r="H205" s="579">
        <f t="shared" si="34"/>
        <v>4.7771234000000007</v>
      </c>
      <c r="I205" s="670">
        <v>0</v>
      </c>
      <c r="J205" s="581">
        <v>0</v>
      </c>
      <c r="K205" s="570"/>
      <c r="L205" s="571"/>
      <c r="M205" s="610">
        <f t="shared" si="35"/>
        <v>0</v>
      </c>
      <c r="N205" s="611">
        <f t="shared" si="35"/>
        <v>0</v>
      </c>
      <c r="O205" s="902"/>
      <c r="P205" t="b">
        <f t="shared" si="32"/>
        <v>0</v>
      </c>
    </row>
    <row r="206" spans="1:16" ht="18" customHeight="1">
      <c r="A206" s="535">
        <v>197</v>
      </c>
      <c r="B206" s="587" t="s">
        <v>286</v>
      </c>
      <c r="C206" s="574" t="s">
        <v>566</v>
      </c>
      <c r="D206" s="587" t="s">
        <v>410</v>
      </c>
      <c r="E206" s="666">
        <v>5019975.2718000002</v>
      </c>
      <c r="F206" s="667">
        <v>5901.4583000000002</v>
      </c>
      <c r="G206" s="590">
        <f t="shared" si="28"/>
        <v>5.0199752717999999</v>
      </c>
      <c r="H206" s="591">
        <f t="shared" si="34"/>
        <v>5.9014582999999998</v>
      </c>
      <c r="I206" s="665">
        <v>0</v>
      </c>
      <c r="J206" s="593">
        <v>0</v>
      </c>
      <c r="K206" s="594">
        <v>5.0199752717999999</v>
      </c>
      <c r="L206" s="595">
        <v>5.9014582999999998</v>
      </c>
      <c r="M206" s="546">
        <f t="shared" si="35"/>
        <v>5.0199752717999999</v>
      </c>
      <c r="N206" s="547">
        <f t="shared" si="35"/>
        <v>5.9014582999999998</v>
      </c>
      <c r="O206" s="903" t="s">
        <v>767</v>
      </c>
      <c r="P206" t="b">
        <f t="shared" si="32"/>
        <v>1</v>
      </c>
    </row>
    <row r="207" spans="1:16" ht="15.6">
      <c r="A207" s="561">
        <v>198</v>
      </c>
      <c r="B207" s="587" t="s">
        <v>286</v>
      </c>
      <c r="C207" s="574" t="s">
        <v>567</v>
      </c>
      <c r="D207" s="587" t="s">
        <v>359</v>
      </c>
      <c r="E207" s="588">
        <v>6099550.8362999996</v>
      </c>
      <c r="F207" s="589">
        <v>7235.8855999999996</v>
      </c>
      <c r="G207" s="590">
        <f t="shared" si="28"/>
        <v>6.0995508362999997</v>
      </c>
      <c r="H207" s="591">
        <f t="shared" si="34"/>
        <v>7.2358855999999996</v>
      </c>
      <c r="I207" s="592">
        <v>0</v>
      </c>
      <c r="J207" s="593">
        <v>0</v>
      </c>
      <c r="K207" s="594"/>
      <c r="L207" s="595"/>
      <c r="M207" s="546">
        <f t="shared" si="35"/>
        <v>0</v>
      </c>
      <c r="N207" s="547">
        <f t="shared" si="35"/>
        <v>0</v>
      </c>
      <c r="O207" s="902"/>
      <c r="P207" t="b">
        <f t="shared" si="32"/>
        <v>0</v>
      </c>
    </row>
    <row r="208" spans="1:16" ht="16.2" thickBot="1">
      <c r="A208" s="548">
        <v>199</v>
      </c>
      <c r="B208" s="550" t="s">
        <v>286</v>
      </c>
      <c r="C208" s="549" t="s">
        <v>568</v>
      </c>
      <c r="D208" s="550" t="s">
        <v>357</v>
      </c>
      <c r="E208" s="551">
        <v>7700810.0179000003</v>
      </c>
      <c r="F208" s="552">
        <v>10314.069299999999</v>
      </c>
      <c r="G208" s="553">
        <f t="shared" si="28"/>
        <v>7.7008100179000003</v>
      </c>
      <c r="H208" s="554">
        <f t="shared" si="34"/>
        <v>10.3140693</v>
      </c>
      <c r="I208" s="555">
        <v>0</v>
      </c>
      <c r="J208" s="556">
        <v>0</v>
      </c>
      <c r="K208" s="608"/>
      <c r="L208" s="558"/>
      <c r="M208" s="615">
        <f t="shared" si="35"/>
        <v>0</v>
      </c>
      <c r="N208" s="616">
        <f t="shared" si="35"/>
        <v>0</v>
      </c>
      <c r="O208" s="902"/>
      <c r="P208" t="b">
        <f t="shared" si="32"/>
        <v>0</v>
      </c>
    </row>
    <row r="209" spans="1:16" ht="15.6">
      <c r="A209" s="561">
        <v>200</v>
      </c>
      <c r="B209" s="587" t="s">
        <v>569</v>
      </c>
      <c r="C209" s="574" t="s">
        <v>570</v>
      </c>
      <c r="D209" s="609" t="s">
        <v>355</v>
      </c>
      <c r="E209" s="668">
        <v>3356141.2154999999</v>
      </c>
      <c r="F209" s="669">
        <v>6402.3858</v>
      </c>
      <c r="G209" s="578">
        <f t="shared" si="28"/>
        <v>3.3561412155000001</v>
      </c>
      <c r="H209" s="579">
        <f t="shared" si="34"/>
        <v>6.4023858000000002</v>
      </c>
      <c r="I209" s="670">
        <v>0</v>
      </c>
      <c r="J209" s="581">
        <v>0</v>
      </c>
      <c r="K209" s="582"/>
      <c r="L209" s="583"/>
      <c r="M209" s="610">
        <f t="shared" si="35"/>
        <v>0</v>
      </c>
      <c r="N209" s="611">
        <f t="shared" si="35"/>
        <v>0</v>
      </c>
      <c r="O209" s="902"/>
      <c r="P209" t="b">
        <f t="shared" si="32"/>
        <v>0</v>
      </c>
    </row>
    <row r="210" spans="1:16" ht="15.6">
      <c r="A210" s="561">
        <v>201</v>
      </c>
      <c r="B210" s="587" t="s">
        <v>569</v>
      </c>
      <c r="C210" s="586" t="s">
        <v>571</v>
      </c>
      <c r="D210" s="587" t="s">
        <v>410</v>
      </c>
      <c r="E210" s="666">
        <v>5019875.13</v>
      </c>
      <c r="F210" s="667">
        <v>5901.4583000000002</v>
      </c>
      <c r="G210" s="590">
        <f t="shared" si="28"/>
        <v>5.01987513</v>
      </c>
      <c r="H210" s="591">
        <f t="shared" si="34"/>
        <v>5.9014582999999998</v>
      </c>
      <c r="I210" s="665">
        <v>0</v>
      </c>
      <c r="J210" s="593">
        <v>0</v>
      </c>
      <c r="K210" s="594"/>
      <c r="L210" s="595"/>
      <c r="M210" s="546">
        <f t="shared" si="35"/>
        <v>0</v>
      </c>
      <c r="N210" s="547">
        <f t="shared" si="35"/>
        <v>0</v>
      </c>
      <c r="O210" s="902"/>
      <c r="P210" t="b">
        <f t="shared" si="32"/>
        <v>0</v>
      </c>
    </row>
    <row r="211" spans="1:16" ht="15.6">
      <c r="A211" s="535">
        <v>202</v>
      </c>
      <c r="B211" s="587" t="s">
        <v>569</v>
      </c>
      <c r="C211" s="586" t="s">
        <v>572</v>
      </c>
      <c r="D211" s="587" t="s">
        <v>357</v>
      </c>
      <c r="E211" s="666">
        <v>6121141.5900999997</v>
      </c>
      <c r="F211" s="667">
        <v>5289.4525000000003</v>
      </c>
      <c r="G211" s="590">
        <f t="shared" si="28"/>
        <v>6.1211415900999997</v>
      </c>
      <c r="H211" s="591">
        <f t="shared" si="34"/>
        <v>5.2894525000000003</v>
      </c>
      <c r="I211" s="665">
        <v>0</v>
      </c>
      <c r="J211" s="593">
        <v>0</v>
      </c>
      <c r="K211" s="594"/>
      <c r="L211" s="595"/>
      <c r="M211" s="546">
        <f t="shared" si="35"/>
        <v>0</v>
      </c>
      <c r="N211" s="547">
        <f t="shared" si="35"/>
        <v>0</v>
      </c>
      <c r="O211" s="902"/>
      <c r="P211" t="b">
        <f t="shared" si="32"/>
        <v>0</v>
      </c>
    </row>
    <row r="212" spans="1:16" ht="15.6">
      <c r="A212" s="535">
        <v>203</v>
      </c>
      <c r="B212" s="587" t="s">
        <v>569</v>
      </c>
      <c r="C212" s="586" t="s">
        <v>573</v>
      </c>
      <c r="D212" s="587" t="s">
        <v>429</v>
      </c>
      <c r="E212" s="666">
        <v>6132502.1845000004</v>
      </c>
      <c r="F212" s="667">
        <v>6360.4829</v>
      </c>
      <c r="G212" s="590">
        <f t="shared" si="28"/>
        <v>6.1325021845000007</v>
      </c>
      <c r="H212" s="591">
        <f t="shared" si="34"/>
        <v>6.3604829000000001</v>
      </c>
      <c r="I212" s="665">
        <v>0</v>
      </c>
      <c r="J212" s="593">
        <v>0</v>
      </c>
      <c r="K212" s="594"/>
      <c r="L212" s="595"/>
      <c r="M212" s="546">
        <f t="shared" si="35"/>
        <v>0</v>
      </c>
      <c r="N212" s="547">
        <f t="shared" si="35"/>
        <v>0</v>
      </c>
      <c r="O212" s="902"/>
      <c r="P212" t="b">
        <f t="shared" si="32"/>
        <v>0</v>
      </c>
    </row>
    <row r="213" spans="1:16" ht="15.6">
      <c r="A213" s="561">
        <v>204</v>
      </c>
      <c r="B213" s="587" t="s">
        <v>569</v>
      </c>
      <c r="C213" s="586" t="s">
        <v>574</v>
      </c>
      <c r="D213" s="587" t="s">
        <v>575</v>
      </c>
      <c r="E213" s="666">
        <v>68180120.145999998</v>
      </c>
      <c r="F213" s="667">
        <v>40000.210700000003</v>
      </c>
      <c r="G213" s="590">
        <f t="shared" si="28"/>
        <v>68.180120145999993</v>
      </c>
      <c r="H213" s="591">
        <f t="shared" si="34"/>
        <v>40.000210700000004</v>
      </c>
      <c r="I213" s="665">
        <v>0</v>
      </c>
      <c r="J213" s="593">
        <v>0</v>
      </c>
      <c r="K213" s="594"/>
      <c r="L213" s="595"/>
      <c r="M213" s="546">
        <f t="shared" si="35"/>
        <v>0</v>
      </c>
      <c r="N213" s="547">
        <f t="shared" si="35"/>
        <v>0</v>
      </c>
      <c r="O213" s="902"/>
      <c r="P213" t="b">
        <f t="shared" si="32"/>
        <v>0</v>
      </c>
    </row>
    <row r="214" spans="1:16" ht="15.6">
      <c r="A214" s="535">
        <v>205</v>
      </c>
      <c r="B214" s="587" t="s">
        <v>569</v>
      </c>
      <c r="C214" s="586" t="s">
        <v>576</v>
      </c>
      <c r="D214" s="587" t="s">
        <v>577</v>
      </c>
      <c r="E214" s="666">
        <v>89719295.299999997</v>
      </c>
      <c r="F214" s="667">
        <v>46969.992100000003</v>
      </c>
      <c r="G214" s="590">
        <f t="shared" si="28"/>
        <v>89.719295299999999</v>
      </c>
      <c r="H214" s="591">
        <f t="shared" si="34"/>
        <v>46.969992100000006</v>
      </c>
      <c r="I214" s="665">
        <v>0</v>
      </c>
      <c r="J214" s="593">
        <v>0</v>
      </c>
      <c r="K214" s="594">
        <v>89.719295299999999</v>
      </c>
      <c r="L214" s="595">
        <v>46.969992100000006</v>
      </c>
      <c r="M214" s="546">
        <f t="shared" si="35"/>
        <v>89.719295299999999</v>
      </c>
      <c r="N214" s="547">
        <f t="shared" si="35"/>
        <v>46.969992100000006</v>
      </c>
      <c r="O214" s="903" t="s">
        <v>769</v>
      </c>
      <c r="P214" t="b">
        <f t="shared" si="32"/>
        <v>1</v>
      </c>
    </row>
    <row r="215" spans="1:16" ht="15.6">
      <c r="A215" s="535">
        <v>206</v>
      </c>
      <c r="B215" s="587" t="s">
        <v>569</v>
      </c>
      <c r="C215" s="586" t="s">
        <v>578</v>
      </c>
      <c r="D215" s="587" t="s">
        <v>579</v>
      </c>
      <c r="E215" s="666">
        <v>48003934.935500003</v>
      </c>
      <c r="F215" s="667">
        <v>51172.501199999999</v>
      </c>
      <c r="G215" s="590">
        <f t="shared" si="28"/>
        <v>48.003934935500006</v>
      </c>
      <c r="H215" s="591">
        <f t="shared" si="34"/>
        <v>51.172501199999999</v>
      </c>
      <c r="I215" s="665">
        <v>0</v>
      </c>
      <c r="J215" s="593">
        <v>0</v>
      </c>
      <c r="K215" s="594">
        <v>48.003934935500006</v>
      </c>
      <c r="L215" s="595">
        <v>51.172501199999999</v>
      </c>
      <c r="M215" s="546">
        <f t="shared" si="35"/>
        <v>48.003934935500006</v>
      </c>
      <c r="N215" s="547">
        <f t="shared" si="35"/>
        <v>51.172501199999999</v>
      </c>
      <c r="O215" s="903" t="s">
        <v>770</v>
      </c>
      <c r="P215" t="b">
        <f t="shared" si="32"/>
        <v>1</v>
      </c>
    </row>
    <row r="216" spans="1:16" ht="15.6">
      <c r="A216" s="561">
        <v>207</v>
      </c>
      <c r="B216" s="587" t="s">
        <v>569</v>
      </c>
      <c r="C216" s="586"/>
      <c r="D216" s="587" t="s">
        <v>580</v>
      </c>
      <c r="E216" s="666">
        <v>15347181.1251</v>
      </c>
      <c r="F216" s="667">
        <v>14595.2376</v>
      </c>
      <c r="G216" s="590">
        <f t="shared" si="28"/>
        <v>15.347181125100001</v>
      </c>
      <c r="H216" s="591">
        <f t="shared" si="34"/>
        <v>14.595237600000001</v>
      </c>
      <c r="I216" s="665">
        <v>0</v>
      </c>
      <c r="J216" s="593">
        <v>0</v>
      </c>
      <c r="K216" s="594"/>
      <c r="L216" s="595"/>
      <c r="M216" s="546">
        <f t="shared" si="35"/>
        <v>0</v>
      </c>
      <c r="N216" s="547">
        <f t="shared" si="35"/>
        <v>0</v>
      </c>
      <c r="O216" s="902"/>
      <c r="P216" t="b">
        <f t="shared" si="32"/>
        <v>0</v>
      </c>
    </row>
    <row r="217" spans="1:16" ht="15.6">
      <c r="A217" s="535">
        <v>208</v>
      </c>
      <c r="B217" s="587" t="s">
        <v>569</v>
      </c>
      <c r="C217" s="586" t="s">
        <v>581</v>
      </c>
      <c r="D217" s="587" t="s">
        <v>582</v>
      </c>
      <c r="E217" s="666">
        <v>9487485.7665999997</v>
      </c>
      <c r="F217" s="667">
        <v>11404.170400000001</v>
      </c>
      <c r="G217" s="590">
        <f t="shared" si="28"/>
        <v>9.487485766599999</v>
      </c>
      <c r="H217" s="591">
        <f t="shared" si="34"/>
        <v>11.404170400000002</v>
      </c>
      <c r="I217" s="665">
        <v>0</v>
      </c>
      <c r="J217" s="593">
        <v>0</v>
      </c>
      <c r="K217" s="594"/>
      <c r="L217" s="595"/>
      <c r="M217" s="546">
        <f t="shared" si="35"/>
        <v>0</v>
      </c>
      <c r="N217" s="547">
        <f t="shared" si="35"/>
        <v>0</v>
      </c>
      <c r="O217" s="902"/>
      <c r="P217" t="b">
        <f t="shared" si="32"/>
        <v>0</v>
      </c>
    </row>
    <row r="218" spans="1:16" ht="16.2" thickBot="1">
      <c r="A218" s="548">
        <v>209</v>
      </c>
      <c r="B218" s="550" t="s">
        <v>569</v>
      </c>
      <c r="C218" s="549" t="s">
        <v>583</v>
      </c>
      <c r="D218" s="550" t="s">
        <v>514</v>
      </c>
      <c r="E218" s="672">
        <v>415560574.9206</v>
      </c>
      <c r="F218" s="673">
        <v>142870.02799999999</v>
      </c>
      <c r="G218" s="553">
        <f t="shared" si="28"/>
        <v>415.5605749206</v>
      </c>
      <c r="H218" s="554">
        <f t="shared" si="34"/>
        <v>142.87002799999999</v>
      </c>
      <c r="I218" s="671">
        <v>0</v>
      </c>
      <c r="J218" s="556">
        <v>0</v>
      </c>
      <c r="K218" s="608"/>
      <c r="L218" s="558"/>
      <c r="M218" s="615">
        <f t="shared" si="35"/>
        <v>0</v>
      </c>
      <c r="N218" s="616">
        <f t="shared" si="35"/>
        <v>0</v>
      </c>
      <c r="O218" s="902"/>
      <c r="P218" t="b">
        <f t="shared" ref="P218:P282" si="36">H218=N218</f>
        <v>0</v>
      </c>
    </row>
    <row r="219" spans="1:16" ht="31.2">
      <c r="A219" s="561">
        <v>210</v>
      </c>
      <c r="B219" s="609" t="s">
        <v>584</v>
      </c>
      <c r="C219" s="574" t="s">
        <v>585</v>
      </c>
      <c r="D219" s="609" t="s">
        <v>410</v>
      </c>
      <c r="E219" s="668">
        <v>5576693.6720000003</v>
      </c>
      <c r="F219" s="669">
        <v>6401.9794000000002</v>
      </c>
      <c r="G219" s="578">
        <f t="shared" si="28"/>
        <v>5.5766936720000002</v>
      </c>
      <c r="H219" s="579">
        <f t="shared" si="34"/>
        <v>6.4019794000000001</v>
      </c>
      <c r="I219" s="670">
        <v>0</v>
      </c>
      <c r="J219" s="581">
        <v>0</v>
      </c>
      <c r="K219" s="582"/>
      <c r="L219" s="583"/>
      <c r="M219" s="610">
        <f t="shared" si="35"/>
        <v>0</v>
      </c>
      <c r="N219" s="611">
        <f t="shared" si="35"/>
        <v>0</v>
      </c>
      <c r="O219" s="902"/>
      <c r="P219" t="b">
        <f t="shared" si="36"/>
        <v>0</v>
      </c>
    </row>
    <row r="220" spans="1:16" ht="31.2">
      <c r="A220" s="535">
        <v>211</v>
      </c>
      <c r="B220" s="587" t="s">
        <v>584</v>
      </c>
      <c r="C220" s="586" t="s">
        <v>586</v>
      </c>
      <c r="D220" s="587" t="s">
        <v>357</v>
      </c>
      <c r="E220" s="666">
        <v>11336466.8815</v>
      </c>
      <c r="F220" s="667">
        <v>13040.0005</v>
      </c>
      <c r="G220" s="590">
        <f t="shared" si="28"/>
        <v>11.3364668815</v>
      </c>
      <c r="H220" s="591">
        <f t="shared" si="34"/>
        <v>13.0400005</v>
      </c>
      <c r="I220" s="665">
        <v>0</v>
      </c>
      <c r="J220" s="593">
        <v>0</v>
      </c>
      <c r="K220" s="594"/>
      <c r="L220" s="595"/>
      <c r="M220" s="546">
        <f t="shared" si="35"/>
        <v>0</v>
      </c>
      <c r="N220" s="547">
        <f t="shared" si="35"/>
        <v>0</v>
      </c>
      <c r="O220" s="902"/>
      <c r="P220" t="b">
        <f t="shared" si="36"/>
        <v>0</v>
      </c>
    </row>
    <row r="221" spans="1:16" ht="31.2">
      <c r="A221" s="535">
        <v>212</v>
      </c>
      <c r="B221" s="587" t="s">
        <v>584</v>
      </c>
      <c r="C221" s="586"/>
      <c r="D221" s="587" t="s">
        <v>587</v>
      </c>
      <c r="E221" s="666">
        <v>6290048.9183</v>
      </c>
      <c r="F221" s="667">
        <v>6793.5835999999999</v>
      </c>
      <c r="G221" s="590">
        <f t="shared" si="28"/>
        <v>6.2900489183000001</v>
      </c>
      <c r="H221" s="591">
        <f t="shared" si="34"/>
        <v>6.7935835999999998</v>
      </c>
      <c r="I221" s="665"/>
      <c r="J221" s="593"/>
      <c r="K221" s="594"/>
      <c r="L221" s="595"/>
      <c r="M221" s="546"/>
      <c r="N221" s="547"/>
      <c r="O221" s="902"/>
      <c r="P221" t="b">
        <f t="shared" si="36"/>
        <v>0</v>
      </c>
    </row>
    <row r="222" spans="1:16" ht="31.8" thickBot="1">
      <c r="A222" s="548">
        <v>213</v>
      </c>
      <c r="B222" s="550" t="s">
        <v>584</v>
      </c>
      <c r="C222" s="549" t="s">
        <v>588</v>
      </c>
      <c r="D222" s="550" t="s">
        <v>582</v>
      </c>
      <c r="E222" s="672">
        <v>5803975.5082999999</v>
      </c>
      <c r="F222" s="673">
        <v>10308.8837</v>
      </c>
      <c r="G222" s="553">
        <f>E222/1000000</f>
        <v>5.8039755082999998</v>
      </c>
      <c r="H222" s="554">
        <f t="shared" si="34"/>
        <v>10.308883700000001</v>
      </c>
      <c r="I222" s="671">
        <v>0</v>
      </c>
      <c r="J222" s="556">
        <v>0</v>
      </c>
      <c r="K222" s="608"/>
      <c r="L222" s="558"/>
      <c r="M222" s="615">
        <f t="shared" si="35"/>
        <v>0</v>
      </c>
      <c r="N222" s="616">
        <f t="shared" si="35"/>
        <v>0</v>
      </c>
      <c r="O222" s="902"/>
      <c r="P222" t="b">
        <f t="shared" si="36"/>
        <v>0</v>
      </c>
    </row>
    <row r="223" spans="1:16" ht="31.8" thickBot="1">
      <c r="A223" s="680">
        <v>214</v>
      </c>
      <c r="B223" s="681" t="s">
        <v>589</v>
      </c>
      <c r="C223" s="682" t="s">
        <v>590</v>
      </c>
      <c r="D223" s="681" t="s">
        <v>591</v>
      </c>
      <c r="E223" s="683">
        <v>31560521.177999999</v>
      </c>
      <c r="F223" s="684">
        <v>22232.1</v>
      </c>
      <c r="G223" s="685">
        <f t="shared" si="28"/>
        <v>31.560521177999998</v>
      </c>
      <c r="H223" s="686">
        <f t="shared" si="34"/>
        <v>22.232099999999999</v>
      </c>
      <c r="I223" s="687">
        <v>0</v>
      </c>
      <c r="J223" s="688">
        <v>0</v>
      </c>
      <c r="K223" s="689"/>
      <c r="L223" s="690"/>
      <c r="M223" s="615">
        <f t="shared" si="35"/>
        <v>0</v>
      </c>
      <c r="N223" s="616">
        <f t="shared" si="35"/>
        <v>0</v>
      </c>
      <c r="O223" s="902"/>
      <c r="P223" t="b">
        <f t="shared" si="36"/>
        <v>0</v>
      </c>
    </row>
    <row r="224" spans="1:16" ht="15.6">
      <c r="A224" s="561">
        <v>215</v>
      </c>
      <c r="B224" s="609" t="s">
        <v>592</v>
      </c>
      <c r="C224" s="691" t="s">
        <v>593</v>
      </c>
      <c r="D224" s="609" t="s">
        <v>594</v>
      </c>
      <c r="E224" s="668">
        <v>12874987.360099999</v>
      </c>
      <c r="F224" s="669">
        <v>15299.9967</v>
      </c>
      <c r="G224" s="578">
        <f t="shared" si="28"/>
        <v>12.874987360099999</v>
      </c>
      <c r="H224" s="579">
        <f t="shared" si="34"/>
        <v>15.299996699999999</v>
      </c>
      <c r="I224" s="670">
        <v>0</v>
      </c>
      <c r="J224" s="581">
        <v>0</v>
      </c>
      <c r="K224" s="582"/>
      <c r="L224" s="583"/>
      <c r="M224" s="610">
        <f t="shared" si="35"/>
        <v>0</v>
      </c>
      <c r="N224" s="611">
        <f t="shared" si="35"/>
        <v>0</v>
      </c>
      <c r="O224" s="902"/>
      <c r="P224" t="b">
        <f t="shared" si="36"/>
        <v>0</v>
      </c>
    </row>
    <row r="225" spans="1:16" ht="15.6">
      <c r="A225" s="561">
        <v>216</v>
      </c>
      <c r="B225" s="587" t="s">
        <v>592</v>
      </c>
      <c r="C225" s="612" t="s">
        <v>595</v>
      </c>
      <c r="D225" s="587" t="s">
        <v>594</v>
      </c>
      <c r="E225" s="666">
        <v>11115134.8015</v>
      </c>
      <c r="F225" s="667">
        <v>15300.0509</v>
      </c>
      <c r="G225" s="590">
        <f t="shared" si="28"/>
        <v>11.1151348015</v>
      </c>
      <c r="H225" s="591">
        <f t="shared" si="34"/>
        <v>15.3000509</v>
      </c>
      <c r="I225" s="665">
        <v>0</v>
      </c>
      <c r="J225" s="593">
        <v>0</v>
      </c>
      <c r="K225" s="594"/>
      <c r="L225" s="595"/>
      <c r="M225" s="546">
        <f t="shared" si="35"/>
        <v>0</v>
      </c>
      <c r="N225" s="547">
        <f t="shared" si="35"/>
        <v>0</v>
      </c>
      <c r="O225" s="902"/>
      <c r="P225" t="b">
        <f t="shared" si="36"/>
        <v>0</v>
      </c>
    </row>
    <row r="226" spans="1:16" ht="15.6">
      <c r="A226" s="535">
        <v>217</v>
      </c>
      <c r="B226" s="587" t="s">
        <v>592</v>
      </c>
      <c r="C226" s="612" t="s">
        <v>596</v>
      </c>
      <c r="D226" s="587" t="s">
        <v>594</v>
      </c>
      <c r="E226" s="666">
        <v>66219926.065200001</v>
      </c>
      <c r="F226" s="667">
        <v>32599.980800000001</v>
      </c>
      <c r="G226" s="590">
        <f t="shared" si="28"/>
        <v>66.219926065199999</v>
      </c>
      <c r="H226" s="591">
        <f t="shared" si="34"/>
        <v>32.599980800000004</v>
      </c>
      <c r="I226" s="665">
        <v>0</v>
      </c>
      <c r="J226" s="593">
        <v>0</v>
      </c>
      <c r="K226" s="594"/>
      <c r="L226" s="595"/>
      <c r="M226" s="546">
        <f t="shared" si="35"/>
        <v>0</v>
      </c>
      <c r="N226" s="547">
        <f t="shared" si="35"/>
        <v>0</v>
      </c>
      <c r="O226" s="902"/>
      <c r="P226" t="b">
        <f t="shared" si="36"/>
        <v>0</v>
      </c>
    </row>
    <row r="227" spans="1:16" ht="16.2" thickBot="1">
      <c r="A227" s="535">
        <v>218</v>
      </c>
      <c r="B227" s="550" t="s">
        <v>597</v>
      </c>
      <c r="C227" s="692" t="s">
        <v>596</v>
      </c>
      <c r="D227" s="550" t="s">
        <v>591</v>
      </c>
      <c r="E227" s="672">
        <v>44478379.379799999</v>
      </c>
      <c r="F227" s="673">
        <v>26188.205399999999</v>
      </c>
      <c r="G227" s="553">
        <f t="shared" si="28"/>
        <v>44.478379379799996</v>
      </c>
      <c r="H227" s="554">
        <f t="shared" si="34"/>
        <v>26.188205399999998</v>
      </c>
      <c r="I227" s="671">
        <v>0</v>
      </c>
      <c r="J227" s="556">
        <v>0</v>
      </c>
      <c r="K227" s="608"/>
      <c r="L227" s="558"/>
      <c r="M227" s="615">
        <f t="shared" si="35"/>
        <v>0</v>
      </c>
      <c r="N227" s="616">
        <f t="shared" si="35"/>
        <v>0</v>
      </c>
      <c r="O227" s="902"/>
      <c r="P227" t="b">
        <f t="shared" si="36"/>
        <v>0</v>
      </c>
    </row>
    <row r="228" spans="1:16" ht="34.200000000000003" customHeight="1" thickBot="1">
      <c r="A228" s="982" t="s">
        <v>598</v>
      </c>
      <c r="B228" s="983"/>
      <c r="C228" s="983"/>
      <c r="D228" s="984"/>
      <c r="E228" s="693"/>
      <c r="F228" s="693"/>
      <c r="G228" s="694">
        <f t="shared" ref="G228:N228" si="37">SUM(G7:G227)</f>
        <v>6083.2271799832988</v>
      </c>
      <c r="H228" s="695">
        <f t="shared" si="37"/>
        <v>3634.6685235000027</v>
      </c>
      <c r="I228" s="696">
        <f t="shared" si="37"/>
        <v>2096.6084172619012</v>
      </c>
      <c r="J228" s="697">
        <f t="shared" si="37"/>
        <v>1297.4995470999997</v>
      </c>
      <c r="K228" s="696">
        <f t="shared" si="37"/>
        <v>1092.1655139600903</v>
      </c>
      <c r="L228" s="697">
        <f t="shared" si="37"/>
        <v>655.25690379999992</v>
      </c>
      <c r="M228" s="698">
        <f t="shared" si="37"/>
        <v>3188.7739312219865</v>
      </c>
      <c r="N228" s="699">
        <f t="shared" si="37"/>
        <v>1952.7564509000015</v>
      </c>
      <c r="O228" s="814" t="b">
        <f t="shared" ref="O228:O231" si="38">G228=M228</f>
        <v>0</v>
      </c>
      <c r="P228" t="b">
        <f t="shared" si="36"/>
        <v>0</v>
      </c>
    </row>
    <row r="229" spans="1:16" ht="33" customHeight="1" thickBot="1">
      <c r="A229" s="27"/>
      <c r="B229" s="338"/>
      <c r="C229" s="27"/>
      <c r="D229" s="339"/>
      <c r="E229" s="334"/>
      <c r="F229" s="334"/>
      <c r="G229" s="27"/>
      <c r="H229" s="27"/>
      <c r="M229" s="308"/>
      <c r="N229" s="308"/>
      <c r="O229" s="814" t="b">
        <f t="shared" si="38"/>
        <v>1</v>
      </c>
      <c r="P229" t="b">
        <f t="shared" si="36"/>
        <v>1</v>
      </c>
    </row>
    <row r="230" spans="1:16" ht="37.200000000000003" customHeight="1" thickBot="1">
      <c r="A230" s="985" t="s">
        <v>599</v>
      </c>
      <c r="B230" s="986"/>
      <c r="C230" s="986"/>
      <c r="D230" s="986"/>
      <c r="E230" s="700"/>
      <c r="F230" s="700"/>
      <c r="G230" s="987" t="s">
        <v>600</v>
      </c>
      <c r="H230" s="988"/>
      <c r="I230" s="989" t="s">
        <v>198</v>
      </c>
      <c r="J230" s="990"/>
      <c r="K230" s="991" t="s">
        <v>335</v>
      </c>
      <c r="L230" s="992"/>
      <c r="M230" s="993" t="s">
        <v>201</v>
      </c>
      <c r="N230" s="994"/>
      <c r="O230" s="814" t="b">
        <f t="shared" si="38"/>
        <v>0</v>
      </c>
      <c r="P230" t="b">
        <f t="shared" si="36"/>
        <v>1</v>
      </c>
    </row>
    <row r="231" spans="1:16" ht="36.6" thickBot="1">
      <c r="A231" s="701" t="s">
        <v>167</v>
      </c>
      <c r="B231" s="702" t="s">
        <v>169</v>
      </c>
      <c r="C231" s="702" t="s">
        <v>203</v>
      </c>
      <c r="D231" s="703" t="s">
        <v>204</v>
      </c>
      <c r="E231" s="704" t="s">
        <v>171</v>
      </c>
      <c r="F231" s="704" t="s">
        <v>172</v>
      </c>
      <c r="G231" s="701" t="s">
        <v>173</v>
      </c>
      <c r="H231" s="702" t="s">
        <v>601</v>
      </c>
      <c r="I231" s="705" t="s">
        <v>205</v>
      </c>
      <c r="J231" s="706" t="s">
        <v>206</v>
      </c>
      <c r="K231" s="707" t="s">
        <v>205</v>
      </c>
      <c r="L231" s="708" t="s">
        <v>206</v>
      </c>
      <c r="M231" s="709" t="s">
        <v>205</v>
      </c>
      <c r="N231" s="710" t="s">
        <v>206</v>
      </c>
      <c r="O231" s="814" t="b">
        <f t="shared" si="38"/>
        <v>0</v>
      </c>
      <c r="P231" t="b">
        <f t="shared" si="36"/>
        <v>0</v>
      </c>
    </row>
    <row r="232" spans="1:16" ht="15.6">
      <c r="A232" s="603">
        <v>1</v>
      </c>
      <c r="B232" s="603" t="s">
        <v>602</v>
      </c>
      <c r="C232" s="599" t="s">
        <v>603</v>
      </c>
      <c r="D232" s="603" t="s">
        <v>452</v>
      </c>
      <c r="E232" s="711">
        <v>2473788.4399000001</v>
      </c>
      <c r="F232" s="711">
        <v>6298.5686999999998</v>
      </c>
      <c r="G232" s="540">
        <f>E232/1000000</f>
        <v>2.4737884399000003</v>
      </c>
      <c r="H232" s="631">
        <f>F232/1000</f>
        <v>6.2985686999999997</v>
      </c>
      <c r="I232" s="712"/>
      <c r="J232" s="713" t="s">
        <v>0</v>
      </c>
      <c r="K232" s="714"/>
      <c r="L232" s="715"/>
      <c r="M232" s="716"/>
      <c r="N232" s="717" t="s">
        <v>0</v>
      </c>
      <c r="O232" s="924"/>
      <c r="P232" t="b">
        <f t="shared" si="36"/>
        <v>0</v>
      </c>
    </row>
    <row r="233" spans="1:16" ht="15.6">
      <c r="A233" s="650"/>
      <c r="B233" s="603" t="s">
        <v>602</v>
      </c>
      <c r="C233" s="599"/>
      <c r="D233" s="650" t="s">
        <v>734</v>
      </c>
      <c r="E233" s="711">
        <v>6318356.1300999997</v>
      </c>
      <c r="F233" s="711">
        <v>9147.7461999999996</v>
      </c>
      <c r="G233" s="540">
        <v>6.3183561300999997</v>
      </c>
      <c r="H233" s="631">
        <v>9.1477462000000003</v>
      </c>
      <c r="I233" s="712"/>
      <c r="J233" s="713"/>
      <c r="K233" s="714">
        <v>6.3183561300999997</v>
      </c>
      <c r="L233" s="715">
        <v>9.1477462000000003</v>
      </c>
      <c r="M233" s="922">
        <f t="shared" ref="M233" si="39">K233+I233</f>
        <v>6.3183561300999997</v>
      </c>
      <c r="N233" s="719">
        <f t="shared" ref="N233" si="40">L233+J233</f>
        <v>9.1477462000000003</v>
      </c>
      <c r="O233" s="925" t="s">
        <v>771</v>
      </c>
    </row>
    <row r="234" spans="1:16" ht="15.6">
      <c r="A234" s="650">
        <v>2</v>
      </c>
      <c r="B234" s="603" t="s">
        <v>602</v>
      </c>
      <c r="C234" s="539" t="s">
        <v>604</v>
      </c>
      <c r="D234" s="587" t="s">
        <v>357</v>
      </c>
      <c r="E234" s="711">
        <v>4888675.3585000001</v>
      </c>
      <c r="F234" s="711">
        <v>6083.6871000000001</v>
      </c>
      <c r="G234" s="540">
        <f>E234/1000000</f>
        <v>4.8886753585000005</v>
      </c>
      <c r="H234" s="631">
        <f>F234/1000</f>
        <v>6.0836870999999997</v>
      </c>
      <c r="I234" s="712">
        <v>4.8886753585000005</v>
      </c>
      <c r="J234" s="713">
        <v>6.0836870999999997</v>
      </c>
      <c r="K234" s="714"/>
      <c r="L234" s="715"/>
      <c r="M234" s="718">
        <f t="shared" ref="M234:N238" si="41">K234+I234</f>
        <v>4.8886753585000005</v>
      </c>
      <c r="N234" s="719">
        <f t="shared" si="41"/>
        <v>6.0836870999999997</v>
      </c>
      <c r="O234" s="924"/>
      <c r="P234" t="b">
        <f t="shared" si="36"/>
        <v>1</v>
      </c>
    </row>
    <row r="235" spans="1:16" ht="15.6">
      <c r="A235" s="603">
        <v>3</v>
      </c>
      <c r="B235" s="602" t="s">
        <v>602</v>
      </c>
      <c r="C235" s="539" t="s">
        <v>605</v>
      </c>
      <c r="D235" s="538" t="s">
        <v>606</v>
      </c>
      <c r="E235" s="720">
        <v>9554394.6375999991</v>
      </c>
      <c r="F235" s="720">
        <v>15103.0056</v>
      </c>
      <c r="G235" s="584">
        <v>9.61</v>
      </c>
      <c r="H235" s="721">
        <v>12.24</v>
      </c>
      <c r="I235" s="712">
        <v>9.61</v>
      </c>
      <c r="J235" s="713">
        <v>12.24</v>
      </c>
      <c r="K235" s="714"/>
      <c r="L235" s="715"/>
      <c r="M235" s="718">
        <f t="shared" si="41"/>
        <v>9.61</v>
      </c>
      <c r="N235" s="719">
        <f t="shared" si="41"/>
        <v>12.24</v>
      </c>
      <c r="O235" s="924"/>
      <c r="P235" t="b">
        <f t="shared" si="36"/>
        <v>1</v>
      </c>
    </row>
    <row r="236" spans="1:16" ht="16.2" thickBot="1">
      <c r="A236" s="636">
        <v>4</v>
      </c>
      <c r="B236" s="636" t="s">
        <v>602</v>
      </c>
      <c r="C236" s="637" t="s">
        <v>607</v>
      </c>
      <c r="D236" s="636" t="s">
        <v>608</v>
      </c>
      <c r="E236" s="722">
        <v>1625000</v>
      </c>
      <c r="F236" s="722">
        <v>6450</v>
      </c>
      <c r="G236" s="640">
        <f>E236/1000000</f>
        <v>1.625</v>
      </c>
      <c r="H236" s="723">
        <f t="shared" ref="H236:H269" si="42">F236/1000</f>
        <v>6.45</v>
      </c>
      <c r="I236" s="724">
        <v>0</v>
      </c>
      <c r="J236" s="725">
        <v>0</v>
      </c>
      <c r="K236" s="726"/>
      <c r="L236" s="727"/>
      <c r="M236" s="728">
        <f t="shared" si="41"/>
        <v>0</v>
      </c>
      <c r="N236" s="729">
        <f t="shared" si="41"/>
        <v>0</v>
      </c>
      <c r="O236" s="924"/>
      <c r="P236" t="b">
        <f t="shared" si="36"/>
        <v>0</v>
      </c>
    </row>
    <row r="237" spans="1:16" ht="15.6">
      <c r="A237" s="603">
        <v>5</v>
      </c>
      <c r="B237" s="603" t="s">
        <v>609</v>
      </c>
      <c r="C237" s="599" t="s">
        <v>610</v>
      </c>
      <c r="D237" s="603" t="s">
        <v>452</v>
      </c>
      <c r="E237" s="711">
        <v>2473788.4399000001</v>
      </c>
      <c r="F237" s="711">
        <v>6298.5686999999998</v>
      </c>
      <c r="G237" s="540">
        <f>E237/1000000</f>
        <v>2.4737884399000003</v>
      </c>
      <c r="H237" s="631">
        <f t="shared" si="42"/>
        <v>6.2985686999999997</v>
      </c>
      <c r="I237" s="712"/>
      <c r="J237" s="713"/>
      <c r="K237" s="714"/>
      <c r="L237" s="715"/>
      <c r="M237" s="730"/>
      <c r="N237" s="731"/>
      <c r="O237" s="924"/>
      <c r="P237" t="b">
        <f t="shared" si="36"/>
        <v>0</v>
      </c>
    </row>
    <row r="238" spans="1:16" ht="16.2" thickBot="1">
      <c r="A238" s="636">
        <v>6</v>
      </c>
      <c r="B238" s="636" t="s">
        <v>609</v>
      </c>
      <c r="C238" s="637" t="s">
        <v>611</v>
      </c>
      <c r="D238" s="636" t="s">
        <v>608</v>
      </c>
      <c r="E238" s="722">
        <v>1625000</v>
      </c>
      <c r="F238" s="722">
        <v>6450</v>
      </c>
      <c r="G238" s="640">
        <f t="shared" ref="G238:G278" si="43">E238/1000000</f>
        <v>1.625</v>
      </c>
      <c r="H238" s="723">
        <f t="shared" si="42"/>
        <v>6.45</v>
      </c>
      <c r="I238" s="724">
        <v>0</v>
      </c>
      <c r="J238" s="725"/>
      <c r="K238" s="726"/>
      <c r="L238" s="727"/>
      <c r="M238" s="732">
        <f t="shared" si="41"/>
        <v>0</v>
      </c>
      <c r="N238" s="733"/>
      <c r="O238" s="924"/>
      <c r="P238" t="b">
        <f t="shared" si="36"/>
        <v>0</v>
      </c>
    </row>
    <row r="239" spans="1:16" ht="15.6">
      <c r="A239" s="603">
        <v>7</v>
      </c>
      <c r="B239" s="603" t="s">
        <v>612</v>
      </c>
      <c r="C239" s="599" t="s">
        <v>613</v>
      </c>
      <c r="D239" s="603" t="s">
        <v>452</v>
      </c>
      <c r="E239" s="711">
        <v>2473788.4399000001</v>
      </c>
      <c r="F239" s="711">
        <v>6298.5686999999998</v>
      </c>
      <c r="G239" s="540">
        <f t="shared" si="43"/>
        <v>2.4737884399000003</v>
      </c>
      <c r="H239" s="631">
        <f t="shared" si="42"/>
        <v>6.2985686999999997</v>
      </c>
      <c r="I239" s="712" t="s">
        <v>0</v>
      </c>
      <c r="J239" s="713" t="s">
        <v>0</v>
      </c>
      <c r="K239" s="714"/>
      <c r="L239" s="715"/>
      <c r="M239" s="734" t="s">
        <v>0</v>
      </c>
      <c r="N239" s="735" t="s">
        <v>0</v>
      </c>
      <c r="O239" s="924"/>
      <c r="P239" t="b">
        <f t="shared" si="36"/>
        <v>0</v>
      </c>
    </row>
    <row r="240" spans="1:16" ht="16.2" thickBot="1">
      <c r="A240" s="636">
        <v>8</v>
      </c>
      <c r="B240" s="636" t="s">
        <v>612</v>
      </c>
      <c r="C240" s="637" t="s">
        <v>614</v>
      </c>
      <c r="D240" s="636" t="s">
        <v>608</v>
      </c>
      <c r="E240" s="722">
        <v>1625000</v>
      </c>
      <c r="F240" s="722">
        <v>6450</v>
      </c>
      <c r="G240" s="640">
        <f t="shared" si="43"/>
        <v>1.625</v>
      </c>
      <c r="H240" s="723">
        <f t="shared" si="42"/>
        <v>6.45</v>
      </c>
      <c r="I240" s="724"/>
      <c r="J240" s="725"/>
      <c r="K240" s="726"/>
      <c r="L240" s="727"/>
      <c r="M240" s="736"/>
      <c r="N240" s="733"/>
      <c r="O240" s="924"/>
      <c r="P240" t="b">
        <f t="shared" si="36"/>
        <v>0</v>
      </c>
    </row>
    <row r="241" spans="1:16" ht="15.6">
      <c r="A241" s="603">
        <v>9</v>
      </c>
      <c r="B241" s="603" t="s">
        <v>615</v>
      </c>
      <c r="C241" s="599" t="s">
        <v>616</v>
      </c>
      <c r="D241" s="603" t="s">
        <v>452</v>
      </c>
      <c r="E241" s="711">
        <v>2473788.4399000001</v>
      </c>
      <c r="F241" s="711">
        <v>6298.5686999999998</v>
      </c>
      <c r="G241" s="540">
        <f t="shared" si="43"/>
        <v>2.4737884399000003</v>
      </c>
      <c r="H241" s="631">
        <f t="shared" si="42"/>
        <v>6.2985686999999997</v>
      </c>
      <c r="I241" s="712" t="s">
        <v>0</v>
      </c>
      <c r="J241" s="713" t="s">
        <v>0</v>
      </c>
      <c r="K241" s="714"/>
      <c r="L241" s="715"/>
      <c r="M241" s="737" t="s">
        <v>0</v>
      </c>
      <c r="N241" s="735" t="s">
        <v>0</v>
      </c>
      <c r="O241" s="924"/>
      <c r="P241" t="b">
        <f t="shared" si="36"/>
        <v>0</v>
      </c>
    </row>
    <row r="242" spans="1:16" ht="16.2" thickBot="1">
      <c r="A242" s="636">
        <v>10</v>
      </c>
      <c r="B242" s="636" t="s">
        <v>615</v>
      </c>
      <c r="C242" s="637" t="s">
        <v>617</v>
      </c>
      <c r="D242" s="636" t="s">
        <v>608</v>
      </c>
      <c r="E242" s="722">
        <v>1625000</v>
      </c>
      <c r="F242" s="722">
        <v>6450</v>
      </c>
      <c r="G242" s="640">
        <f t="shared" si="43"/>
        <v>1.625</v>
      </c>
      <c r="H242" s="723">
        <f t="shared" si="42"/>
        <v>6.45</v>
      </c>
      <c r="I242" s="724"/>
      <c r="J242" s="725"/>
      <c r="K242" s="726"/>
      <c r="L242" s="727"/>
      <c r="M242" s="736"/>
      <c r="N242" s="733"/>
      <c r="O242" s="924"/>
      <c r="P242" t="b">
        <f t="shared" si="36"/>
        <v>0</v>
      </c>
    </row>
    <row r="243" spans="1:16" ht="15.6">
      <c r="A243" s="603">
        <v>11</v>
      </c>
      <c r="B243" s="603" t="s">
        <v>618</v>
      </c>
      <c r="C243" s="599" t="s">
        <v>619</v>
      </c>
      <c r="D243" s="603" t="s">
        <v>452</v>
      </c>
      <c r="E243" s="711">
        <v>2473788.4399000001</v>
      </c>
      <c r="F243" s="711">
        <v>6298.5686999999998</v>
      </c>
      <c r="G243" s="540">
        <f t="shared" si="43"/>
        <v>2.4737884399000003</v>
      </c>
      <c r="H243" s="631">
        <f t="shared" si="42"/>
        <v>6.2985686999999997</v>
      </c>
      <c r="I243" s="712" t="s">
        <v>0</v>
      </c>
      <c r="J243" s="713" t="s">
        <v>0</v>
      </c>
      <c r="K243" s="714"/>
      <c r="L243" s="715"/>
      <c r="M243" s="737" t="s">
        <v>0</v>
      </c>
      <c r="N243" s="735" t="s">
        <v>0</v>
      </c>
      <c r="O243" s="924"/>
      <c r="P243" t="b">
        <f t="shared" si="36"/>
        <v>0</v>
      </c>
    </row>
    <row r="244" spans="1:16" ht="15.6">
      <c r="A244" s="650">
        <v>12</v>
      </c>
      <c r="B244" s="602" t="s">
        <v>618</v>
      </c>
      <c r="C244" s="539" t="s">
        <v>620</v>
      </c>
      <c r="D244" s="602" t="s">
        <v>608</v>
      </c>
      <c r="E244" s="720">
        <v>1625000</v>
      </c>
      <c r="F244" s="720">
        <v>6450</v>
      </c>
      <c r="G244" s="584">
        <f t="shared" si="43"/>
        <v>1.625</v>
      </c>
      <c r="H244" s="721">
        <f t="shared" si="42"/>
        <v>6.45</v>
      </c>
      <c r="I244" s="738"/>
      <c r="J244" s="739"/>
      <c r="K244" s="714"/>
      <c r="L244" s="715"/>
      <c r="M244" s="737"/>
      <c r="N244" s="735"/>
      <c r="O244" s="924"/>
      <c r="P244" t="b">
        <f t="shared" si="36"/>
        <v>0</v>
      </c>
    </row>
    <row r="245" spans="1:16" ht="16.2" thickBot="1">
      <c r="A245" s="740">
        <v>13</v>
      </c>
      <c r="B245" s="636" t="s">
        <v>269</v>
      </c>
      <c r="C245" s="637" t="s">
        <v>621</v>
      </c>
      <c r="D245" s="636" t="s">
        <v>622</v>
      </c>
      <c r="E245" s="722">
        <v>28565725.4395</v>
      </c>
      <c r="F245" s="722">
        <v>24376.637599999998</v>
      </c>
      <c r="G245" s="640">
        <f t="shared" si="43"/>
        <v>28.5657254395</v>
      </c>
      <c r="H245" s="723">
        <f t="shared" si="42"/>
        <v>24.376637599999999</v>
      </c>
      <c r="I245" s="724"/>
      <c r="J245" s="725"/>
      <c r="K245" s="726">
        <v>28.5657254395</v>
      </c>
      <c r="L245" s="727">
        <v>24.376637599999999</v>
      </c>
      <c r="M245" s="922">
        <f t="shared" ref="M245" si="44">K245+I245</f>
        <v>28.5657254395</v>
      </c>
      <c r="N245" s="719">
        <f t="shared" ref="N245" si="45">L245+J245</f>
        <v>24.376637599999999</v>
      </c>
      <c r="O245" s="925" t="s">
        <v>772</v>
      </c>
      <c r="P245" t="b">
        <f t="shared" si="36"/>
        <v>1</v>
      </c>
    </row>
    <row r="246" spans="1:16" ht="15.6">
      <c r="A246" s="650">
        <v>14</v>
      </c>
      <c r="B246" s="602" t="s">
        <v>623</v>
      </c>
      <c r="C246" s="539" t="s">
        <v>624</v>
      </c>
      <c r="D246" s="602" t="s">
        <v>452</v>
      </c>
      <c r="E246" s="720">
        <v>2473788.4399000001</v>
      </c>
      <c r="F246" s="720">
        <v>6298.5686999999998</v>
      </c>
      <c r="G246" s="584">
        <f t="shared" si="43"/>
        <v>2.4737884399000003</v>
      </c>
      <c r="H246" s="721">
        <f t="shared" si="42"/>
        <v>6.2985686999999997</v>
      </c>
      <c r="I246" s="738" t="s">
        <v>0</v>
      </c>
      <c r="J246" s="739" t="s">
        <v>0</v>
      </c>
      <c r="K246" s="714"/>
      <c r="L246" s="715"/>
      <c r="M246" s="737" t="s">
        <v>0</v>
      </c>
      <c r="N246" s="735" t="s">
        <v>0</v>
      </c>
      <c r="O246" s="924"/>
      <c r="P246" t="b">
        <f t="shared" si="36"/>
        <v>0</v>
      </c>
    </row>
    <row r="247" spans="1:16" ht="16.2" thickBot="1">
      <c r="A247" s="741">
        <v>15</v>
      </c>
      <c r="B247" s="636" t="s">
        <v>623</v>
      </c>
      <c r="C247" s="637" t="s">
        <v>625</v>
      </c>
      <c r="D247" s="636" t="s">
        <v>608</v>
      </c>
      <c r="E247" s="722">
        <v>1625000</v>
      </c>
      <c r="F247" s="722">
        <v>6450</v>
      </c>
      <c r="G247" s="640">
        <f t="shared" si="43"/>
        <v>1.625</v>
      </c>
      <c r="H247" s="723">
        <f t="shared" si="42"/>
        <v>6.45</v>
      </c>
      <c r="I247" s="724"/>
      <c r="J247" s="725"/>
      <c r="K247" s="726"/>
      <c r="L247" s="727"/>
      <c r="M247" s="736"/>
      <c r="N247" s="733"/>
      <c r="O247" s="924"/>
      <c r="P247" t="b">
        <f t="shared" si="36"/>
        <v>0</v>
      </c>
    </row>
    <row r="248" spans="1:16" ht="15.6">
      <c r="A248" s="650">
        <v>16</v>
      </c>
      <c r="B248" s="603" t="s">
        <v>626</v>
      </c>
      <c r="C248" s="599" t="s">
        <v>627</v>
      </c>
      <c r="D248" s="603" t="s">
        <v>452</v>
      </c>
      <c r="E248" s="711">
        <v>2473788.4399000001</v>
      </c>
      <c r="F248" s="711">
        <v>6298.5686999999998</v>
      </c>
      <c r="G248" s="540">
        <f t="shared" si="43"/>
        <v>2.4737884399000003</v>
      </c>
      <c r="H248" s="631">
        <f t="shared" si="42"/>
        <v>6.2985686999999997</v>
      </c>
      <c r="I248" s="712" t="s">
        <v>0</v>
      </c>
      <c r="J248" s="713" t="s">
        <v>0</v>
      </c>
      <c r="K248" s="714"/>
      <c r="L248" s="715"/>
      <c r="M248" s="737" t="s">
        <v>0</v>
      </c>
      <c r="N248" s="735" t="s">
        <v>0</v>
      </c>
      <c r="O248" s="924"/>
      <c r="P248" t="b">
        <f t="shared" si="36"/>
        <v>0</v>
      </c>
    </row>
    <row r="249" spans="1:16" ht="16.2" thickBot="1">
      <c r="A249" s="740">
        <v>17</v>
      </c>
      <c r="B249" s="636" t="s">
        <v>626</v>
      </c>
      <c r="C249" s="637" t="s">
        <v>628</v>
      </c>
      <c r="D249" s="636" t="s">
        <v>608</v>
      </c>
      <c r="E249" s="722">
        <v>1625000</v>
      </c>
      <c r="F249" s="722">
        <v>6450</v>
      </c>
      <c r="G249" s="640">
        <f t="shared" si="43"/>
        <v>1.625</v>
      </c>
      <c r="H249" s="723">
        <f t="shared" si="42"/>
        <v>6.45</v>
      </c>
      <c r="I249" s="724"/>
      <c r="J249" s="725"/>
      <c r="K249" s="726"/>
      <c r="L249" s="727"/>
      <c r="M249" s="736"/>
      <c r="N249" s="733"/>
      <c r="O249" s="924"/>
      <c r="P249" t="b">
        <f t="shared" si="36"/>
        <v>0</v>
      </c>
    </row>
    <row r="250" spans="1:16" ht="15.6">
      <c r="A250" s="650">
        <v>18</v>
      </c>
      <c r="B250" s="603" t="s">
        <v>629</v>
      </c>
      <c r="C250" s="599" t="s">
        <v>630</v>
      </c>
      <c r="D250" s="603" t="s">
        <v>452</v>
      </c>
      <c r="E250" s="711">
        <v>2473788.4399000001</v>
      </c>
      <c r="F250" s="711">
        <v>6298.5686999999998</v>
      </c>
      <c r="G250" s="540">
        <f t="shared" si="43"/>
        <v>2.4737884399000003</v>
      </c>
      <c r="H250" s="631">
        <f t="shared" si="42"/>
        <v>6.2985686999999997</v>
      </c>
      <c r="I250" s="712" t="s">
        <v>0</v>
      </c>
      <c r="J250" s="713" t="s">
        <v>0</v>
      </c>
      <c r="K250" s="714"/>
      <c r="L250" s="715"/>
      <c r="M250" s="737" t="s">
        <v>0</v>
      </c>
      <c r="N250" s="735" t="s">
        <v>0</v>
      </c>
      <c r="O250" s="924"/>
      <c r="P250" t="b">
        <f t="shared" si="36"/>
        <v>0</v>
      </c>
    </row>
    <row r="251" spans="1:16" ht="16.2" thickBot="1">
      <c r="A251" s="740">
        <v>19</v>
      </c>
      <c r="B251" s="636" t="s">
        <v>629</v>
      </c>
      <c r="C251" s="637" t="s">
        <v>631</v>
      </c>
      <c r="D251" s="636" t="s">
        <v>608</v>
      </c>
      <c r="E251" s="722">
        <v>1625000</v>
      </c>
      <c r="F251" s="722">
        <v>6450</v>
      </c>
      <c r="G251" s="640">
        <f t="shared" si="43"/>
        <v>1.625</v>
      </c>
      <c r="H251" s="723">
        <f t="shared" si="42"/>
        <v>6.45</v>
      </c>
      <c r="I251" s="724"/>
      <c r="J251" s="725"/>
      <c r="K251" s="726"/>
      <c r="L251" s="727"/>
      <c r="M251" s="736"/>
      <c r="N251" s="733"/>
      <c r="O251" s="924"/>
      <c r="P251" t="b">
        <f t="shared" si="36"/>
        <v>0</v>
      </c>
    </row>
    <row r="252" spans="1:16" ht="15.6">
      <c r="A252" s="650">
        <v>20</v>
      </c>
      <c r="B252" s="603" t="s">
        <v>632</v>
      </c>
      <c r="C252" s="599" t="s">
        <v>633</v>
      </c>
      <c r="D252" s="603" t="s">
        <v>452</v>
      </c>
      <c r="E252" s="711">
        <v>2473788.4399000001</v>
      </c>
      <c r="F252" s="711">
        <v>6298.5686999999998</v>
      </c>
      <c r="G252" s="540">
        <f t="shared" si="43"/>
        <v>2.4737884399000003</v>
      </c>
      <c r="H252" s="631">
        <f t="shared" si="42"/>
        <v>6.2985686999999997</v>
      </c>
      <c r="I252" s="712" t="s">
        <v>0</v>
      </c>
      <c r="J252" s="713" t="s">
        <v>0</v>
      </c>
      <c r="K252" s="714"/>
      <c r="L252" s="715"/>
      <c r="M252" s="737" t="s">
        <v>0</v>
      </c>
      <c r="N252" s="735" t="s">
        <v>0</v>
      </c>
      <c r="O252" s="924"/>
      <c r="P252" t="b">
        <f t="shared" si="36"/>
        <v>0</v>
      </c>
    </row>
    <row r="253" spans="1:16" ht="16.2" thickBot="1">
      <c r="A253" s="740">
        <v>21</v>
      </c>
      <c r="B253" s="636" t="s">
        <v>632</v>
      </c>
      <c r="C253" s="637" t="s">
        <v>634</v>
      </c>
      <c r="D253" s="636" t="s">
        <v>608</v>
      </c>
      <c r="E253" s="722">
        <v>1625000</v>
      </c>
      <c r="F253" s="722">
        <v>6450</v>
      </c>
      <c r="G253" s="640">
        <f t="shared" si="43"/>
        <v>1.625</v>
      </c>
      <c r="H253" s="723">
        <f t="shared" si="42"/>
        <v>6.45</v>
      </c>
      <c r="I253" s="724"/>
      <c r="J253" s="725" t="s">
        <v>0</v>
      </c>
      <c r="K253" s="726"/>
      <c r="L253" s="727"/>
      <c r="M253" s="736"/>
      <c r="N253" s="733" t="s">
        <v>0</v>
      </c>
      <c r="O253" s="924"/>
      <c r="P253" t="b">
        <f t="shared" si="36"/>
        <v>0</v>
      </c>
    </row>
    <row r="254" spans="1:16" ht="15.6">
      <c r="A254" s="650">
        <v>22</v>
      </c>
      <c r="B254" s="603" t="s">
        <v>635</v>
      </c>
      <c r="C254" s="599" t="s">
        <v>636</v>
      </c>
      <c r="D254" s="603" t="s">
        <v>452</v>
      </c>
      <c r="E254" s="711">
        <v>2473788.4399000001</v>
      </c>
      <c r="F254" s="711">
        <v>6298.5686999999998</v>
      </c>
      <c r="G254" s="540">
        <f t="shared" si="43"/>
        <v>2.4737884399000003</v>
      </c>
      <c r="H254" s="631">
        <f t="shared" si="42"/>
        <v>6.2985686999999997</v>
      </c>
      <c r="I254" s="712" t="s">
        <v>0</v>
      </c>
      <c r="J254" s="713" t="s">
        <v>0</v>
      </c>
      <c r="K254" s="714"/>
      <c r="L254" s="715"/>
      <c r="M254" s="737" t="s">
        <v>0</v>
      </c>
      <c r="N254" s="735" t="s">
        <v>0</v>
      </c>
      <c r="O254" s="924"/>
      <c r="P254" t="b">
        <f t="shared" si="36"/>
        <v>0</v>
      </c>
    </row>
    <row r="255" spans="1:16" ht="16.2" thickBot="1">
      <c r="A255" s="740">
        <v>23</v>
      </c>
      <c r="B255" s="636" t="s">
        <v>635</v>
      </c>
      <c r="C255" s="637" t="s">
        <v>637</v>
      </c>
      <c r="D255" s="636" t="s">
        <v>608</v>
      </c>
      <c r="E255" s="722">
        <v>1625000</v>
      </c>
      <c r="F255" s="722">
        <v>6450</v>
      </c>
      <c r="G255" s="640">
        <f t="shared" si="43"/>
        <v>1.625</v>
      </c>
      <c r="H255" s="723">
        <f t="shared" si="42"/>
        <v>6.45</v>
      </c>
      <c r="I255" s="724"/>
      <c r="J255" s="725"/>
      <c r="K255" s="726"/>
      <c r="L255" s="727"/>
      <c r="M255" s="736"/>
      <c r="N255" s="733"/>
      <c r="O255" s="924"/>
      <c r="P255" t="b">
        <f t="shared" si="36"/>
        <v>0</v>
      </c>
    </row>
    <row r="256" spans="1:16" ht="15.6">
      <c r="A256" s="650">
        <v>24</v>
      </c>
      <c r="B256" s="603" t="s">
        <v>638</v>
      </c>
      <c r="C256" s="599" t="s">
        <v>639</v>
      </c>
      <c r="D256" s="603" t="s">
        <v>452</v>
      </c>
      <c r="E256" s="711">
        <v>2473788.4399000001</v>
      </c>
      <c r="F256" s="711">
        <v>6298.5686999999998</v>
      </c>
      <c r="G256" s="540">
        <f t="shared" si="43"/>
        <v>2.4737884399000003</v>
      </c>
      <c r="H256" s="631">
        <f t="shared" si="42"/>
        <v>6.2985686999999997</v>
      </c>
      <c r="I256" s="712" t="s">
        <v>0</v>
      </c>
      <c r="J256" s="713" t="s">
        <v>0</v>
      </c>
      <c r="K256" s="714"/>
      <c r="L256" s="715"/>
      <c r="M256" s="737" t="s">
        <v>0</v>
      </c>
      <c r="N256" s="735" t="s">
        <v>0</v>
      </c>
      <c r="O256" s="924"/>
      <c r="P256" t="b">
        <f t="shared" si="36"/>
        <v>0</v>
      </c>
    </row>
    <row r="257" spans="1:16" ht="16.2" thickBot="1">
      <c r="A257" s="740">
        <v>25</v>
      </c>
      <c r="B257" s="636" t="s">
        <v>638</v>
      </c>
      <c r="C257" s="637" t="s">
        <v>640</v>
      </c>
      <c r="D257" s="636" t="s">
        <v>608</v>
      </c>
      <c r="E257" s="722">
        <v>1625000</v>
      </c>
      <c r="F257" s="722">
        <v>6450</v>
      </c>
      <c r="G257" s="640">
        <f t="shared" si="43"/>
        <v>1.625</v>
      </c>
      <c r="H257" s="723">
        <f t="shared" si="42"/>
        <v>6.45</v>
      </c>
      <c r="I257" s="724"/>
      <c r="J257" s="725"/>
      <c r="K257" s="726"/>
      <c r="L257" s="727"/>
      <c r="M257" s="736"/>
      <c r="N257" s="733"/>
      <c r="O257" s="924"/>
      <c r="P257" t="b">
        <f t="shared" si="36"/>
        <v>0</v>
      </c>
    </row>
    <row r="258" spans="1:16" ht="15.6">
      <c r="A258" s="650">
        <v>26</v>
      </c>
      <c r="B258" s="603" t="s">
        <v>641</v>
      </c>
      <c r="C258" s="599" t="s">
        <v>642</v>
      </c>
      <c r="D258" s="603" t="s">
        <v>452</v>
      </c>
      <c r="E258" s="711">
        <v>2473788.4399000001</v>
      </c>
      <c r="F258" s="711">
        <v>6298.5686999999998</v>
      </c>
      <c r="G258" s="540">
        <f t="shared" si="43"/>
        <v>2.4737884399000003</v>
      </c>
      <c r="H258" s="631">
        <f t="shared" si="42"/>
        <v>6.2985686999999997</v>
      </c>
      <c r="I258" s="712" t="s">
        <v>0</v>
      </c>
      <c r="J258" s="713" t="s">
        <v>0</v>
      </c>
      <c r="K258" s="714"/>
      <c r="L258" s="715"/>
      <c r="M258" s="737" t="s">
        <v>0</v>
      </c>
      <c r="N258" s="735" t="s">
        <v>0</v>
      </c>
      <c r="O258" s="924"/>
      <c r="P258" t="b">
        <f t="shared" si="36"/>
        <v>0</v>
      </c>
    </row>
    <row r="259" spans="1:16" ht="16.2" thickBot="1">
      <c r="A259" s="740">
        <v>27</v>
      </c>
      <c r="B259" s="636" t="s">
        <v>641</v>
      </c>
      <c r="C259" s="637" t="s">
        <v>643</v>
      </c>
      <c r="D259" s="636" t="s">
        <v>608</v>
      </c>
      <c r="E259" s="722">
        <v>1625000</v>
      </c>
      <c r="F259" s="722">
        <v>6450</v>
      </c>
      <c r="G259" s="640">
        <f t="shared" si="43"/>
        <v>1.625</v>
      </c>
      <c r="H259" s="723">
        <f t="shared" si="42"/>
        <v>6.45</v>
      </c>
      <c r="I259" s="724"/>
      <c r="J259" s="725"/>
      <c r="K259" s="726"/>
      <c r="L259" s="727"/>
      <c r="M259" s="736"/>
      <c r="N259" s="733"/>
      <c r="O259" s="924"/>
      <c r="P259" t="b">
        <f t="shared" si="36"/>
        <v>0</v>
      </c>
    </row>
    <row r="260" spans="1:16" ht="15.6">
      <c r="A260" s="650">
        <v>28</v>
      </c>
      <c r="B260" s="603" t="s">
        <v>644</v>
      </c>
      <c r="C260" s="599" t="s">
        <v>645</v>
      </c>
      <c r="D260" s="603" t="s">
        <v>452</v>
      </c>
      <c r="E260" s="711">
        <v>2473788.4399000001</v>
      </c>
      <c r="F260" s="711">
        <v>6298.5686999999998</v>
      </c>
      <c r="G260" s="540">
        <f t="shared" si="43"/>
        <v>2.4737884399000003</v>
      </c>
      <c r="H260" s="631">
        <f t="shared" si="42"/>
        <v>6.2985686999999997</v>
      </c>
      <c r="I260" s="712" t="s">
        <v>0</v>
      </c>
      <c r="J260" s="713" t="s">
        <v>0</v>
      </c>
      <c r="K260" s="714"/>
      <c r="L260" s="715"/>
      <c r="M260" s="737" t="s">
        <v>0</v>
      </c>
      <c r="N260" s="735" t="s">
        <v>0</v>
      </c>
      <c r="O260" s="924"/>
      <c r="P260" t="b">
        <f t="shared" si="36"/>
        <v>0</v>
      </c>
    </row>
    <row r="261" spans="1:16" ht="16.2" thickBot="1">
      <c r="A261" s="740">
        <v>29</v>
      </c>
      <c r="B261" s="636" t="s">
        <v>644</v>
      </c>
      <c r="C261" s="637" t="s">
        <v>646</v>
      </c>
      <c r="D261" s="636" t="s">
        <v>608</v>
      </c>
      <c r="E261" s="722">
        <v>1625000</v>
      </c>
      <c r="F261" s="722">
        <v>6450</v>
      </c>
      <c r="G261" s="640">
        <f t="shared" si="43"/>
        <v>1.625</v>
      </c>
      <c r="H261" s="723">
        <f t="shared" si="42"/>
        <v>6.45</v>
      </c>
      <c r="I261" s="724"/>
      <c r="J261" s="725"/>
      <c r="K261" s="726"/>
      <c r="L261" s="727"/>
      <c r="M261" s="736"/>
      <c r="N261" s="733"/>
      <c r="O261" s="924"/>
      <c r="P261" t="b">
        <f t="shared" si="36"/>
        <v>0</v>
      </c>
    </row>
    <row r="262" spans="1:16" ht="15.6">
      <c r="A262" s="650">
        <v>30</v>
      </c>
      <c r="B262" s="742" t="s">
        <v>647</v>
      </c>
      <c r="C262" s="565" t="s">
        <v>648</v>
      </c>
      <c r="D262" s="742" t="s">
        <v>452</v>
      </c>
      <c r="E262" s="743">
        <v>2473788.4399000001</v>
      </c>
      <c r="F262" s="743">
        <v>6298.5686999999998</v>
      </c>
      <c r="G262" s="566">
        <f t="shared" si="43"/>
        <v>2.4737884399000003</v>
      </c>
      <c r="H262" s="629">
        <f t="shared" si="42"/>
        <v>6.2985686999999997</v>
      </c>
      <c r="I262" s="744" t="s">
        <v>0</v>
      </c>
      <c r="J262" s="745" t="s">
        <v>0</v>
      </c>
      <c r="K262" s="714"/>
      <c r="L262" s="715"/>
      <c r="M262" s="737" t="s">
        <v>0</v>
      </c>
      <c r="N262" s="735" t="s">
        <v>0</v>
      </c>
      <c r="O262" s="924"/>
      <c r="P262" t="b">
        <f t="shared" si="36"/>
        <v>0</v>
      </c>
    </row>
    <row r="263" spans="1:16" ht="16.2" thickBot="1">
      <c r="A263" s="740">
        <v>31</v>
      </c>
      <c r="B263" s="636" t="s">
        <v>647</v>
      </c>
      <c r="C263" s="637" t="s">
        <v>649</v>
      </c>
      <c r="D263" s="636" t="s">
        <v>608</v>
      </c>
      <c r="E263" s="722">
        <v>1625000</v>
      </c>
      <c r="F263" s="722">
        <v>6450</v>
      </c>
      <c r="G263" s="640">
        <f t="shared" si="43"/>
        <v>1.625</v>
      </c>
      <c r="H263" s="723">
        <f t="shared" si="42"/>
        <v>6.45</v>
      </c>
      <c r="I263" s="724"/>
      <c r="J263" s="725"/>
      <c r="K263" s="726"/>
      <c r="L263" s="727"/>
      <c r="M263" s="736"/>
      <c r="N263" s="733"/>
      <c r="O263" s="924"/>
      <c r="P263" t="b">
        <f t="shared" si="36"/>
        <v>0</v>
      </c>
    </row>
    <row r="264" spans="1:16" ht="15.6">
      <c r="A264" s="650">
        <v>32</v>
      </c>
      <c r="B264" s="603" t="s">
        <v>650</v>
      </c>
      <c r="C264" s="599" t="s">
        <v>651</v>
      </c>
      <c r="D264" s="603" t="s">
        <v>452</v>
      </c>
      <c r="E264" s="711">
        <v>2473788.4399000001</v>
      </c>
      <c r="F264" s="711">
        <v>6298.5686999999998</v>
      </c>
      <c r="G264" s="540">
        <f t="shared" si="43"/>
        <v>2.4737884399000003</v>
      </c>
      <c r="H264" s="631">
        <f t="shared" si="42"/>
        <v>6.2985686999999997</v>
      </c>
      <c r="I264" s="712" t="s">
        <v>0</v>
      </c>
      <c r="J264" s="713" t="s">
        <v>0</v>
      </c>
      <c r="K264" s="714"/>
      <c r="L264" s="715"/>
      <c r="M264" s="737" t="s">
        <v>0</v>
      </c>
      <c r="N264" s="735" t="s">
        <v>0</v>
      </c>
      <c r="O264" s="924"/>
      <c r="P264" t="b">
        <f t="shared" si="36"/>
        <v>0</v>
      </c>
    </row>
    <row r="265" spans="1:16" ht="16.2" thickBot="1">
      <c r="A265" s="740">
        <v>33</v>
      </c>
      <c r="B265" s="636" t="s">
        <v>650</v>
      </c>
      <c r="C265" s="637" t="s">
        <v>652</v>
      </c>
      <c r="D265" s="636" t="s">
        <v>608</v>
      </c>
      <c r="E265" s="722">
        <v>1625000</v>
      </c>
      <c r="F265" s="722">
        <v>6450</v>
      </c>
      <c r="G265" s="640">
        <f t="shared" si="43"/>
        <v>1.625</v>
      </c>
      <c r="H265" s="723">
        <f t="shared" si="42"/>
        <v>6.45</v>
      </c>
      <c r="I265" s="724"/>
      <c r="J265" s="725"/>
      <c r="K265" s="726"/>
      <c r="L265" s="727"/>
      <c r="M265" s="736"/>
      <c r="N265" s="733"/>
      <c r="O265" s="924"/>
      <c r="P265" t="b">
        <f t="shared" si="36"/>
        <v>0</v>
      </c>
    </row>
    <row r="266" spans="1:16" ht="15.6">
      <c r="A266" s="650">
        <v>34</v>
      </c>
      <c r="B266" s="603" t="s">
        <v>653</v>
      </c>
      <c r="C266" s="599" t="s">
        <v>654</v>
      </c>
      <c r="D266" s="603" t="s">
        <v>452</v>
      </c>
      <c r="E266" s="711">
        <v>2473788.4399000001</v>
      </c>
      <c r="F266" s="711">
        <v>6298.5686999999998</v>
      </c>
      <c r="G266" s="540">
        <f t="shared" si="43"/>
        <v>2.4737884399000003</v>
      </c>
      <c r="H266" s="631">
        <f t="shared" si="42"/>
        <v>6.2985686999999997</v>
      </c>
      <c r="I266" s="712" t="s">
        <v>0</v>
      </c>
      <c r="J266" s="713" t="s">
        <v>0</v>
      </c>
      <c r="K266" s="714"/>
      <c r="L266" s="715"/>
      <c r="M266" s="737" t="s">
        <v>0</v>
      </c>
      <c r="N266" s="735" t="s">
        <v>0</v>
      </c>
      <c r="O266" s="924"/>
      <c r="P266" t="b">
        <f t="shared" si="36"/>
        <v>0</v>
      </c>
    </row>
    <row r="267" spans="1:16" ht="16.2" thickBot="1">
      <c r="A267" s="740">
        <v>35</v>
      </c>
      <c r="B267" s="636" t="s">
        <v>653</v>
      </c>
      <c r="C267" s="637" t="s">
        <v>655</v>
      </c>
      <c r="D267" s="636" t="s">
        <v>608</v>
      </c>
      <c r="E267" s="722">
        <v>1625000</v>
      </c>
      <c r="F267" s="722">
        <v>6450</v>
      </c>
      <c r="G267" s="640">
        <f t="shared" si="43"/>
        <v>1.625</v>
      </c>
      <c r="H267" s="723">
        <f t="shared" si="42"/>
        <v>6.45</v>
      </c>
      <c r="I267" s="724"/>
      <c r="J267" s="725" t="s">
        <v>0</v>
      </c>
      <c r="K267" s="726"/>
      <c r="L267" s="727"/>
      <c r="M267" s="736"/>
      <c r="N267" s="733" t="s">
        <v>0</v>
      </c>
      <c r="O267" s="924"/>
      <c r="P267" t="b">
        <f t="shared" si="36"/>
        <v>0</v>
      </c>
    </row>
    <row r="268" spans="1:16" ht="15.6">
      <c r="A268" s="650">
        <v>36</v>
      </c>
      <c r="B268" s="603" t="s">
        <v>656</v>
      </c>
      <c r="C268" s="599" t="s">
        <v>657</v>
      </c>
      <c r="D268" s="603" t="s">
        <v>452</v>
      </c>
      <c r="E268" s="711">
        <v>2473788.4399000001</v>
      </c>
      <c r="F268" s="711">
        <v>6298.5686999999998</v>
      </c>
      <c r="G268" s="540">
        <f t="shared" si="43"/>
        <v>2.4737884399000003</v>
      </c>
      <c r="H268" s="631">
        <f t="shared" si="42"/>
        <v>6.2985686999999997</v>
      </c>
      <c r="I268" s="712" t="s">
        <v>0</v>
      </c>
      <c r="J268" s="713" t="s">
        <v>0</v>
      </c>
      <c r="K268" s="714"/>
      <c r="L268" s="715"/>
      <c r="M268" s="737" t="s">
        <v>0</v>
      </c>
      <c r="N268" s="735" t="s">
        <v>0</v>
      </c>
      <c r="O268" s="924"/>
      <c r="P268" t="b">
        <f t="shared" si="36"/>
        <v>0</v>
      </c>
    </row>
    <row r="269" spans="1:16" ht="16.2" thickBot="1">
      <c r="A269" s="740">
        <v>37</v>
      </c>
      <c r="B269" s="636" t="s">
        <v>656</v>
      </c>
      <c r="C269" s="637" t="s">
        <v>658</v>
      </c>
      <c r="D269" s="636" t="s">
        <v>608</v>
      </c>
      <c r="E269" s="722">
        <v>1625000</v>
      </c>
      <c r="F269" s="722">
        <v>6450</v>
      </c>
      <c r="G269" s="640">
        <f t="shared" si="43"/>
        <v>1.625</v>
      </c>
      <c r="H269" s="723">
        <f t="shared" si="42"/>
        <v>6.45</v>
      </c>
      <c r="I269" s="724"/>
      <c r="J269" s="725"/>
      <c r="K269" s="726"/>
      <c r="L269" s="727"/>
      <c r="M269" s="736"/>
      <c r="N269" s="733"/>
      <c r="O269" s="924"/>
      <c r="P269" t="b">
        <f t="shared" si="36"/>
        <v>0</v>
      </c>
    </row>
    <row r="270" spans="1:16" ht="16.2" thickBot="1">
      <c r="A270" s="650">
        <v>38</v>
      </c>
      <c r="B270" s="603" t="s">
        <v>659</v>
      </c>
      <c r="C270" s="599" t="s">
        <v>660</v>
      </c>
      <c r="D270" s="598" t="s">
        <v>410</v>
      </c>
      <c r="E270" s="711">
        <v>13992613.993100001</v>
      </c>
      <c r="F270" s="711">
        <v>16210</v>
      </c>
      <c r="G270" s="540">
        <f t="shared" si="43"/>
        <v>13.992613993100001</v>
      </c>
      <c r="H270" s="631">
        <v>12.11</v>
      </c>
      <c r="I270" s="738">
        <v>13.992613993100001</v>
      </c>
      <c r="J270" s="739">
        <v>12.11</v>
      </c>
      <c r="K270" s="714"/>
      <c r="L270" s="715"/>
      <c r="M270" s="718">
        <f t="shared" ref="M270:N270" si="46">K270+I270</f>
        <v>13.992613993100001</v>
      </c>
      <c r="N270" s="746">
        <f t="shared" si="46"/>
        <v>12.11</v>
      </c>
      <c r="O270" s="924"/>
      <c r="P270" t="b">
        <f t="shared" si="36"/>
        <v>1</v>
      </c>
    </row>
    <row r="271" spans="1:16" ht="16.2" thickBot="1">
      <c r="A271" s="603">
        <v>39</v>
      </c>
      <c r="B271" s="602" t="s">
        <v>659</v>
      </c>
      <c r="C271" s="539" t="s">
        <v>661</v>
      </c>
      <c r="D271" s="602" t="s">
        <v>452</v>
      </c>
      <c r="E271" s="720">
        <v>2473381.8352999999</v>
      </c>
      <c r="F271" s="720">
        <v>6298.0581000000002</v>
      </c>
      <c r="G271" s="584">
        <f t="shared" si="43"/>
        <v>2.4733818353000001</v>
      </c>
      <c r="H271" s="721">
        <f>F271/1000</f>
        <v>6.2980581000000004</v>
      </c>
      <c r="I271" s="738"/>
      <c r="J271" s="739"/>
      <c r="K271" s="714"/>
      <c r="L271" s="715"/>
      <c r="M271" s="922">
        <f t="shared" ref="M271:M278" si="47">K271+I271</f>
        <v>0</v>
      </c>
      <c r="N271" s="746">
        <f t="shared" ref="N271:N278" si="48">L271+J271</f>
        <v>0</v>
      </c>
      <c r="O271" s="924"/>
      <c r="P271" t="b">
        <f t="shared" si="36"/>
        <v>0</v>
      </c>
    </row>
    <row r="272" spans="1:16" ht="16.2" thickBot="1">
      <c r="A272" s="650">
        <v>40</v>
      </c>
      <c r="B272" s="602" t="s">
        <v>659</v>
      </c>
      <c r="C272" s="539" t="s">
        <v>662</v>
      </c>
      <c r="D272" s="538" t="s">
        <v>606</v>
      </c>
      <c r="E272" s="720">
        <v>11672732.7882</v>
      </c>
      <c r="F272" s="720">
        <v>15934.840700000001</v>
      </c>
      <c r="G272" s="584">
        <v>11.61</v>
      </c>
      <c r="H272" s="721">
        <v>13.03</v>
      </c>
      <c r="I272" s="738">
        <v>11.61</v>
      </c>
      <c r="J272" s="739">
        <v>13.03</v>
      </c>
      <c r="K272" s="714"/>
      <c r="L272" s="715"/>
      <c r="M272" s="922">
        <f t="shared" si="47"/>
        <v>11.61</v>
      </c>
      <c r="N272" s="746">
        <f t="shared" si="48"/>
        <v>13.03</v>
      </c>
      <c r="O272" s="924"/>
      <c r="P272" t="b">
        <f t="shared" si="36"/>
        <v>1</v>
      </c>
    </row>
    <row r="273" spans="1:16" ht="16.2" thickBot="1">
      <c r="A273" s="603">
        <v>41</v>
      </c>
      <c r="B273" s="602" t="s">
        <v>659</v>
      </c>
      <c r="C273" s="539" t="s">
        <v>663</v>
      </c>
      <c r="D273" s="602" t="s">
        <v>464</v>
      </c>
      <c r="E273" s="720">
        <v>19267410.621100001</v>
      </c>
      <c r="F273" s="720">
        <v>21648.3171</v>
      </c>
      <c r="G273" s="584">
        <f t="shared" si="43"/>
        <v>19.267410621100002</v>
      </c>
      <c r="H273" s="721">
        <f t="shared" ref="H273:H278" si="49">F273/1000</f>
        <v>21.6483171</v>
      </c>
      <c r="I273" s="738"/>
      <c r="J273" s="739"/>
      <c r="K273" s="714">
        <f>90%*19.2674106211</f>
        <v>17.340669558990001</v>
      </c>
      <c r="L273" s="715">
        <f>90%*21.6483171</f>
        <v>19.483485390000002</v>
      </c>
      <c r="M273" s="922">
        <f t="shared" si="47"/>
        <v>17.340669558990001</v>
      </c>
      <c r="N273" s="746">
        <f t="shared" si="48"/>
        <v>19.483485390000002</v>
      </c>
      <c r="O273" s="923" t="s">
        <v>757</v>
      </c>
      <c r="P273" t="b">
        <f t="shared" si="36"/>
        <v>0</v>
      </c>
    </row>
    <row r="274" spans="1:16" ht="16.2" thickBot="1">
      <c r="A274" s="650">
        <v>42</v>
      </c>
      <c r="B274" s="602" t="s">
        <v>659</v>
      </c>
      <c r="C274" s="539" t="s">
        <v>664</v>
      </c>
      <c r="D274" s="602" t="s">
        <v>665</v>
      </c>
      <c r="E274" s="720">
        <v>3480370.3772</v>
      </c>
      <c r="F274" s="720">
        <v>7856.1043</v>
      </c>
      <c r="G274" s="584">
        <f t="shared" si="43"/>
        <v>3.4803703771999999</v>
      </c>
      <c r="H274" s="721">
        <f t="shared" si="49"/>
        <v>7.8561043000000002</v>
      </c>
      <c r="I274" s="738"/>
      <c r="J274" s="739"/>
      <c r="K274" s="714"/>
      <c r="L274" s="715"/>
      <c r="M274" s="922">
        <f t="shared" si="47"/>
        <v>0</v>
      </c>
      <c r="N274" s="746">
        <f t="shared" si="48"/>
        <v>0</v>
      </c>
      <c r="O274" s="924"/>
      <c r="P274" t="b">
        <f t="shared" si="36"/>
        <v>0</v>
      </c>
    </row>
    <row r="275" spans="1:16" ht="15.75" customHeight="1" thickBot="1">
      <c r="A275" s="603">
        <v>43</v>
      </c>
      <c r="B275" s="602" t="s">
        <v>659</v>
      </c>
      <c r="C275" s="539" t="s">
        <v>666</v>
      </c>
      <c r="D275" s="602" t="s">
        <v>667</v>
      </c>
      <c r="E275" s="720">
        <v>141430649.45590001</v>
      </c>
      <c r="F275" s="720">
        <v>50527.261700000003</v>
      </c>
      <c r="G275" s="584">
        <f t="shared" si="43"/>
        <v>141.43064945590001</v>
      </c>
      <c r="H275" s="721">
        <f t="shared" si="49"/>
        <v>50.527261700000004</v>
      </c>
      <c r="I275" s="738"/>
      <c r="J275" s="739"/>
      <c r="K275" s="714">
        <v>141.43064945590001</v>
      </c>
      <c r="L275" s="715">
        <v>50.527261700000004</v>
      </c>
      <c r="M275" s="922">
        <f t="shared" si="47"/>
        <v>141.43064945590001</v>
      </c>
      <c r="N275" s="746">
        <f t="shared" si="48"/>
        <v>50.527261700000004</v>
      </c>
      <c r="O275" s="925" t="s">
        <v>773</v>
      </c>
      <c r="P275" t="b">
        <f t="shared" si="36"/>
        <v>1</v>
      </c>
    </row>
    <row r="276" spans="1:16" ht="15.75" customHeight="1" thickBot="1">
      <c r="A276" s="650">
        <v>44</v>
      </c>
      <c r="B276" s="602" t="s">
        <v>659</v>
      </c>
      <c r="C276" s="539" t="s">
        <v>668</v>
      </c>
      <c r="D276" s="602" t="s">
        <v>667</v>
      </c>
      <c r="E276" s="720">
        <v>303409349.12419999</v>
      </c>
      <c r="F276" s="720">
        <v>70045.048800000004</v>
      </c>
      <c r="G276" s="584">
        <f t="shared" si="43"/>
        <v>303.40934912419999</v>
      </c>
      <c r="H276" s="721">
        <f t="shared" si="49"/>
        <v>70.045048800000004</v>
      </c>
      <c r="I276" s="738">
        <v>303.40934912419999</v>
      </c>
      <c r="J276" s="739">
        <v>70.045048800000004</v>
      </c>
      <c r="K276" s="714"/>
      <c r="L276" s="715"/>
      <c r="M276" s="922">
        <f t="shared" si="47"/>
        <v>303.40934912419999</v>
      </c>
      <c r="N276" s="746">
        <f t="shared" si="48"/>
        <v>70.045048800000004</v>
      </c>
      <c r="O276" s="924"/>
      <c r="P276" t="b">
        <f t="shared" si="36"/>
        <v>1</v>
      </c>
    </row>
    <row r="277" spans="1:16" ht="15.75" customHeight="1" thickBot="1">
      <c r="A277" s="603">
        <v>45</v>
      </c>
      <c r="B277" s="602" t="s">
        <v>659</v>
      </c>
      <c r="C277" s="539"/>
      <c r="D277" s="602" t="s">
        <v>608</v>
      </c>
      <c r="E277" s="720">
        <v>1625000</v>
      </c>
      <c r="F277" s="720">
        <v>6450</v>
      </c>
      <c r="G277" s="584">
        <f t="shared" si="43"/>
        <v>1.625</v>
      </c>
      <c r="H277" s="721">
        <f t="shared" si="49"/>
        <v>6.45</v>
      </c>
      <c r="I277" s="738"/>
      <c r="J277" s="739"/>
      <c r="K277" s="714"/>
      <c r="L277" s="715"/>
      <c r="M277" s="922">
        <f t="shared" si="47"/>
        <v>0</v>
      </c>
      <c r="N277" s="746">
        <f t="shared" si="48"/>
        <v>0</v>
      </c>
      <c r="O277" s="924"/>
      <c r="P277" t="b">
        <f t="shared" si="36"/>
        <v>0</v>
      </c>
    </row>
    <row r="278" spans="1:16" ht="15.75" customHeight="1">
      <c r="A278" s="650">
        <v>46</v>
      </c>
      <c r="B278" s="630" t="s">
        <v>659</v>
      </c>
      <c r="C278" s="619" t="s">
        <v>669</v>
      </c>
      <c r="D278" s="630" t="s">
        <v>670</v>
      </c>
      <c r="E278" s="747">
        <v>8180522.0311000003</v>
      </c>
      <c r="F278" s="747">
        <v>11891.5093</v>
      </c>
      <c r="G278" s="748">
        <f t="shared" si="43"/>
        <v>8.1805220311000006</v>
      </c>
      <c r="H278" s="749">
        <f t="shared" si="49"/>
        <v>11.891509299999999</v>
      </c>
      <c r="I278" s="738">
        <v>0</v>
      </c>
      <c r="J278" s="739">
        <v>0</v>
      </c>
      <c r="K278" s="714"/>
      <c r="L278" s="715"/>
      <c r="M278" s="922">
        <f t="shared" si="47"/>
        <v>0</v>
      </c>
      <c r="N278" s="746">
        <f t="shared" si="48"/>
        <v>0</v>
      </c>
      <c r="O278" s="924"/>
      <c r="P278" t="b">
        <f t="shared" si="36"/>
        <v>0</v>
      </c>
    </row>
    <row r="279" spans="1:16" ht="16.5" customHeight="1" thickBot="1">
      <c r="A279" s="740">
        <v>47</v>
      </c>
      <c r="B279" s="636" t="s">
        <v>659</v>
      </c>
      <c r="C279" s="637" t="s">
        <v>671</v>
      </c>
      <c r="D279" s="750" t="s">
        <v>672</v>
      </c>
      <c r="E279" s="751">
        <v>30723584.1087</v>
      </c>
      <c r="F279" s="751">
        <v>22071.609</v>
      </c>
      <c r="G279" s="640">
        <v>30.23</v>
      </c>
      <c r="H279" s="641">
        <v>20.21</v>
      </c>
      <c r="I279" s="724">
        <v>30.23</v>
      </c>
      <c r="J279" s="725">
        <v>20.21</v>
      </c>
      <c r="K279" s="726"/>
      <c r="L279" s="727"/>
      <c r="M279" s="718">
        <f t="shared" ref="M279:N280" si="50">K279+I279</f>
        <v>30.23</v>
      </c>
      <c r="N279" s="733">
        <f>J279</f>
        <v>20.21</v>
      </c>
      <c r="O279" s="924"/>
      <c r="P279" t="b">
        <f t="shared" si="36"/>
        <v>1</v>
      </c>
    </row>
    <row r="280" spans="1:16" ht="16.5" customHeight="1">
      <c r="A280" s="650">
        <v>48</v>
      </c>
      <c r="B280" s="603" t="s">
        <v>283</v>
      </c>
      <c r="C280" s="565" t="s">
        <v>673</v>
      </c>
      <c r="D280" s="564" t="s">
        <v>410</v>
      </c>
      <c r="E280" s="743">
        <v>13992613.993100001</v>
      </c>
      <c r="F280" s="743">
        <v>16210</v>
      </c>
      <c r="G280" s="566">
        <v>14.99</v>
      </c>
      <c r="H280" s="629">
        <v>17.21</v>
      </c>
      <c r="I280" s="712">
        <v>14.99</v>
      </c>
      <c r="J280" s="713">
        <v>17.21</v>
      </c>
      <c r="K280" s="752"/>
      <c r="L280" s="753"/>
      <c r="M280" s="718">
        <f t="shared" si="50"/>
        <v>14.99</v>
      </c>
      <c r="N280" s="719">
        <f t="shared" si="50"/>
        <v>17.21</v>
      </c>
      <c r="O280" s="924"/>
      <c r="P280" t="b">
        <f t="shared" si="36"/>
        <v>1</v>
      </c>
    </row>
    <row r="281" spans="1:16" ht="16.5" customHeight="1">
      <c r="A281" s="603">
        <v>49</v>
      </c>
      <c r="B281" s="603" t="s">
        <v>283</v>
      </c>
      <c r="C281" s="599" t="s">
        <v>674</v>
      </c>
      <c r="D281" s="603" t="s">
        <v>452</v>
      </c>
      <c r="E281" s="711">
        <v>1907793.882</v>
      </c>
      <c r="F281" s="711">
        <v>5612.1026000000002</v>
      </c>
      <c r="G281" s="540">
        <f>E281/1000000</f>
        <v>1.907793882</v>
      </c>
      <c r="H281" s="631">
        <f>F281/1000</f>
        <v>5.6121026000000001</v>
      </c>
      <c r="I281" s="712"/>
      <c r="J281" s="713"/>
      <c r="K281" s="752"/>
      <c r="L281" s="753"/>
      <c r="M281" s="754"/>
      <c r="N281" s="755"/>
      <c r="O281" s="924"/>
      <c r="P281" t="b">
        <f t="shared" si="36"/>
        <v>0</v>
      </c>
    </row>
    <row r="282" spans="1:16" ht="16.5" customHeight="1">
      <c r="A282" s="650">
        <v>50</v>
      </c>
      <c r="B282" s="602" t="s">
        <v>283</v>
      </c>
      <c r="C282" s="539" t="s">
        <v>675</v>
      </c>
      <c r="D282" s="538" t="s">
        <v>606</v>
      </c>
      <c r="E282" s="720">
        <v>11672732.7882</v>
      </c>
      <c r="F282" s="720">
        <v>15934.840700000001</v>
      </c>
      <c r="G282" s="584">
        <v>9.5500000000000007</v>
      </c>
      <c r="H282" s="721">
        <v>15.1</v>
      </c>
      <c r="I282" s="712">
        <v>9.5500000000000007</v>
      </c>
      <c r="J282" s="713">
        <v>15.1</v>
      </c>
      <c r="K282" s="752"/>
      <c r="L282" s="753"/>
      <c r="M282" s="718">
        <f t="shared" ref="M282:N282" si="51">K282+I282</f>
        <v>9.5500000000000007</v>
      </c>
      <c r="N282" s="719">
        <f t="shared" si="51"/>
        <v>15.1</v>
      </c>
      <c r="O282" s="923"/>
      <c r="P282" t="b">
        <f t="shared" si="36"/>
        <v>1</v>
      </c>
    </row>
    <row r="283" spans="1:16" ht="16.5" customHeight="1" thickBot="1">
      <c r="A283" s="740">
        <v>51</v>
      </c>
      <c r="B283" s="636" t="s">
        <v>283</v>
      </c>
      <c r="C283" s="637" t="s">
        <v>676</v>
      </c>
      <c r="D283" s="636" t="s">
        <v>608</v>
      </c>
      <c r="E283" s="722">
        <v>1625000</v>
      </c>
      <c r="F283" s="722">
        <v>6450</v>
      </c>
      <c r="G283" s="640">
        <f>E283/1000000</f>
        <v>1.625</v>
      </c>
      <c r="H283" s="723">
        <f>F283/1000</f>
        <v>6.45</v>
      </c>
      <c r="I283" s="724"/>
      <c r="J283" s="725"/>
      <c r="K283" s="726">
        <f>90%*1.625</f>
        <v>1.4625000000000001</v>
      </c>
      <c r="L283" s="727">
        <f>90%*6.45</f>
        <v>5.8050000000000006</v>
      </c>
      <c r="M283" s="756"/>
      <c r="N283" s="757"/>
      <c r="O283" s="924" t="s">
        <v>757</v>
      </c>
      <c r="P283" t="b">
        <f t="shared" ref="P283:P317" si="52">H283=N283</f>
        <v>0</v>
      </c>
    </row>
    <row r="284" spans="1:16" ht="16.5" customHeight="1">
      <c r="A284" s="650">
        <v>52</v>
      </c>
      <c r="B284" s="603" t="s">
        <v>284</v>
      </c>
      <c r="C284" s="565" t="s">
        <v>677</v>
      </c>
      <c r="D284" s="564" t="s">
        <v>410</v>
      </c>
      <c r="E284" s="743">
        <v>13992613.993100001</v>
      </c>
      <c r="F284" s="743">
        <v>16210</v>
      </c>
      <c r="G284" s="566">
        <v>14.99</v>
      </c>
      <c r="H284" s="629">
        <v>17.21</v>
      </c>
      <c r="I284" s="712">
        <v>14.99</v>
      </c>
      <c r="J284" s="739">
        <v>17.21</v>
      </c>
      <c r="K284" s="714"/>
      <c r="L284" s="715"/>
      <c r="M284" s="718">
        <f t="shared" ref="M284:N284" si="53">K284+I284</f>
        <v>14.99</v>
      </c>
      <c r="N284" s="719">
        <f t="shared" si="53"/>
        <v>17.21</v>
      </c>
      <c r="O284" s="924"/>
      <c r="P284" t="b">
        <f t="shared" si="52"/>
        <v>1</v>
      </c>
    </row>
    <row r="285" spans="1:16" ht="16.5" customHeight="1">
      <c r="A285" s="603">
        <v>53</v>
      </c>
      <c r="B285" s="602" t="s">
        <v>284</v>
      </c>
      <c r="C285" s="599" t="s">
        <v>678</v>
      </c>
      <c r="D285" s="603" t="s">
        <v>452</v>
      </c>
      <c r="E285" s="711">
        <v>1907793.882</v>
      </c>
      <c r="F285" s="711">
        <v>5612.1026000000002</v>
      </c>
      <c r="G285" s="540">
        <f>E285/1000000</f>
        <v>1.907793882</v>
      </c>
      <c r="H285" s="631">
        <f>F285/1000</f>
        <v>5.6121026000000001</v>
      </c>
      <c r="I285" s="712"/>
      <c r="J285" s="739"/>
      <c r="K285" s="714"/>
      <c r="L285" s="715"/>
      <c r="M285" s="758"/>
      <c r="N285" s="759"/>
      <c r="O285" s="924"/>
      <c r="P285" t="b">
        <f t="shared" si="52"/>
        <v>0</v>
      </c>
    </row>
    <row r="286" spans="1:16" ht="16.5" customHeight="1">
      <c r="A286" s="650">
        <v>54</v>
      </c>
      <c r="B286" s="602" t="s">
        <v>284</v>
      </c>
      <c r="C286" s="539" t="s">
        <v>679</v>
      </c>
      <c r="D286" s="538" t="s">
        <v>606</v>
      </c>
      <c r="E286" s="720">
        <v>11672732.7882</v>
      </c>
      <c r="F286" s="720">
        <v>15934.840700000001</v>
      </c>
      <c r="G286" s="584">
        <v>9.5500000000000007</v>
      </c>
      <c r="H286" s="721">
        <v>15.1</v>
      </c>
      <c r="I286" s="712">
        <v>9.5500000000000007</v>
      </c>
      <c r="J286" s="739">
        <v>15.1</v>
      </c>
      <c r="K286" s="714"/>
      <c r="L286" s="715"/>
      <c r="M286" s="718">
        <f t="shared" ref="M286:N286" si="54">K286+I286</f>
        <v>9.5500000000000007</v>
      </c>
      <c r="N286" s="719">
        <f t="shared" si="54"/>
        <v>15.1</v>
      </c>
      <c r="O286" s="924"/>
      <c r="P286" t="b">
        <f t="shared" si="52"/>
        <v>1</v>
      </c>
    </row>
    <row r="287" spans="1:16" ht="16.5" customHeight="1" thickBot="1">
      <c r="A287" s="740">
        <v>55</v>
      </c>
      <c r="B287" s="636" t="s">
        <v>284</v>
      </c>
      <c r="C287" s="637" t="s">
        <v>680</v>
      </c>
      <c r="D287" s="636" t="s">
        <v>608</v>
      </c>
      <c r="E287" s="722">
        <v>1625000</v>
      </c>
      <c r="F287" s="722">
        <v>6450</v>
      </c>
      <c r="G287" s="640">
        <v>1</v>
      </c>
      <c r="H287" s="723">
        <v>2.23</v>
      </c>
      <c r="I287" s="724">
        <v>1</v>
      </c>
      <c r="J287" s="725">
        <v>2.23</v>
      </c>
      <c r="K287" s="726"/>
      <c r="L287" s="727"/>
      <c r="M287" s="756">
        <f>K287+I287</f>
        <v>1</v>
      </c>
      <c r="N287" s="757">
        <f>L287+J287</f>
        <v>2.23</v>
      </c>
      <c r="O287" s="924"/>
      <c r="P287" t="b">
        <f t="shared" si="52"/>
        <v>1</v>
      </c>
    </row>
    <row r="288" spans="1:16" ht="16.5" customHeight="1">
      <c r="A288" s="650">
        <v>56</v>
      </c>
      <c r="B288" s="742" t="s">
        <v>285</v>
      </c>
      <c r="C288" s="565" t="s">
        <v>681</v>
      </c>
      <c r="D288" s="564" t="s">
        <v>410</v>
      </c>
      <c r="E288" s="760">
        <v>13992613.993100001</v>
      </c>
      <c r="F288" s="760">
        <v>16210</v>
      </c>
      <c r="G288" s="566">
        <v>14.99</v>
      </c>
      <c r="H288" s="629">
        <v>17.21</v>
      </c>
      <c r="I288" s="761">
        <v>14.99</v>
      </c>
      <c r="J288" s="762">
        <v>17.21</v>
      </c>
      <c r="K288" s="763"/>
      <c r="L288" s="764"/>
      <c r="M288" s="765">
        <f>I288</f>
        <v>14.99</v>
      </c>
      <c r="N288" s="766">
        <f>J288</f>
        <v>17.21</v>
      </c>
      <c r="O288" s="924"/>
      <c r="P288" t="b">
        <f t="shared" si="52"/>
        <v>1</v>
      </c>
    </row>
    <row r="289" spans="1:16" ht="16.5" customHeight="1">
      <c r="A289" s="603">
        <v>57</v>
      </c>
      <c r="B289" s="603" t="s">
        <v>285</v>
      </c>
      <c r="C289" s="599" t="s">
        <v>682</v>
      </c>
      <c r="D289" s="603" t="s">
        <v>452</v>
      </c>
      <c r="E289" s="711">
        <v>1907793.882</v>
      </c>
      <c r="F289" s="711">
        <v>5612.1026000000002</v>
      </c>
      <c r="G289" s="540">
        <f>E289/1000000</f>
        <v>1.907793882</v>
      </c>
      <c r="H289" s="631">
        <f>F289/1000</f>
        <v>5.6121026000000001</v>
      </c>
      <c r="I289" s="712">
        <v>0</v>
      </c>
      <c r="J289" s="713">
        <v>0</v>
      </c>
      <c r="K289" s="752"/>
      <c r="L289" s="753"/>
      <c r="M289" s="767">
        <f>K289+I289</f>
        <v>0</v>
      </c>
      <c r="N289" s="768">
        <f>L289+J289</f>
        <v>0</v>
      </c>
      <c r="O289" s="924"/>
      <c r="P289" t="b">
        <f t="shared" si="52"/>
        <v>0</v>
      </c>
    </row>
    <row r="290" spans="1:16" ht="16.5" customHeight="1">
      <c r="A290" s="650">
        <v>58</v>
      </c>
      <c r="B290" s="602" t="s">
        <v>285</v>
      </c>
      <c r="C290" s="539" t="s">
        <v>683</v>
      </c>
      <c r="D290" s="538" t="s">
        <v>665</v>
      </c>
      <c r="E290" s="720">
        <v>3480370.3772</v>
      </c>
      <c r="F290" s="720">
        <v>7856.1043</v>
      </c>
      <c r="G290" s="584">
        <v>1.28</v>
      </c>
      <c r="H290" s="721">
        <v>2.15</v>
      </c>
      <c r="I290" s="712">
        <v>1.28</v>
      </c>
      <c r="J290" s="713">
        <v>2.15</v>
      </c>
      <c r="K290" s="752"/>
      <c r="L290" s="753"/>
      <c r="M290" s="754">
        <f>I290</f>
        <v>1.28</v>
      </c>
      <c r="N290" s="755">
        <f>J290</f>
        <v>2.15</v>
      </c>
      <c r="O290" s="924"/>
      <c r="P290" t="b">
        <f t="shared" si="52"/>
        <v>1</v>
      </c>
    </row>
    <row r="291" spans="1:16" ht="16.5" customHeight="1" thickBot="1">
      <c r="A291" s="740">
        <v>59</v>
      </c>
      <c r="B291" s="636" t="s">
        <v>285</v>
      </c>
      <c r="C291" s="637" t="s">
        <v>684</v>
      </c>
      <c r="D291" s="636" t="s">
        <v>608</v>
      </c>
      <c r="E291" s="722">
        <v>1625000</v>
      </c>
      <c r="F291" s="722">
        <v>6450</v>
      </c>
      <c r="G291" s="640">
        <v>1</v>
      </c>
      <c r="H291" s="723">
        <v>2.23</v>
      </c>
      <c r="I291" s="724">
        <v>1</v>
      </c>
      <c r="J291" s="725">
        <v>2.23</v>
      </c>
      <c r="K291" s="726"/>
      <c r="L291" s="727"/>
      <c r="M291" s="769">
        <f>K291+I291</f>
        <v>1</v>
      </c>
      <c r="N291" s="770">
        <f>L291+J291</f>
        <v>2.23</v>
      </c>
      <c r="O291" s="924"/>
      <c r="P291" t="b">
        <f t="shared" si="52"/>
        <v>1</v>
      </c>
    </row>
    <row r="292" spans="1:16" ht="16.5" customHeight="1">
      <c r="A292" s="650">
        <v>60</v>
      </c>
      <c r="B292" s="603" t="s">
        <v>286</v>
      </c>
      <c r="C292" s="565" t="s">
        <v>685</v>
      </c>
      <c r="D292" s="564" t="s">
        <v>410</v>
      </c>
      <c r="E292" s="743">
        <v>13992613.993100001</v>
      </c>
      <c r="F292" s="743">
        <v>16210</v>
      </c>
      <c r="G292" s="566">
        <v>14.99</v>
      </c>
      <c r="H292" s="629">
        <v>17.21</v>
      </c>
      <c r="I292" s="712">
        <v>14.99</v>
      </c>
      <c r="J292" s="713">
        <v>17.21</v>
      </c>
      <c r="K292" s="752"/>
      <c r="L292" s="753"/>
      <c r="M292" s="765">
        <f>I292</f>
        <v>14.99</v>
      </c>
      <c r="N292" s="766">
        <f>J292</f>
        <v>17.21</v>
      </c>
      <c r="O292" s="924"/>
      <c r="P292" t="b">
        <f t="shared" si="52"/>
        <v>1</v>
      </c>
    </row>
    <row r="293" spans="1:16" ht="16.5" customHeight="1">
      <c r="A293" s="603">
        <v>61</v>
      </c>
      <c r="B293" s="603" t="s">
        <v>286</v>
      </c>
      <c r="C293" s="599" t="s">
        <v>686</v>
      </c>
      <c r="D293" s="603" t="s">
        <v>452</v>
      </c>
      <c r="E293" s="711">
        <v>1907793.882</v>
      </c>
      <c r="F293" s="711">
        <v>5612.1026000000002</v>
      </c>
      <c r="G293" s="540">
        <f>E293/1000000</f>
        <v>1.907793882</v>
      </c>
      <c r="H293" s="631">
        <f>F293/1000</f>
        <v>5.6121026000000001</v>
      </c>
      <c r="I293" s="712">
        <v>0</v>
      </c>
      <c r="J293" s="713">
        <v>0</v>
      </c>
      <c r="K293" s="752"/>
      <c r="L293" s="753"/>
      <c r="M293" s="771">
        <f>K293+I293</f>
        <v>0</v>
      </c>
      <c r="N293" s="772">
        <f>L293+J293</f>
        <v>0</v>
      </c>
      <c r="O293" s="924"/>
      <c r="P293" t="b">
        <f t="shared" si="52"/>
        <v>0</v>
      </c>
    </row>
    <row r="294" spans="1:16" ht="16.5" customHeight="1">
      <c r="A294" s="650">
        <v>62</v>
      </c>
      <c r="B294" s="602" t="s">
        <v>286</v>
      </c>
      <c r="C294" s="539" t="s">
        <v>687</v>
      </c>
      <c r="D294" s="538" t="s">
        <v>606</v>
      </c>
      <c r="E294" s="720">
        <v>11672732.7882</v>
      </c>
      <c r="F294" s="720">
        <v>15934.840700000001</v>
      </c>
      <c r="G294" s="584">
        <v>9.5500000000000007</v>
      </c>
      <c r="H294" s="721">
        <v>15.1</v>
      </c>
      <c r="I294" s="712">
        <v>9.5500000000000007</v>
      </c>
      <c r="J294" s="713">
        <v>15.1</v>
      </c>
      <c r="K294" s="752"/>
      <c r="L294" s="753"/>
      <c r="M294" s="754">
        <f>I294</f>
        <v>9.5500000000000007</v>
      </c>
      <c r="N294" s="755">
        <f>J294</f>
        <v>15.1</v>
      </c>
      <c r="O294" s="924"/>
      <c r="P294" t="b">
        <f t="shared" si="52"/>
        <v>1</v>
      </c>
    </row>
    <row r="295" spans="1:16" ht="16.5" customHeight="1">
      <c r="A295" s="603">
        <v>63</v>
      </c>
      <c r="B295" s="602" t="s">
        <v>286</v>
      </c>
      <c r="C295" s="539" t="s">
        <v>688</v>
      </c>
      <c r="D295" s="538" t="s">
        <v>665</v>
      </c>
      <c r="E295" s="720">
        <v>3480370.3772</v>
      </c>
      <c r="F295" s="720">
        <v>7856.1043</v>
      </c>
      <c r="G295" s="584">
        <v>1.28</v>
      </c>
      <c r="H295" s="721">
        <v>2.15</v>
      </c>
      <c r="I295" s="712">
        <v>1.28</v>
      </c>
      <c r="J295" s="713">
        <v>2.15</v>
      </c>
      <c r="K295" s="752"/>
      <c r="L295" s="753"/>
      <c r="M295" s="754">
        <f>I295</f>
        <v>1.28</v>
      </c>
      <c r="N295" s="755">
        <f>J295</f>
        <v>2.15</v>
      </c>
      <c r="O295" s="924"/>
      <c r="P295" t="b">
        <f t="shared" si="52"/>
        <v>1</v>
      </c>
    </row>
    <row r="296" spans="1:16" ht="16.5" customHeight="1" thickBot="1">
      <c r="A296" s="636">
        <v>64</v>
      </c>
      <c r="B296" s="636" t="s">
        <v>286</v>
      </c>
      <c r="C296" s="637" t="s">
        <v>689</v>
      </c>
      <c r="D296" s="636" t="s">
        <v>608</v>
      </c>
      <c r="E296" s="722">
        <v>1625000</v>
      </c>
      <c r="F296" s="722">
        <v>6450</v>
      </c>
      <c r="G296" s="640">
        <v>1</v>
      </c>
      <c r="H296" s="723">
        <v>2.23</v>
      </c>
      <c r="I296" s="724">
        <v>1</v>
      </c>
      <c r="J296" s="725">
        <v>2.23</v>
      </c>
      <c r="K296" s="726"/>
      <c r="L296" s="727"/>
      <c r="M296" s="769">
        <f>K296+I296</f>
        <v>1</v>
      </c>
      <c r="N296" s="770">
        <f>L296+J296</f>
        <v>2.23</v>
      </c>
      <c r="O296" s="924"/>
      <c r="P296" t="b">
        <f t="shared" si="52"/>
        <v>1</v>
      </c>
    </row>
    <row r="297" spans="1:16" ht="16.5" customHeight="1">
      <c r="A297" s="603">
        <v>65</v>
      </c>
      <c r="B297" s="603" t="s">
        <v>287</v>
      </c>
      <c r="C297" s="565" t="s">
        <v>690</v>
      </c>
      <c r="D297" s="564" t="s">
        <v>410</v>
      </c>
      <c r="E297" s="743">
        <v>13992613.993100001</v>
      </c>
      <c r="F297" s="743">
        <v>16210</v>
      </c>
      <c r="G297" s="566">
        <v>14.99</v>
      </c>
      <c r="H297" s="629">
        <v>17.21</v>
      </c>
      <c r="I297" s="712">
        <v>14.99</v>
      </c>
      <c r="J297" s="713">
        <v>17.21</v>
      </c>
      <c r="K297" s="752"/>
      <c r="L297" s="773"/>
      <c r="M297" s="765">
        <f>I297</f>
        <v>14.99</v>
      </c>
      <c r="N297" s="766">
        <f>J297</f>
        <v>17.21</v>
      </c>
      <c r="O297" s="924"/>
      <c r="P297" t="b">
        <f t="shared" si="52"/>
        <v>1</v>
      </c>
    </row>
    <row r="298" spans="1:16" ht="16.5" customHeight="1">
      <c r="A298" s="650">
        <v>66</v>
      </c>
      <c r="B298" s="603" t="s">
        <v>287</v>
      </c>
      <c r="C298" s="599" t="s">
        <v>691</v>
      </c>
      <c r="D298" s="603" t="s">
        <v>452</v>
      </c>
      <c r="E298" s="711">
        <v>1907793.882</v>
      </c>
      <c r="F298" s="711">
        <v>5612.1026000000002</v>
      </c>
      <c r="G298" s="540">
        <f>E298/1000000</f>
        <v>1.907793882</v>
      </c>
      <c r="H298" s="631">
        <f>F298/1000</f>
        <v>5.6121026000000001</v>
      </c>
      <c r="I298" s="712">
        <v>0</v>
      </c>
      <c r="J298" s="713">
        <v>0</v>
      </c>
      <c r="K298" s="752"/>
      <c r="L298" s="774"/>
      <c r="M298" s="771">
        <f>K298+I298</f>
        <v>0</v>
      </c>
      <c r="N298" s="772">
        <f>L298+J298</f>
        <v>0</v>
      </c>
      <c r="O298" s="924"/>
      <c r="P298" t="b">
        <f t="shared" si="52"/>
        <v>0</v>
      </c>
    </row>
    <row r="299" spans="1:16" ht="16.5" customHeight="1">
      <c r="A299" s="603">
        <v>67</v>
      </c>
      <c r="B299" s="602" t="s">
        <v>287</v>
      </c>
      <c r="C299" s="539" t="s">
        <v>692</v>
      </c>
      <c r="D299" s="538" t="s">
        <v>606</v>
      </c>
      <c r="E299" s="720">
        <v>11672732.7882</v>
      </c>
      <c r="F299" s="720">
        <v>15934.840700000001</v>
      </c>
      <c r="G299" s="584">
        <v>9.5500000000000007</v>
      </c>
      <c r="H299" s="721">
        <v>15.1</v>
      </c>
      <c r="I299" s="712">
        <v>9.5500000000000007</v>
      </c>
      <c r="J299" s="713">
        <v>15.1</v>
      </c>
      <c r="K299" s="752"/>
      <c r="L299" s="774"/>
      <c r="M299" s="754">
        <f>I299</f>
        <v>9.5500000000000007</v>
      </c>
      <c r="N299" s="755">
        <f>J299</f>
        <v>15.1</v>
      </c>
      <c r="O299" s="924"/>
      <c r="P299" t="b">
        <f t="shared" si="52"/>
        <v>1</v>
      </c>
    </row>
    <row r="300" spans="1:16" ht="16.5" customHeight="1">
      <c r="A300" s="650">
        <v>68</v>
      </c>
      <c r="B300" s="602" t="s">
        <v>287</v>
      </c>
      <c r="C300" s="539" t="s">
        <v>693</v>
      </c>
      <c r="D300" s="538" t="s">
        <v>665</v>
      </c>
      <c r="E300" s="720">
        <v>3480370.3772</v>
      </c>
      <c r="F300" s="720">
        <v>7856.1043</v>
      </c>
      <c r="G300" s="584">
        <v>1.28</v>
      </c>
      <c r="H300" s="721">
        <v>2.15</v>
      </c>
      <c r="I300" s="712">
        <v>1.28</v>
      </c>
      <c r="J300" s="713">
        <v>2.15</v>
      </c>
      <c r="K300" s="752"/>
      <c r="L300" s="774"/>
      <c r="M300" s="754">
        <f>I300</f>
        <v>1.28</v>
      </c>
      <c r="N300" s="755">
        <f>J300</f>
        <v>2.15</v>
      </c>
      <c r="O300" s="924"/>
      <c r="P300" t="b">
        <f t="shared" si="52"/>
        <v>1</v>
      </c>
    </row>
    <row r="301" spans="1:16" ht="16.5" customHeight="1" thickBot="1">
      <c r="A301" s="740">
        <v>69</v>
      </c>
      <c r="B301" s="636" t="s">
        <v>287</v>
      </c>
      <c r="C301" s="637" t="s">
        <v>694</v>
      </c>
      <c r="D301" s="636" t="s">
        <v>608</v>
      </c>
      <c r="E301" s="722">
        <v>1625000</v>
      </c>
      <c r="F301" s="722">
        <v>6450</v>
      </c>
      <c r="G301" s="640">
        <v>1</v>
      </c>
      <c r="H301" s="723">
        <v>2.23</v>
      </c>
      <c r="I301" s="724">
        <v>1</v>
      </c>
      <c r="J301" s="725">
        <v>2.23</v>
      </c>
      <c r="K301" s="726"/>
      <c r="L301" s="775"/>
      <c r="M301" s="769">
        <f>K301+I301</f>
        <v>1</v>
      </c>
      <c r="N301" s="770">
        <f>L301+J301</f>
        <v>2.23</v>
      </c>
      <c r="O301" s="924"/>
      <c r="P301" t="b">
        <f t="shared" si="52"/>
        <v>1</v>
      </c>
    </row>
    <row r="302" spans="1:16" ht="16.5" customHeight="1">
      <c r="A302" s="650">
        <v>70</v>
      </c>
      <c r="B302" s="603" t="s">
        <v>695</v>
      </c>
      <c r="C302" s="565" t="s">
        <v>696</v>
      </c>
      <c r="D302" s="564" t="s">
        <v>410</v>
      </c>
      <c r="E302" s="743">
        <v>13992613.993100001</v>
      </c>
      <c r="F302" s="743">
        <v>16210</v>
      </c>
      <c r="G302" s="566">
        <v>14.99</v>
      </c>
      <c r="H302" s="629">
        <v>17.21</v>
      </c>
      <c r="I302" s="712">
        <v>14.99</v>
      </c>
      <c r="J302" s="713">
        <v>17.21</v>
      </c>
      <c r="K302" s="776"/>
      <c r="L302" s="777"/>
      <c r="M302" s="765">
        <f>I302</f>
        <v>14.99</v>
      </c>
      <c r="N302" s="766">
        <f>J302</f>
        <v>17.21</v>
      </c>
      <c r="O302" s="924"/>
      <c r="P302" t="b">
        <f t="shared" si="52"/>
        <v>1</v>
      </c>
    </row>
    <row r="303" spans="1:16" ht="16.5" customHeight="1">
      <c r="A303" s="603">
        <v>71</v>
      </c>
      <c r="B303" s="603" t="s">
        <v>695</v>
      </c>
      <c r="C303" s="599" t="s">
        <v>697</v>
      </c>
      <c r="D303" s="603" t="s">
        <v>452</v>
      </c>
      <c r="E303" s="711">
        <v>1907793.882</v>
      </c>
      <c r="F303" s="711">
        <v>5612.1026000000002</v>
      </c>
      <c r="G303" s="540">
        <f t="shared" ref="G303:G313" si="55">E303/1000000</f>
        <v>1.907793882</v>
      </c>
      <c r="H303" s="631">
        <f>F303/1000</f>
        <v>5.6121026000000001</v>
      </c>
      <c r="I303" s="712">
        <v>0</v>
      </c>
      <c r="J303" s="713"/>
      <c r="K303" s="776"/>
      <c r="L303" s="777"/>
      <c r="M303" s="771">
        <f>K303+I303</f>
        <v>0</v>
      </c>
      <c r="N303" s="772"/>
      <c r="O303" s="924"/>
      <c r="P303" t="b">
        <f t="shared" si="52"/>
        <v>0</v>
      </c>
    </row>
    <row r="304" spans="1:16" ht="16.5" customHeight="1">
      <c r="A304" s="650">
        <v>72</v>
      </c>
      <c r="B304" s="602" t="s">
        <v>695</v>
      </c>
      <c r="C304" s="539" t="s">
        <v>698</v>
      </c>
      <c r="D304" s="538" t="s">
        <v>606</v>
      </c>
      <c r="E304" s="720">
        <v>11672732.7882</v>
      </c>
      <c r="F304" s="720">
        <v>15934.840700000001</v>
      </c>
      <c r="G304" s="584">
        <v>9.5500000000000007</v>
      </c>
      <c r="H304" s="721">
        <v>15.1</v>
      </c>
      <c r="I304" s="712">
        <v>9.5500000000000007</v>
      </c>
      <c r="J304" s="713">
        <v>15.1</v>
      </c>
      <c r="K304" s="776"/>
      <c r="L304" s="777"/>
      <c r="M304" s="754">
        <f>I304</f>
        <v>9.5500000000000007</v>
      </c>
      <c r="N304" s="755">
        <f>J304</f>
        <v>15.1</v>
      </c>
      <c r="O304" s="924"/>
      <c r="P304" t="b">
        <f t="shared" si="52"/>
        <v>1</v>
      </c>
    </row>
    <row r="305" spans="1:16" ht="16.5" customHeight="1" thickBot="1">
      <c r="A305" s="740">
        <v>73</v>
      </c>
      <c r="B305" s="636" t="s">
        <v>695</v>
      </c>
      <c r="C305" s="637" t="s">
        <v>699</v>
      </c>
      <c r="D305" s="636" t="s">
        <v>608</v>
      </c>
      <c r="E305" s="722">
        <v>1625000</v>
      </c>
      <c r="F305" s="722">
        <v>6450</v>
      </c>
      <c r="G305" s="640">
        <f t="shared" si="55"/>
        <v>1.625</v>
      </c>
      <c r="H305" s="723">
        <f>F305/1000</f>
        <v>6.45</v>
      </c>
      <c r="I305" s="724">
        <v>0</v>
      </c>
      <c r="J305" s="725">
        <v>0</v>
      </c>
      <c r="K305" s="778"/>
      <c r="L305" s="779"/>
      <c r="M305" s="769">
        <f>K305+I305</f>
        <v>0</v>
      </c>
      <c r="N305" s="770">
        <f>L305+J305</f>
        <v>0</v>
      </c>
      <c r="O305" s="923"/>
      <c r="P305" t="b">
        <f t="shared" si="52"/>
        <v>0</v>
      </c>
    </row>
    <row r="306" spans="1:16" ht="16.5" customHeight="1" thickBot="1">
      <c r="A306" s="650"/>
      <c r="B306" s="650" t="s">
        <v>700</v>
      </c>
      <c r="C306" s="651" t="s">
        <v>735</v>
      </c>
      <c r="D306" s="650" t="s">
        <v>410</v>
      </c>
      <c r="E306" s="842">
        <v>13992304.1527</v>
      </c>
      <c r="F306" s="842">
        <v>11435.601000000001</v>
      </c>
      <c r="G306" s="632">
        <v>13.992304152699999</v>
      </c>
      <c r="H306" s="843">
        <v>11.435601</v>
      </c>
      <c r="I306" s="712"/>
      <c r="J306" s="713"/>
      <c r="K306" s="776">
        <f>90%*13.9923041527</f>
        <v>12.59307373743</v>
      </c>
      <c r="L306" s="844">
        <f>90%*11.435601</f>
        <v>10.2920409</v>
      </c>
      <c r="M306" s="754">
        <v>13.992304152699999</v>
      </c>
      <c r="N306" s="755">
        <v>11.435601</v>
      </c>
      <c r="O306" s="924" t="s">
        <v>757</v>
      </c>
    </row>
    <row r="307" spans="1:16" ht="15.6">
      <c r="A307" s="650">
        <v>74</v>
      </c>
      <c r="B307" s="603" t="s">
        <v>700</v>
      </c>
      <c r="C307" s="599" t="s">
        <v>701</v>
      </c>
      <c r="D307" s="603" t="s">
        <v>452</v>
      </c>
      <c r="E307" s="711">
        <v>1907793.882</v>
      </c>
      <c r="F307" s="711">
        <v>5612.1026000000002</v>
      </c>
      <c r="G307" s="540">
        <f t="shared" si="55"/>
        <v>1.907793882</v>
      </c>
      <c r="H307" s="631">
        <f>F307/1000</f>
        <v>5.6121026000000001</v>
      </c>
      <c r="I307" s="780">
        <v>0</v>
      </c>
      <c r="J307" s="781">
        <v>0</v>
      </c>
      <c r="K307" s="776"/>
      <c r="L307" s="777"/>
      <c r="M307" s="765">
        <f>K307+I307</f>
        <v>0</v>
      </c>
      <c r="N307" s="766">
        <f>L307+J307</f>
        <v>0</v>
      </c>
      <c r="O307" s="924"/>
      <c r="P307" t="b">
        <f t="shared" si="52"/>
        <v>0</v>
      </c>
    </row>
    <row r="308" spans="1:16" ht="15.6">
      <c r="A308" s="603">
        <v>75</v>
      </c>
      <c r="B308" s="602" t="s">
        <v>700</v>
      </c>
      <c r="C308" s="539" t="s">
        <v>702</v>
      </c>
      <c r="D308" s="602" t="s">
        <v>606</v>
      </c>
      <c r="E308" s="720">
        <v>11672732.7882</v>
      </c>
      <c r="F308" s="720">
        <v>15934.840700000001</v>
      </c>
      <c r="G308" s="584">
        <v>9.61</v>
      </c>
      <c r="H308" s="721">
        <v>12.23</v>
      </c>
      <c r="I308" s="782">
        <v>9.61</v>
      </c>
      <c r="J308" s="713">
        <v>12.23</v>
      </c>
      <c r="K308" s="776"/>
      <c r="L308" s="777"/>
      <c r="M308" s="754">
        <f>I308</f>
        <v>9.61</v>
      </c>
      <c r="N308" s="755">
        <f>J308</f>
        <v>12.23</v>
      </c>
      <c r="O308" s="924"/>
      <c r="P308" t="b">
        <f t="shared" si="52"/>
        <v>1</v>
      </c>
    </row>
    <row r="309" spans="1:16" ht="15.6">
      <c r="A309" s="650">
        <v>76</v>
      </c>
      <c r="B309" s="630" t="s">
        <v>700</v>
      </c>
      <c r="C309" s="619" t="s">
        <v>703</v>
      </c>
      <c r="D309" s="630" t="s">
        <v>704</v>
      </c>
      <c r="E309" s="720">
        <v>1625000</v>
      </c>
      <c r="F309" s="720">
        <v>6450</v>
      </c>
      <c r="G309" s="748">
        <v>44.11</v>
      </c>
      <c r="H309" s="749">
        <v>26.92</v>
      </c>
      <c r="I309" s="782">
        <v>44.11</v>
      </c>
      <c r="J309" s="713">
        <v>26.92</v>
      </c>
      <c r="K309" s="776"/>
      <c r="L309" s="777"/>
      <c r="M309" s="754">
        <f>I309</f>
        <v>44.11</v>
      </c>
      <c r="N309" s="755">
        <f>J309</f>
        <v>26.92</v>
      </c>
      <c r="O309" s="924"/>
      <c r="P309" t="b">
        <f t="shared" si="52"/>
        <v>1</v>
      </c>
    </row>
    <row r="310" spans="1:16" ht="16.2" thickBot="1">
      <c r="A310" s="740">
        <v>77</v>
      </c>
      <c r="B310" s="636" t="s">
        <v>700</v>
      </c>
      <c r="C310" s="783" t="s">
        <v>705</v>
      </c>
      <c r="D310" s="636" t="s">
        <v>608</v>
      </c>
      <c r="E310" s="784">
        <v>1625000</v>
      </c>
      <c r="F310" s="784">
        <v>6450</v>
      </c>
      <c r="G310" s="640">
        <f t="shared" si="55"/>
        <v>1.625</v>
      </c>
      <c r="H310" s="723">
        <f>F310/1000</f>
        <v>6.45</v>
      </c>
      <c r="I310" s="785">
        <v>0</v>
      </c>
      <c r="J310" s="725">
        <v>0</v>
      </c>
      <c r="K310" s="786"/>
      <c r="L310" s="787"/>
      <c r="M310" s="769">
        <f t="shared" ref="M310:N317" si="56">K310+I310</f>
        <v>0</v>
      </c>
      <c r="N310" s="770">
        <f t="shared" si="56"/>
        <v>0</v>
      </c>
      <c r="O310" s="924"/>
      <c r="P310" t="b">
        <f t="shared" si="52"/>
        <v>0</v>
      </c>
    </row>
    <row r="311" spans="1:16" ht="15.6">
      <c r="A311" s="650">
        <v>78</v>
      </c>
      <c r="B311" s="603" t="s">
        <v>597</v>
      </c>
      <c r="C311" s="599" t="s">
        <v>706</v>
      </c>
      <c r="D311" s="603" t="s">
        <v>707</v>
      </c>
      <c r="E311" s="711">
        <v>4262500</v>
      </c>
      <c r="F311" s="711">
        <v>8600</v>
      </c>
      <c r="G311" s="540">
        <f t="shared" si="55"/>
        <v>4.2625000000000002</v>
      </c>
      <c r="H311" s="631">
        <f>F311/1000</f>
        <v>8.6</v>
      </c>
      <c r="I311" s="761">
        <v>0</v>
      </c>
      <c r="J311" s="762">
        <v>0</v>
      </c>
      <c r="K311" s="788"/>
      <c r="L311" s="789"/>
      <c r="M311" s="765">
        <f t="shared" si="56"/>
        <v>0</v>
      </c>
      <c r="N311" s="766">
        <f t="shared" si="56"/>
        <v>0</v>
      </c>
      <c r="O311" s="924"/>
      <c r="P311" t="b">
        <f t="shared" si="52"/>
        <v>0</v>
      </c>
    </row>
    <row r="312" spans="1:16" ht="15.6">
      <c r="A312" s="603">
        <v>79</v>
      </c>
      <c r="B312" s="602" t="s">
        <v>597</v>
      </c>
      <c r="C312" s="599" t="s">
        <v>708</v>
      </c>
      <c r="D312" s="603" t="s">
        <v>707</v>
      </c>
      <c r="E312" s="711">
        <v>4809445.1645999998</v>
      </c>
      <c r="F312" s="711">
        <v>8996.5087999999996</v>
      </c>
      <c r="G312" s="540">
        <f t="shared" si="55"/>
        <v>4.8094451645999996</v>
      </c>
      <c r="H312" s="631">
        <f>F312/1000</f>
        <v>8.9965087999999991</v>
      </c>
      <c r="I312" s="712">
        <v>0</v>
      </c>
      <c r="J312" s="713">
        <v>0</v>
      </c>
      <c r="K312" s="788"/>
      <c r="L312" s="789"/>
      <c r="M312" s="758">
        <f t="shared" si="56"/>
        <v>0</v>
      </c>
      <c r="N312" s="790">
        <f t="shared" si="56"/>
        <v>0</v>
      </c>
      <c r="O312" s="924"/>
      <c r="P312" t="b">
        <f t="shared" si="52"/>
        <v>0</v>
      </c>
    </row>
    <row r="313" spans="1:16" ht="15.6">
      <c r="A313" s="650">
        <v>80</v>
      </c>
      <c r="B313" s="602" t="s">
        <v>597</v>
      </c>
      <c r="C313" s="599" t="s">
        <v>709</v>
      </c>
      <c r="D313" s="603" t="s">
        <v>710</v>
      </c>
      <c r="E313" s="711">
        <v>20580000.000100002</v>
      </c>
      <c r="F313" s="711">
        <v>21700</v>
      </c>
      <c r="G313" s="540">
        <f t="shared" si="55"/>
        <v>20.5800000001</v>
      </c>
      <c r="H313" s="631">
        <f>F313/1000</f>
        <v>21.7</v>
      </c>
      <c r="I313" s="791">
        <v>20.5800000001</v>
      </c>
      <c r="J313" s="792">
        <v>21.7</v>
      </c>
      <c r="K313" s="793"/>
      <c r="L313" s="794"/>
      <c r="M313" s="758">
        <f t="shared" si="56"/>
        <v>20.5800000001</v>
      </c>
      <c r="N313" s="790">
        <f t="shared" si="56"/>
        <v>21.7</v>
      </c>
      <c r="O313" s="924"/>
      <c r="P313" t="b">
        <f t="shared" si="52"/>
        <v>1</v>
      </c>
    </row>
    <row r="314" spans="1:16" ht="15.6">
      <c r="A314" s="603">
        <v>81</v>
      </c>
      <c r="B314" s="602" t="s">
        <v>597</v>
      </c>
      <c r="C314" s="599" t="s">
        <v>711</v>
      </c>
      <c r="D314" s="603" t="s">
        <v>704</v>
      </c>
      <c r="E314" s="711">
        <v>11332750.1798</v>
      </c>
      <c r="F314" s="711">
        <v>13645.000099999999</v>
      </c>
      <c r="G314" s="540">
        <v>11.44</v>
      </c>
      <c r="H314" s="631">
        <v>12.82</v>
      </c>
      <c r="I314" s="791">
        <v>11.44</v>
      </c>
      <c r="J314" s="792">
        <v>12.82</v>
      </c>
      <c r="K314" s="795"/>
      <c r="L314" s="796"/>
      <c r="M314" s="758">
        <f t="shared" si="56"/>
        <v>11.44</v>
      </c>
      <c r="N314" s="790">
        <f t="shared" si="56"/>
        <v>12.82</v>
      </c>
      <c r="O314" s="924"/>
      <c r="P314" t="b">
        <f t="shared" si="52"/>
        <v>1</v>
      </c>
    </row>
    <row r="315" spans="1:16" ht="15.6">
      <c r="A315" s="650">
        <v>82</v>
      </c>
      <c r="B315" s="602" t="s">
        <v>597</v>
      </c>
      <c r="C315" s="539" t="s">
        <v>712</v>
      </c>
      <c r="D315" s="602" t="s">
        <v>713</v>
      </c>
      <c r="E315" s="720">
        <v>8308000</v>
      </c>
      <c r="F315" s="720">
        <v>11560</v>
      </c>
      <c r="G315" s="540">
        <f>E315/1000000</f>
        <v>8.3079999999999998</v>
      </c>
      <c r="H315" s="721">
        <v>10.56</v>
      </c>
      <c r="I315" s="791">
        <v>8.3079999999999998</v>
      </c>
      <c r="J315" s="792">
        <v>10.56</v>
      </c>
      <c r="K315" s="797"/>
      <c r="L315" s="798"/>
      <c r="M315" s="758">
        <f t="shared" si="56"/>
        <v>8.3079999999999998</v>
      </c>
      <c r="N315" s="790">
        <f t="shared" si="56"/>
        <v>10.56</v>
      </c>
      <c r="O315" s="924"/>
      <c r="P315" t="b">
        <f t="shared" si="52"/>
        <v>1</v>
      </c>
    </row>
    <row r="316" spans="1:16" ht="15.6">
      <c r="A316" s="603">
        <v>83</v>
      </c>
      <c r="B316" s="602" t="s">
        <v>597</v>
      </c>
      <c r="C316" s="539" t="s">
        <v>714</v>
      </c>
      <c r="D316" s="602" t="s">
        <v>359</v>
      </c>
      <c r="E316" s="720">
        <v>6732000</v>
      </c>
      <c r="F316" s="720">
        <v>11860</v>
      </c>
      <c r="G316" s="584">
        <f>E316/1000000</f>
        <v>6.7320000000000002</v>
      </c>
      <c r="H316" s="721">
        <v>10.86</v>
      </c>
      <c r="I316" s="791">
        <v>6.7320000000000002</v>
      </c>
      <c r="J316" s="792">
        <v>10.86</v>
      </c>
      <c r="K316" s="797"/>
      <c r="L316" s="798"/>
      <c r="M316" s="758">
        <f t="shared" si="56"/>
        <v>6.7320000000000002</v>
      </c>
      <c r="N316" s="790">
        <f t="shared" si="56"/>
        <v>10.86</v>
      </c>
      <c r="O316" s="904"/>
      <c r="P316" t="b">
        <f t="shared" si="52"/>
        <v>1</v>
      </c>
    </row>
    <row r="317" spans="1:16" ht="16.2" thickBot="1">
      <c r="A317" s="650">
        <v>84</v>
      </c>
      <c r="B317" s="602" t="s">
        <v>597</v>
      </c>
      <c r="C317" s="539" t="s">
        <v>715</v>
      </c>
      <c r="D317" s="602" t="s">
        <v>716</v>
      </c>
      <c r="E317" s="720">
        <v>11040000</v>
      </c>
      <c r="F317" s="720">
        <v>20960</v>
      </c>
      <c r="G317" s="584">
        <f>E317/1000000</f>
        <v>11.04</v>
      </c>
      <c r="H317" s="723">
        <v>15.36</v>
      </c>
      <c r="I317" s="724">
        <v>11.04</v>
      </c>
      <c r="J317" s="725">
        <v>15.36</v>
      </c>
      <c r="K317" s="778"/>
      <c r="L317" s="779"/>
      <c r="M317" s="756">
        <f t="shared" si="56"/>
        <v>11.04</v>
      </c>
      <c r="N317" s="757">
        <f t="shared" si="56"/>
        <v>15.36</v>
      </c>
      <c r="O317" s="814"/>
      <c r="P317" t="b">
        <f t="shared" si="52"/>
        <v>1</v>
      </c>
    </row>
    <row r="318" spans="1:16" ht="43.2" customHeight="1" thickBot="1">
      <c r="A318" s="976" t="s">
        <v>717</v>
      </c>
      <c r="B318" s="977"/>
      <c r="C318" s="977"/>
      <c r="D318" s="978"/>
      <c r="E318" s="799"/>
      <c r="F318" s="799"/>
      <c r="G318" s="800">
        <f t="shared" ref="G318:M318" si="57">SUM(G232:G317)</f>
        <v>953.4052643356996</v>
      </c>
      <c r="H318" s="801">
        <f t="shared" si="57"/>
        <v>880.88686610000013</v>
      </c>
      <c r="I318" s="802">
        <f t="shared" si="57"/>
        <v>631.09063847589994</v>
      </c>
      <c r="J318" s="803">
        <f>SUM(J232:J317)</f>
        <v>438.29873590000005</v>
      </c>
      <c r="K318" s="804">
        <f t="shared" si="57"/>
        <v>207.71097432191999</v>
      </c>
      <c r="L318" s="805">
        <f t="shared" si="57"/>
        <v>119.63217179000002</v>
      </c>
      <c r="M318" s="806">
        <f t="shared" si="57"/>
        <v>838.73834321308971</v>
      </c>
      <c r="N318" s="807">
        <f>SUM(N232:N317)</f>
        <v>553.26946779000002</v>
      </c>
      <c r="O318" s="28"/>
    </row>
    <row r="319" spans="1:16" ht="15" thickBot="1"/>
    <row r="320" spans="1:16" ht="37.950000000000003" customHeight="1" thickBot="1">
      <c r="A320" s="979" t="s">
        <v>718</v>
      </c>
      <c r="B320" s="980"/>
      <c r="C320" s="980"/>
      <c r="D320" s="981"/>
      <c r="E320" s="808"/>
      <c r="F320" s="808"/>
      <c r="G320" s="809">
        <f t="shared" ref="G320:L320" si="58">G318+G228</f>
        <v>7036.6324443189988</v>
      </c>
      <c r="H320" s="810">
        <f t="shared" si="58"/>
        <v>4515.5553896000029</v>
      </c>
      <c r="I320" s="811">
        <f t="shared" si="58"/>
        <v>2727.6990557378012</v>
      </c>
      <c r="J320" s="697">
        <f t="shared" si="58"/>
        <v>1735.7982829999999</v>
      </c>
      <c r="K320" s="812">
        <f t="shared" si="58"/>
        <v>1299.8764882820103</v>
      </c>
      <c r="L320" s="805">
        <f t="shared" si="58"/>
        <v>774.88907558999995</v>
      </c>
      <c r="M320" s="813">
        <f>I320+K320</f>
        <v>4027.5755440198118</v>
      </c>
      <c r="N320" s="699">
        <f>L320+J320</f>
        <v>2510.6873585899998</v>
      </c>
    </row>
    <row r="321" spans="9:12">
      <c r="I321" s="27" t="s">
        <v>0</v>
      </c>
      <c r="J321" s="334" t="s">
        <v>757</v>
      </c>
      <c r="K321" s="852">
        <f>K306+K283+K273+K188+K184+K180+K176+K171+K163+K157+K48+K46+K45+K16</f>
        <v>491.49598626801003</v>
      </c>
      <c r="L321" s="852">
        <f>L306+L283+L273+L188+L184+L180+L176+L171+L163+L157+L48+L46+L45+L16</f>
        <v>259.93108268999998</v>
      </c>
    </row>
    <row r="322" spans="9:12">
      <c r="J322" s="334" t="s">
        <v>780</v>
      </c>
      <c r="K322" s="851">
        <f>K320-K321</f>
        <v>808.38050201400029</v>
      </c>
      <c r="L322" s="851">
        <f>L320-L321</f>
        <v>514.95799289999991</v>
      </c>
    </row>
  </sheetData>
  <autoFilter ref="A6:P318" xr:uid="{6648AF16-627F-4A87-818C-7BBF5A0F6906}"/>
  <mergeCells count="14">
    <mergeCell ref="I230:J230"/>
    <mergeCell ref="K230:L230"/>
    <mergeCell ref="M230:N230"/>
    <mergeCell ref="G4:H4"/>
    <mergeCell ref="A5:D5"/>
    <mergeCell ref="G5:H5"/>
    <mergeCell ref="I5:J5"/>
    <mergeCell ref="K5:L5"/>
    <mergeCell ref="M5:N5"/>
    <mergeCell ref="A318:D318"/>
    <mergeCell ref="A320:D320"/>
    <mergeCell ref="A228:D228"/>
    <mergeCell ref="A230:D230"/>
    <mergeCell ref="G230:H230"/>
  </mergeCells>
  <pageMargins left="0.25" right="0.25" top="0.15" bottom="0.15" header="0.3" footer="0.3"/>
  <pageSetup paperSize="9" scale="50" fitToHeight="0" orientation="portrait" horizontalDpi="4294967293" verticalDpi="4294967293" r:id="rId1"/>
  <rowBreaks count="4" manualBreakCount="4">
    <brk id="86" max="23" man="1"/>
    <brk id="155" max="23" man="1"/>
    <brk id="228" max="23" man="1"/>
    <brk id="370" max="2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365D-64C3-4CA4-9F26-0758BE700598}">
  <sheetPr>
    <pageSetUpPr fitToPage="1"/>
  </sheetPr>
  <dimension ref="A1:AP193"/>
  <sheetViews>
    <sheetView view="pageBreakPreview" zoomScale="75" zoomScaleSheetLayoutView="75" workbookViewId="0">
      <pane xSplit="10" ySplit="6" topLeftCell="AC80" activePane="bottomRight" state="frozen"/>
      <selection pane="topRight" activeCell="K1" sqref="K1"/>
      <selection pane="bottomLeft" activeCell="A7" sqref="A7"/>
      <selection pane="bottomRight" activeCell="AJ99" sqref="AJ99"/>
    </sheetView>
  </sheetViews>
  <sheetFormatPr defaultColWidth="9.109375" defaultRowHeight="14.4" outlineLevelCol="1"/>
  <cols>
    <col min="1" max="1" width="5.44140625" style="386" customWidth="1"/>
    <col min="2" max="2" width="10.109375" style="386" customWidth="1"/>
    <col min="3" max="3" width="11.33203125" style="386" customWidth="1"/>
    <col min="4" max="4" width="47" style="496" customWidth="1"/>
    <col min="5" max="10" width="13" style="386" hidden="1" customWidth="1" outlineLevel="1"/>
    <col min="11" max="11" width="20.44140625" style="386" customWidth="1" collapsed="1"/>
    <col min="12" max="12" width="15.6640625" style="386" customWidth="1"/>
    <col min="13" max="13" width="11.6640625" style="386" customWidth="1"/>
    <col min="14" max="14" width="13.44140625" style="386" customWidth="1"/>
    <col min="15" max="15" width="9" style="386" customWidth="1"/>
    <col min="16" max="17" width="9.109375" style="386" customWidth="1"/>
    <col min="18" max="18" width="9" style="386" customWidth="1"/>
    <col min="19" max="20" width="9.109375" style="386"/>
    <col min="21" max="21" width="10.44140625" style="386" customWidth="1"/>
    <col min="22" max="22" width="9.6640625" style="386" customWidth="1"/>
    <col min="23" max="23" width="9.109375" style="386"/>
    <col min="24" max="24" width="10.6640625" style="386" bestFit="1" customWidth="1"/>
    <col min="25" max="25" width="10.44140625" style="386" customWidth="1"/>
    <col min="26" max="26" width="10.33203125" style="386" customWidth="1"/>
    <col min="27" max="27" width="10" style="386" customWidth="1"/>
    <col min="28" max="31" width="10.6640625" style="386" customWidth="1"/>
    <col min="32" max="34" width="10.88671875" style="386" customWidth="1"/>
    <col min="35" max="35" width="12" style="386" customWidth="1"/>
    <col min="36" max="36" width="11.33203125" style="386" customWidth="1"/>
    <col min="37" max="37" width="19.5546875" style="386" bestFit="1" customWidth="1"/>
    <col min="38" max="16384" width="9.109375" style="386"/>
  </cols>
  <sheetData>
    <row r="1" spans="1:42" ht="20.25" customHeight="1">
      <c r="A1" s="342" t="s">
        <v>185</v>
      </c>
      <c r="B1" s="342"/>
      <c r="C1" s="342"/>
      <c r="D1" s="343"/>
      <c r="E1" s="385"/>
      <c r="F1" s="385"/>
      <c r="G1" s="385"/>
      <c r="H1" s="385"/>
      <c r="I1" s="385"/>
      <c r="J1" s="385"/>
      <c r="K1" s="385"/>
      <c r="L1" s="385"/>
    </row>
    <row r="2" spans="1:42" ht="20.25" customHeight="1">
      <c r="A2" s="342" t="s">
        <v>162</v>
      </c>
      <c r="B2" s="342"/>
      <c r="C2" s="342"/>
      <c r="D2" s="343"/>
      <c r="E2" s="385"/>
      <c r="F2" s="385"/>
      <c r="G2" s="385"/>
      <c r="H2" s="385"/>
      <c r="I2" s="385"/>
      <c r="J2" s="385"/>
      <c r="K2" s="385"/>
      <c r="L2" s="385"/>
    </row>
    <row r="3" spans="1:42" ht="20.25" customHeight="1">
      <c r="A3" s="342" t="s">
        <v>163</v>
      </c>
      <c r="B3" s="342"/>
      <c r="C3" s="342"/>
      <c r="D3" s="343"/>
      <c r="E3" s="385"/>
      <c r="F3" s="385"/>
      <c r="G3" s="385"/>
      <c r="H3" s="385"/>
      <c r="I3" s="385"/>
      <c r="J3" s="385"/>
      <c r="K3" s="385"/>
      <c r="L3" s="385"/>
    </row>
    <row r="4" spans="1:42" ht="20.25" customHeight="1" thickBot="1">
      <c r="A4" s="342" t="s">
        <v>289</v>
      </c>
      <c r="B4" s="342"/>
      <c r="C4" s="342"/>
      <c r="D4" s="343"/>
      <c r="E4" s="385"/>
      <c r="F4" s="385"/>
      <c r="G4" s="385"/>
      <c r="H4" s="385"/>
      <c r="I4" s="385"/>
      <c r="J4" s="385"/>
      <c r="K4" s="385"/>
      <c r="L4" s="385"/>
    </row>
    <row r="5" spans="1:42" ht="69" customHeight="1" thickBot="1">
      <c r="A5" s="1013" t="s">
        <v>195</v>
      </c>
      <c r="B5" s="1014"/>
      <c r="C5" s="1014"/>
      <c r="D5" s="1014"/>
      <c r="E5" s="387"/>
      <c r="F5" s="387"/>
      <c r="G5" s="387"/>
      <c r="H5" s="387"/>
      <c r="I5" s="387"/>
      <c r="J5" s="387"/>
      <c r="K5" s="388" t="s">
        <v>196</v>
      </c>
      <c r="L5" s="389" t="s">
        <v>197</v>
      </c>
      <c r="M5" s="1015" t="s">
        <v>198</v>
      </c>
      <c r="N5" s="1016"/>
      <c r="O5" s="1004">
        <v>44713</v>
      </c>
      <c r="P5" s="1005"/>
      <c r="Q5" s="1004">
        <v>44743</v>
      </c>
      <c r="R5" s="1005"/>
      <c r="S5" s="1004">
        <v>44774</v>
      </c>
      <c r="T5" s="1005"/>
      <c r="U5" s="1004">
        <v>44805</v>
      </c>
      <c r="V5" s="1005"/>
      <c r="W5" s="1004">
        <v>44835</v>
      </c>
      <c r="X5" s="1005"/>
      <c r="Y5" s="1004">
        <v>44866</v>
      </c>
      <c r="Z5" s="1006"/>
      <c r="AA5" s="1007" t="s">
        <v>199</v>
      </c>
      <c r="AB5" s="1008"/>
      <c r="AC5" s="1007" t="s">
        <v>200</v>
      </c>
      <c r="AD5" s="1008"/>
      <c r="AE5" s="1009" t="s">
        <v>727</v>
      </c>
      <c r="AF5" s="1010"/>
      <c r="AG5" s="1009" t="s">
        <v>728</v>
      </c>
      <c r="AH5" s="1010"/>
      <c r="AI5" s="1011" t="s">
        <v>201</v>
      </c>
      <c r="AJ5" s="1012"/>
    </row>
    <row r="6" spans="1:42" ht="17.25" customHeight="1" thickBot="1">
      <c r="A6" s="390" t="s">
        <v>202</v>
      </c>
      <c r="B6" s="391" t="s">
        <v>169</v>
      </c>
      <c r="C6" s="392" t="s">
        <v>203</v>
      </c>
      <c r="D6" s="393" t="s">
        <v>204</v>
      </c>
      <c r="E6" s="394"/>
      <c r="F6" s="391"/>
      <c r="G6" s="391"/>
      <c r="H6" s="391"/>
      <c r="I6" s="391"/>
      <c r="J6" s="391"/>
      <c r="K6" s="392" t="s">
        <v>205</v>
      </c>
      <c r="L6" s="395" t="s">
        <v>206</v>
      </c>
      <c r="M6" s="396" t="s">
        <v>205</v>
      </c>
      <c r="N6" s="397" t="s">
        <v>206</v>
      </c>
      <c r="O6" s="398" t="s">
        <v>205</v>
      </c>
      <c r="P6" s="399" t="s">
        <v>206</v>
      </c>
      <c r="Q6" s="398" t="s">
        <v>205</v>
      </c>
      <c r="R6" s="399" t="s">
        <v>206</v>
      </c>
      <c r="S6" s="398" t="s">
        <v>205</v>
      </c>
      <c r="T6" s="399" t="s">
        <v>206</v>
      </c>
      <c r="U6" s="398" t="s">
        <v>205</v>
      </c>
      <c r="V6" s="399" t="s">
        <v>206</v>
      </c>
      <c r="W6" s="400" t="s">
        <v>205</v>
      </c>
      <c r="X6" s="399" t="s">
        <v>206</v>
      </c>
      <c r="Y6" s="401" t="s">
        <v>205</v>
      </c>
      <c r="Z6" s="395" t="s">
        <v>206</v>
      </c>
      <c r="AA6" s="400" t="s">
        <v>205</v>
      </c>
      <c r="AB6" s="399" t="s">
        <v>206</v>
      </c>
      <c r="AC6" s="400" t="s">
        <v>205</v>
      </c>
      <c r="AD6" s="399" t="s">
        <v>206</v>
      </c>
      <c r="AE6" s="402" t="s">
        <v>205</v>
      </c>
      <c r="AF6" s="403" t="s">
        <v>206</v>
      </c>
      <c r="AG6" s="402" t="s">
        <v>205</v>
      </c>
      <c r="AH6" s="403" t="s">
        <v>206</v>
      </c>
      <c r="AI6" s="404" t="s">
        <v>205</v>
      </c>
      <c r="AJ6" s="405" t="s">
        <v>206</v>
      </c>
    </row>
    <row r="7" spans="1:42" s="426" customFormat="1" ht="17.25" customHeight="1">
      <c r="A7" s="406">
        <v>1</v>
      </c>
      <c r="B7" s="407" t="s">
        <v>175</v>
      </c>
      <c r="C7" s="407" t="s">
        <v>207</v>
      </c>
      <c r="D7" s="408" t="s">
        <v>208</v>
      </c>
      <c r="E7" s="409"/>
      <c r="F7" s="410"/>
      <c r="G7" s="410">
        <v>40765873.397299998</v>
      </c>
      <c r="H7" s="410">
        <v>30962.376499999998</v>
      </c>
      <c r="I7" s="410"/>
      <c r="J7" s="410"/>
      <c r="K7" s="411">
        <f t="shared" ref="K7:K26" si="0">G7/1000000</f>
        <v>40.765873397299998</v>
      </c>
      <c r="L7" s="412">
        <f t="shared" ref="L7:L32" si="1">H7/1000</f>
        <v>30.962376499999998</v>
      </c>
      <c r="M7" s="413">
        <v>0</v>
      </c>
      <c r="N7" s="414">
        <v>0</v>
      </c>
      <c r="O7" s="415"/>
      <c r="P7" s="416"/>
      <c r="Q7" s="417"/>
      <c r="R7" s="416"/>
      <c r="S7" s="417"/>
      <c r="T7" s="416"/>
      <c r="U7" s="417"/>
      <c r="V7" s="416"/>
      <c r="W7" s="415"/>
      <c r="X7" s="416"/>
      <c r="Y7" s="417"/>
      <c r="Z7" s="416"/>
      <c r="AA7" s="418">
        <v>0</v>
      </c>
      <c r="AB7" s="419">
        <v>0</v>
      </c>
      <c r="AC7" s="420"/>
      <c r="AD7" s="421"/>
      <c r="AE7" s="422">
        <v>0</v>
      </c>
      <c r="AF7" s="423">
        <v>0</v>
      </c>
      <c r="AG7" s="827">
        <v>0</v>
      </c>
      <c r="AH7" s="827">
        <v>0</v>
      </c>
      <c r="AI7" s="424">
        <f>M7+AA7</f>
        <v>0</v>
      </c>
      <c r="AJ7" s="425">
        <f>AB7+N7</f>
        <v>0</v>
      </c>
      <c r="AO7" s="856">
        <v>0</v>
      </c>
      <c r="AP7" s="855">
        <v>0</v>
      </c>
    </row>
    <row r="8" spans="1:42" ht="17.25" customHeight="1">
      <c r="A8" s="427">
        <v>2</v>
      </c>
      <c r="B8" s="428" t="s">
        <v>209</v>
      </c>
      <c r="C8" s="428" t="s">
        <v>210</v>
      </c>
      <c r="D8" s="429" t="s">
        <v>211</v>
      </c>
      <c r="E8" s="430"/>
      <c r="F8" s="431"/>
      <c r="G8" s="431"/>
      <c r="H8" s="431"/>
      <c r="I8" s="431">
        <f>378095161-140426617.823</f>
        <v>237668543.17699999</v>
      </c>
      <c r="J8" s="431">
        <f>346908.9319-41000-143425.9792</f>
        <v>162482.95270000002</v>
      </c>
      <c r="K8" s="432">
        <v>116.42</v>
      </c>
      <c r="L8" s="433">
        <v>90.04</v>
      </c>
      <c r="M8" s="434">
        <f>O8+Q8+S8+U8+W8+Y8</f>
        <v>116.42</v>
      </c>
      <c r="N8" s="435">
        <f>P8+R8+T8+V8+X8+Z8</f>
        <v>90.04</v>
      </c>
      <c r="O8" s="436"/>
      <c r="P8" s="437"/>
      <c r="Q8" s="438"/>
      <c r="R8" s="437"/>
      <c r="S8" s="438"/>
      <c r="T8" s="437"/>
      <c r="U8" s="439">
        <f t="shared" ref="U8:V11" si="2">K8</f>
        <v>116.42</v>
      </c>
      <c r="V8" s="437">
        <f t="shared" si="2"/>
        <v>90.04</v>
      </c>
      <c r="W8" s="436"/>
      <c r="X8" s="437"/>
      <c r="Y8" s="438"/>
      <c r="Z8" s="437"/>
      <c r="AA8" s="440">
        <v>0</v>
      </c>
      <c r="AB8" s="433">
        <v>0</v>
      </c>
      <c r="AC8" s="325"/>
      <c r="AD8" s="437"/>
      <c r="AE8" s="441">
        <v>0</v>
      </c>
      <c r="AF8" s="442">
        <v>0</v>
      </c>
      <c r="AG8" s="828"/>
      <c r="AH8" s="828"/>
      <c r="AI8" s="443">
        <f>AE8+AC8+AA8+Y8+W8+U8+S8+Q8+O8+AG8</f>
        <v>116.42</v>
      </c>
      <c r="AJ8" s="444">
        <f>AF8+AD8+AB8+Z8+X8+V8+T8+R8+P8+AH8</f>
        <v>90.04</v>
      </c>
      <c r="AL8" s="386" t="b">
        <f t="shared" ref="AL8:AL22" si="3">AJ8=L8</f>
        <v>1</v>
      </c>
      <c r="AO8" s="857"/>
      <c r="AP8" s="858"/>
    </row>
    <row r="9" spans="1:42" ht="18.75" customHeight="1">
      <c r="A9" s="427">
        <f>A8+1</f>
        <v>3</v>
      </c>
      <c r="B9" s="428" t="s">
        <v>209</v>
      </c>
      <c r="C9" s="428" t="s">
        <v>212</v>
      </c>
      <c r="D9" s="429" t="s">
        <v>213</v>
      </c>
      <c r="E9" s="430"/>
      <c r="F9" s="431"/>
      <c r="G9" s="431">
        <f>140426617.823-11195309.3993</f>
        <v>129231308.42370002</v>
      </c>
      <c r="H9" s="431">
        <f>143425.9792-17518.102</f>
        <v>125907.8772</v>
      </c>
      <c r="I9" s="431"/>
      <c r="J9" s="431"/>
      <c r="K9" s="432">
        <v>145.22999999999999</v>
      </c>
      <c r="L9" s="433">
        <v>103.31</v>
      </c>
      <c r="M9" s="434">
        <f t="shared" ref="M9:N29" si="4">O9+Q9+S9+U9+W9+Y9</f>
        <v>145.22999999999999</v>
      </c>
      <c r="N9" s="435">
        <f t="shared" si="4"/>
        <v>103.31</v>
      </c>
      <c r="O9" s="436"/>
      <c r="P9" s="437"/>
      <c r="Q9" s="438"/>
      <c r="R9" s="437"/>
      <c r="S9" s="438"/>
      <c r="T9" s="437"/>
      <c r="U9" s="439">
        <f t="shared" si="2"/>
        <v>145.22999999999999</v>
      </c>
      <c r="V9" s="437">
        <f t="shared" si="2"/>
        <v>103.31</v>
      </c>
      <c r="W9" s="436"/>
      <c r="X9" s="437"/>
      <c r="Y9" s="438"/>
      <c r="Z9" s="437"/>
      <c r="AA9" s="440">
        <v>0</v>
      </c>
      <c r="AB9" s="433">
        <v>0</v>
      </c>
      <c r="AC9" s="325"/>
      <c r="AD9" s="437"/>
      <c r="AE9" s="441">
        <v>0</v>
      </c>
      <c r="AF9" s="442">
        <v>0</v>
      </c>
      <c r="AG9" s="828"/>
      <c r="AH9" s="828"/>
      <c r="AI9" s="443">
        <f t="shared" ref="AI9:AI72" si="5">AE9+AC9+AA9+Y9+W9+U9+S9+Q9+O9+AG9</f>
        <v>145.22999999999999</v>
      </c>
      <c r="AJ9" s="444">
        <f t="shared" ref="AJ9:AJ72" si="6">AF9+AD9+AB9+Z9+X9+V9+T9+R9+P9+AH9</f>
        <v>103.31</v>
      </c>
      <c r="AL9" s="386" t="b">
        <f t="shared" si="3"/>
        <v>1</v>
      </c>
      <c r="AO9" s="857"/>
      <c r="AP9" s="858"/>
    </row>
    <row r="10" spans="1:42" ht="18.75" customHeight="1">
      <c r="A10" s="427">
        <f>A9+1</f>
        <v>4</v>
      </c>
      <c r="B10" s="428" t="s">
        <v>209</v>
      </c>
      <c r="C10" s="428" t="s">
        <v>214</v>
      </c>
      <c r="D10" s="429" t="s">
        <v>215</v>
      </c>
      <c r="E10" s="430"/>
      <c r="F10" s="431"/>
      <c r="G10" s="431">
        <f>140426617.823-11195309.3993</f>
        <v>129231308.42370002</v>
      </c>
      <c r="H10" s="431">
        <f>143425.9792-17518.102</f>
        <v>125907.8772</v>
      </c>
      <c r="I10" s="431"/>
      <c r="J10" s="431"/>
      <c r="K10" s="432">
        <v>16.059999999999999</v>
      </c>
      <c r="L10" s="433">
        <v>12.51</v>
      </c>
      <c r="M10" s="434">
        <f t="shared" si="4"/>
        <v>16.059999999999999</v>
      </c>
      <c r="N10" s="435">
        <f t="shared" si="4"/>
        <v>12.51</v>
      </c>
      <c r="O10" s="436"/>
      <c r="P10" s="437"/>
      <c r="Q10" s="438"/>
      <c r="R10" s="437"/>
      <c r="S10" s="438"/>
      <c r="T10" s="437"/>
      <c r="U10" s="439">
        <f t="shared" si="2"/>
        <v>16.059999999999999</v>
      </c>
      <c r="V10" s="437">
        <f t="shared" si="2"/>
        <v>12.51</v>
      </c>
      <c r="W10" s="436"/>
      <c r="X10" s="437"/>
      <c r="Y10" s="438"/>
      <c r="Z10" s="437"/>
      <c r="AA10" s="440"/>
      <c r="AB10" s="433"/>
      <c r="AC10" s="325"/>
      <c r="AD10" s="437"/>
      <c r="AE10" s="441"/>
      <c r="AF10" s="442"/>
      <c r="AG10" s="828"/>
      <c r="AH10" s="828"/>
      <c r="AI10" s="443">
        <f t="shared" si="5"/>
        <v>16.059999999999999</v>
      </c>
      <c r="AJ10" s="444">
        <f t="shared" si="6"/>
        <v>12.51</v>
      </c>
      <c r="AL10" s="386" t="b">
        <f t="shared" si="3"/>
        <v>1</v>
      </c>
      <c r="AO10" s="857"/>
      <c r="AP10" s="858"/>
    </row>
    <row r="11" spans="1:42" ht="18.75" customHeight="1">
      <c r="A11" s="427">
        <f t="shared" ref="A11:A74" si="7">A10+1</f>
        <v>5</v>
      </c>
      <c r="B11" s="428" t="s">
        <v>209</v>
      </c>
      <c r="C11" s="428" t="s">
        <v>216</v>
      </c>
      <c r="D11" s="429" t="s">
        <v>217</v>
      </c>
      <c r="E11" s="430"/>
      <c r="F11" s="431"/>
      <c r="G11" s="445">
        <v>43519603.988600001</v>
      </c>
      <c r="H11" s="445">
        <v>34572.178599999999</v>
      </c>
      <c r="I11" s="431"/>
      <c r="J11" s="431"/>
      <c r="K11" s="432">
        <v>45.52</v>
      </c>
      <c r="L11" s="433">
        <v>34.57</v>
      </c>
      <c r="M11" s="434">
        <f t="shared" si="4"/>
        <v>45.52</v>
      </c>
      <c r="N11" s="435">
        <f t="shared" si="4"/>
        <v>34.57</v>
      </c>
      <c r="O11" s="436"/>
      <c r="P11" s="437"/>
      <c r="Q11" s="438"/>
      <c r="R11" s="437"/>
      <c r="S11" s="438"/>
      <c r="T11" s="437"/>
      <c r="U11" s="439">
        <f t="shared" si="2"/>
        <v>45.52</v>
      </c>
      <c r="V11" s="437">
        <f t="shared" si="2"/>
        <v>34.57</v>
      </c>
      <c r="W11" s="436"/>
      <c r="X11" s="437"/>
      <c r="Y11" s="438"/>
      <c r="Z11" s="437"/>
      <c r="AA11" s="440"/>
      <c r="AB11" s="433"/>
      <c r="AC11" s="325"/>
      <c r="AD11" s="437"/>
      <c r="AE11" s="441"/>
      <c r="AF11" s="442"/>
      <c r="AG11" s="828"/>
      <c r="AH11" s="828"/>
      <c r="AI11" s="443">
        <f t="shared" si="5"/>
        <v>45.52</v>
      </c>
      <c r="AJ11" s="444">
        <f t="shared" si="6"/>
        <v>34.57</v>
      </c>
      <c r="AL11" s="386" t="b">
        <f t="shared" si="3"/>
        <v>1</v>
      </c>
      <c r="AO11" s="857"/>
      <c r="AP11" s="858"/>
    </row>
    <row r="12" spans="1:42" ht="17.25" customHeight="1">
      <c r="A12" s="427">
        <f>A11+1</f>
        <v>6</v>
      </c>
      <c r="B12" s="428" t="s">
        <v>209</v>
      </c>
      <c r="C12" s="428" t="s">
        <v>218</v>
      </c>
      <c r="D12" s="429" t="s">
        <v>219</v>
      </c>
      <c r="E12" s="430"/>
      <c r="F12" s="431"/>
      <c r="G12" s="431">
        <v>14991477.2601</v>
      </c>
      <c r="H12" s="431">
        <v>17198.058799999999</v>
      </c>
      <c r="I12" s="431"/>
      <c r="J12" s="431"/>
      <c r="K12" s="432">
        <f t="shared" si="0"/>
        <v>14.9914772601</v>
      </c>
      <c r="L12" s="433">
        <f t="shared" si="1"/>
        <v>17.198058799999998</v>
      </c>
      <c r="M12" s="434">
        <f>O12+Q12+S12+U12+W12+Y12+AA12</f>
        <v>14.9914772601</v>
      </c>
      <c r="N12" s="446">
        <f>P12+R12+T12+V12+X12+Z12+AB12</f>
        <v>17.198058799999998</v>
      </c>
      <c r="O12" s="436"/>
      <c r="P12" s="437"/>
      <c r="Q12" s="438"/>
      <c r="R12" s="437"/>
      <c r="S12" s="438"/>
      <c r="T12" s="437"/>
      <c r="U12" s="438"/>
      <c r="V12" s="437"/>
      <c r="W12" s="436"/>
      <c r="X12" s="437"/>
      <c r="Y12" s="438"/>
      <c r="Z12" s="437"/>
      <c r="AA12" s="440">
        <f>K12</f>
        <v>14.9914772601</v>
      </c>
      <c r="AB12" s="433">
        <f>L12</f>
        <v>17.198058799999998</v>
      </c>
      <c r="AC12" s="325"/>
      <c r="AD12" s="437"/>
      <c r="AE12" s="441">
        <v>0</v>
      </c>
      <c r="AF12" s="442">
        <v>0</v>
      </c>
      <c r="AG12" s="828"/>
      <c r="AH12" s="828"/>
      <c r="AI12" s="443">
        <f t="shared" si="5"/>
        <v>14.9914772601</v>
      </c>
      <c r="AJ12" s="444">
        <f t="shared" si="6"/>
        <v>17.198058799999998</v>
      </c>
      <c r="AL12" s="386" t="b">
        <f t="shared" si="3"/>
        <v>1</v>
      </c>
      <c r="AO12" s="857"/>
      <c r="AP12" s="858"/>
    </row>
    <row r="13" spans="1:42" ht="17.25" customHeight="1">
      <c r="A13" s="427">
        <f t="shared" si="7"/>
        <v>7</v>
      </c>
      <c r="B13" s="428" t="s">
        <v>209</v>
      </c>
      <c r="C13" s="428" t="s">
        <v>220</v>
      </c>
      <c r="D13" s="429" t="s">
        <v>221</v>
      </c>
      <c r="E13" s="430"/>
      <c r="F13" s="431"/>
      <c r="G13" s="445">
        <v>112532276.8962</v>
      </c>
      <c r="H13" s="445">
        <v>64912.188900000001</v>
      </c>
      <c r="I13" s="431"/>
      <c r="J13" s="431"/>
      <c r="K13" s="432">
        <f t="shared" si="0"/>
        <v>112.5322768962</v>
      </c>
      <c r="L13" s="433">
        <f t="shared" si="1"/>
        <v>64.912188900000004</v>
      </c>
      <c r="M13" s="434">
        <f t="shared" si="4"/>
        <v>112.5322768962</v>
      </c>
      <c r="N13" s="435">
        <f t="shared" si="4"/>
        <v>64.912188900000004</v>
      </c>
      <c r="O13" s="436"/>
      <c r="P13" s="437"/>
      <c r="Q13" s="438"/>
      <c r="R13" s="437"/>
      <c r="S13" s="438"/>
      <c r="T13" s="437"/>
      <c r="U13" s="438"/>
      <c r="V13" s="437"/>
      <c r="W13" s="436"/>
      <c r="X13" s="437">
        <f>L13</f>
        <v>64.912188900000004</v>
      </c>
      <c r="Y13" s="439">
        <f>K13</f>
        <v>112.5322768962</v>
      </c>
      <c r="Z13" s="437"/>
      <c r="AA13" s="440"/>
      <c r="AB13" s="433">
        <v>0</v>
      </c>
      <c r="AC13" s="325"/>
      <c r="AD13" s="437"/>
      <c r="AE13" s="441"/>
      <c r="AF13" s="442">
        <v>0</v>
      </c>
      <c r="AG13" s="828"/>
      <c r="AH13" s="828"/>
      <c r="AI13" s="443">
        <f t="shared" si="5"/>
        <v>112.5322768962</v>
      </c>
      <c r="AJ13" s="444">
        <f t="shared" si="6"/>
        <v>64.912188900000004</v>
      </c>
      <c r="AL13" s="386" t="b">
        <f t="shared" si="3"/>
        <v>1</v>
      </c>
      <c r="AO13" s="857"/>
      <c r="AP13" s="858"/>
    </row>
    <row r="14" spans="1:42" ht="17.25" customHeight="1">
      <c r="A14" s="427">
        <f t="shared" si="7"/>
        <v>8</v>
      </c>
      <c r="B14" s="428" t="s">
        <v>209</v>
      </c>
      <c r="C14" s="428" t="s">
        <v>222</v>
      </c>
      <c r="D14" s="429" t="s">
        <v>223</v>
      </c>
      <c r="E14" s="430"/>
      <c r="F14" s="431"/>
      <c r="G14" s="445">
        <v>9028115.4691000003</v>
      </c>
      <c r="H14" s="431">
        <v>12880.933300000001</v>
      </c>
      <c r="I14" s="431"/>
      <c r="J14" s="431"/>
      <c r="K14" s="432">
        <v>9.0299999999999994</v>
      </c>
      <c r="L14" s="433">
        <v>11.04</v>
      </c>
      <c r="M14" s="434">
        <f t="shared" si="4"/>
        <v>9.0299999999999994</v>
      </c>
      <c r="N14" s="435">
        <f t="shared" si="4"/>
        <v>11.04</v>
      </c>
      <c r="O14" s="436"/>
      <c r="P14" s="437"/>
      <c r="Q14" s="438"/>
      <c r="R14" s="437"/>
      <c r="S14" s="438"/>
      <c r="T14" s="437"/>
      <c r="U14" s="438"/>
      <c r="V14" s="437"/>
      <c r="W14" s="439">
        <f>K14</f>
        <v>9.0299999999999994</v>
      </c>
      <c r="X14" s="437">
        <f>L14</f>
        <v>11.04</v>
      </c>
      <c r="Y14" s="438"/>
      <c r="Z14" s="437"/>
      <c r="AA14" s="440">
        <v>0</v>
      </c>
      <c r="AB14" s="433">
        <v>0</v>
      </c>
      <c r="AC14" s="325"/>
      <c r="AD14" s="437"/>
      <c r="AE14" s="441">
        <v>0</v>
      </c>
      <c r="AF14" s="442">
        <v>0</v>
      </c>
      <c r="AG14" s="828"/>
      <c r="AH14" s="828"/>
      <c r="AI14" s="443">
        <f t="shared" si="5"/>
        <v>9.0299999999999994</v>
      </c>
      <c r="AJ14" s="444">
        <f t="shared" si="6"/>
        <v>11.04</v>
      </c>
      <c r="AL14" s="386" t="b">
        <f t="shared" si="3"/>
        <v>1</v>
      </c>
      <c r="AO14" s="857"/>
      <c r="AP14" s="858"/>
    </row>
    <row r="15" spans="1:42" ht="17.25" customHeight="1">
      <c r="A15" s="427">
        <f t="shared" si="7"/>
        <v>9</v>
      </c>
      <c r="B15" s="428" t="s">
        <v>209</v>
      </c>
      <c r="C15" s="428" t="s">
        <v>224</v>
      </c>
      <c r="D15" s="429" t="s">
        <v>225</v>
      </c>
      <c r="E15" s="430"/>
      <c r="F15" s="431"/>
      <c r="G15" s="445">
        <v>47940254.579000004</v>
      </c>
      <c r="H15" s="445">
        <v>27003.1721</v>
      </c>
      <c r="I15" s="431"/>
      <c r="J15" s="431"/>
      <c r="K15" s="432">
        <f t="shared" si="0"/>
        <v>47.940254579000005</v>
      </c>
      <c r="L15" s="433">
        <f t="shared" si="1"/>
        <v>27.0031721</v>
      </c>
      <c r="M15" s="434">
        <f t="shared" si="4"/>
        <v>47.940254579000005</v>
      </c>
      <c r="N15" s="435">
        <f t="shared" si="4"/>
        <v>27.0031721</v>
      </c>
      <c r="O15" s="436"/>
      <c r="P15" s="437"/>
      <c r="Q15" s="438"/>
      <c r="R15" s="437"/>
      <c r="S15" s="438"/>
      <c r="T15" s="437"/>
      <c r="U15" s="438"/>
      <c r="V15" s="437"/>
      <c r="W15" s="439">
        <f>K15</f>
        <v>47.940254579000005</v>
      </c>
      <c r="X15" s="437">
        <f>L15</f>
        <v>27.0031721</v>
      </c>
      <c r="Y15" s="438"/>
      <c r="Z15" s="437"/>
      <c r="AA15" s="440">
        <v>0</v>
      </c>
      <c r="AB15" s="433">
        <v>0</v>
      </c>
      <c r="AC15" s="325"/>
      <c r="AD15" s="437"/>
      <c r="AE15" s="441">
        <v>0</v>
      </c>
      <c r="AF15" s="442">
        <v>0</v>
      </c>
      <c r="AG15" s="828"/>
      <c r="AH15" s="828"/>
      <c r="AI15" s="443">
        <f t="shared" si="5"/>
        <v>47.940254579000005</v>
      </c>
      <c r="AJ15" s="444">
        <f t="shared" si="6"/>
        <v>27.0031721</v>
      </c>
      <c r="AL15" s="386" t="b">
        <f t="shared" si="3"/>
        <v>1</v>
      </c>
      <c r="AO15" s="857"/>
      <c r="AP15" s="858"/>
    </row>
    <row r="16" spans="1:42" ht="17.25" customHeight="1">
      <c r="A16" s="427">
        <f t="shared" si="7"/>
        <v>10</v>
      </c>
      <c r="B16" s="428" t="s">
        <v>209</v>
      </c>
      <c r="C16" s="428" t="s">
        <v>226</v>
      </c>
      <c r="D16" s="429" t="s">
        <v>227</v>
      </c>
      <c r="E16" s="430"/>
      <c r="F16" s="431"/>
      <c r="G16" s="445">
        <v>18276880.357799999</v>
      </c>
      <c r="H16" s="445">
        <v>15211.9663</v>
      </c>
      <c r="I16" s="431"/>
      <c r="J16" s="431"/>
      <c r="K16" s="432">
        <f t="shared" si="0"/>
        <v>18.2768803578</v>
      </c>
      <c r="L16" s="433">
        <f t="shared" si="1"/>
        <v>15.2119663</v>
      </c>
      <c r="M16" s="434">
        <f t="shared" si="4"/>
        <v>18.2768803578</v>
      </c>
      <c r="N16" s="435">
        <f t="shared" si="4"/>
        <v>15.2119663</v>
      </c>
      <c r="O16" s="436"/>
      <c r="P16" s="437"/>
      <c r="Q16" s="438"/>
      <c r="R16" s="437"/>
      <c r="S16" s="439"/>
      <c r="T16" s="437"/>
      <c r="U16" s="439">
        <f>K16</f>
        <v>18.2768803578</v>
      </c>
      <c r="V16" s="437">
        <f>L16</f>
        <v>15.2119663</v>
      </c>
      <c r="W16" s="436"/>
      <c r="X16" s="437"/>
      <c r="Y16" s="438"/>
      <c r="Z16" s="437"/>
      <c r="AA16" s="440">
        <v>0</v>
      </c>
      <c r="AB16" s="433">
        <v>0</v>
      </c>
      <c r="AC16" s="325"/>
      <c r="AD16" s="437"/>
      <c r="AE16" s="441">
        <v>0</v>
      </c>
      <c r="AF16" s="442">
        <v>0</v>
      </c>
      <c r="AG16" s="828"/>
      <c r="AH16" s="828"/>
      <c r="AI16" s="443">
        <f t="shared" si="5"/>
        <v>18.2768803578</v>
      </c>
      <c r="AJ16" s="444">
        <f t="shared" si="6"/>
        <v>15.2119663</v>
      </c>
      <c r="AL16" s="386" t="b">
        <f t="shared" si="3"/>
        <v>1</v>
      </c>
      <c r="AO16" s="857"/>
      <c r="AP16" s="858"/>
    </row>
    <row r="17" spans="1:42" s="426" customFormat="1" ht="17.25" customHeight="1">
      <c r="A17" s="447">
        <f t="shared" si="7"/>
        <v>11</v>
      </c>
      <c r="B17" s="448" t="s">
        <v>209</v>
      </c>
      <c r="C17" s="448" t="s">
        <v>228</v>
      </c>
      <c r="D17" s="449" t="s">
        <v>229</v>
      </c>
      <c r="E17" s="450"/>
      <c r="F17" s="451"/>
      <c r="G17" s="451">
        <v>24634561.262499999</v>
      </c>
      <c r="H17" s="451">
        <v>16601.826700000001</v>
      </c>
      <c r="I17" s="451">
        <v>24256884.4921</v>
      </c>
      <c r="J17" s="451">
        <v>20701.162799999998</v>
      </c>
      <c r="K17" s="452">
        <v>24.63</v>
      </c>
      <c r="L17" s="453">
        <v>16.600000000000001</v>
      </c>
      <c r="M17" s="434">
        <f t="shared" ref="M17:N19" si="8">O17+Q17+S17+U17+W17+Y17+AA17</f>
        <v>24.63</v>
      </c>
      <c r="N17" s="446">
        <f t="shared" si="8"/>
        <v>16.600000000000001</v>
      </c>
      <c r="O17" s="454"/>
      <c r="P17" s="455"/>
      <c r="Q17" s="456"/>
      <c r="R17" s="455"/>
      <c r="S17" s="456"/>
      <c r="T17" s="455"/>
      <c r="U17" s="456"/>
      <c r="V17" s="455"/>
      <c r="W17" s="454"/>
      <c r="X17" s="455"/>
      <c r="Y17" s="456"/>
      <c r="Z17" s="455"/>
      <c r="AA17" s="440">
        <f t="shared" ref="AA17:AB19" si="9">K17</f>
        <v>24.63</v>
      </c>
      <c r="AB17" s="433">
        <f t="shared" si="9"/>
        <v>16.600000000000001</v>
      </c>
      <c r="AC17" s="325"/>
      <c r="AD17" s="437"/>
      <c r="AE17" s="441">
        <v>0</v>
      </c>
      <c r="AF17" s="442">
        <v>0</v>
      </c>
      <c r="AG17" s="828"/>
      <c r="AH17" s="828"/>
      <c r="AI17" s="443">
        <f t="shared" si="5"/>
        <v>24.63</v>
      </c>
      <c r="AJ17" s="444">
        <f t="shared" si="6"/>
        <v>16.600000000000001</v>
      </c>
      <c r="AK17" s="386"/>
      <c r="AL17" s="386" t="b">
        <f t="shared" si="3"/>
        <v>1</v>
      </c>
      <c r="AO17" s="857"/>
      <c r="AP17" s="858"/>
    </row>
    <row r="18" spans="1:42" s="426" customFormat="1" ht="17.25" customHeight="1">
      <c r="A18" s="447">
        <f t="shared" si="7"/>
        <v>12</v>
      </c>
      <c r="B18" s="448" t="s">
        <v>209</v>
      </c>
      <c r="C18" s="448" t="s">
        <v>230</v>
      </c>
      <c r="D18" s="449" t="s">
        <v>231</v>
      </c>
      <c r="E18" s="450"/>
      <c r="F18" s="451"/>
      <c r="G18" s="451">
        <v>1920000.0009000001</v>
      </c>
      <c r="H18" s="451">
        <v>4663.2002000000002</v>
      </c>
      <c r="I18" s="451"/>
      <c r="J18" s="451"/>
      <c r="K18" s="452">
        <f t="shared" si="0"/>
        <v>1.9200000009</v>
      </c>
      <c r="L18" s="453">
        <f t="shared" si="1"/>
        <v>4.6632002000000004</v>
      </c>
      <c r="M18" s="434">
        <f t="shared" si="8"/>
        <v>1.9200000009</v>
      </c>
      <c r="N18" s="446">
        <f t="shared" si="8"/>
        <v>4.6632002000000004</v>
      </c>
      <c r="O18" s="454"/>
      <c r="P18" s="455"/>
      <c r="Q18" s="456"/>
      <c r="R18" s="455"/>
      <c r="S18" s="456"/>
      <c r="T18" s="455"/>
      <c r="U18" s="456"/>
      <c r="V18" s="455"/>
      <c r="W18" s="454"/>
      <c r="X18" s="455"/>
      <c r="Y18" s="456"/>
      <c r="Z18" s="455"/>
      <c r="AA18" s="440">
        <f t="shared" si="9"/>
        <v>1.9200000009</v>
      </c>
      <c r="AB18" s="433">
        <f t="shared" si="9"/>
        <v>4.6632002000000004</v>
      </c>
      <c r="AC18" s="325"/>
      <c r="AD18" s="437"/>
      <c r="AE18" s="441">
        <v>0</v>
      </c>
      <c r="AF18" s="442">
        <v>0</v>
      </c>
      <c r="AG18" s="828"/>
      <c r="AH18" s="828"/>
      <c r="AI18" s="443">
        <f t="shared" si="5"/>
        <v>1.9200000009</v>
      </c>
      <c r="AJ18" s="444">
        <f t="shared" si="6"/>
        <v>4.6632002000000004</v>
      </c>
      <c r="AK18" s="386"/>
      <c r="AL18" s="386" t="b">
        <f t="shared" si="3"/>
        <v>1</v>
      </c>
      <c r="AO18" s="857"/>
      <c r="AP18" s="858"/>
    </row>
    <row r="19" spans="1:42" s="426" customFormat="1" ht="17.25" customHeight="1">
      <c r="A19" s="447">
        <f t="shared" si="7"/>
        <v>13</v>
      </c>
      <c r="B19" s="448" t="s">
        <v>209</v>
      </c>
      <c r="C19" s="448" t="s">
        <v>232</v>
      </c>
      <c r="D19" s="449" t="s">
        <v>233</v>
      </c>
      <c r="E19" s="450"/>
      <c r="F19" s="451"/>
      <c r="G19" s="451">
        <v>14697808.778000001</v>
      </c>
      <c r="H19" s="451">
        <v>14017.4087</v>
      </c>
      <c r="I19" s="451"/>
      <c r="J19" s="451"/>
      <c r="K19" s="452">
        <f t="shared" si="0"/>
        <v>14.697808778000001</v>
      </c>
      <c r="L19" s="453">
        <f t="shared" si="1"/>
        <v>14.017408700000001</v>
      </c>
      <c r="M19" s="434">
        <f t="shared" si="8"/>
        <v>14.697808778000001</v>
      </c>
      <c r="N19" s="446">
        <f t="shared" si="8"/>
        <v>14.017408700000001</v>
      </c>
      <c r="O19" s="454"/>
      <c r="P19" s="455"/>
      <c r="Q19" s="456"/>
      <c r="R19" s="455"/>
      <c r="S19" s="456"/>
      <c r="T19" s="455"/>
      <c r="U19" s="456"/>
      <c r="V19" s="455"/>
      <c r="W19" s="454"/>
      <c r="X19" s="455"/>
      <c r="Y19" s="456"/>
      <c r="Z19" s="455"/>
      <c r="AA19" s="440">
        <f t="shared" si="9"/>
        <v>14.697808778000001</v>
      </c>
      <c r="AB19" s="433">
        <f t="shared" si="9"/>
        <v>14.017408700000001</v>
      </c>
      <c r="AC19" s="325"/>
      <c r="AD19" s="437"/>
      <c r="AE19" s="441">
        <v>0</v>
      </c>
      <c r="AF19" s="442">
        <v>0</v>
      </c>
      <c r="AG19" s="828"/>
      <c r="AH19" s="828"/>
      <c r="AI19" s="443">
        <f t="shared" si="5"/>
        <v>14.697808778000001</v>
      </c>
      <c r="AJ19" s="444">
        <f t="shared" si="6"/>
        <v>14.017408700000001</v>
      </c>
      <c r="AK19" s="386"/>
      <c r="AL19" s="386" t="b">
        <f t="shared" si="3"/>
        <v>1</v>
      </c>
      <c r="AO19" s="857"/>
      <c r="AP19" s="858"/>
    </row>
    <row r="20" spans="1:42" ht="17.25" customHeight="1">
      <c r="A20" s="427">
        <f t="shared" si="7"/>
        <v>14</v>
      </c>
      <c r="B20" s="428" t="s">
        <v>209</v>
      </c>
      <c r="C20" s="428" t="s">
        <v>234</v>
      </c>
      <c r="D20" s="429" t="s">
        <v>235</v>
      </c>
      <c r="E20" s="430"/>
      <c r="F20" s="431"/>
      <c r="G20" s="445">
        <v>23884961.5108</v>
      </c>
      <c r="H20" s="445">
        <v>22108.176800000001</v>
      </c>
      <c r="I20" s="431"/>
      <c r="J20" s="431"/>
      <c r="K20" s="432">
        <f t="shared" si="0"/>
        <v>23.8849615108</v>
      </c>
      <c r="L20" s="433">
        <f t="shared" si="1"/>
        <v>22.108176800000003</v>
      </c>
      <c r="M20" s="434">
        <f t="shared" si="4"/>
        <v>23.8849615108</v>
      </c>
      <c r="N20" s="435">
        <f t="shared" si="4"/>
        <v>22.108176800000003</v>
      </c>
      <c r="O20" s="436"/>
      <c r="P20" s="437"/>
      <c r="Q20" s="438"/>
      <c r="R20" s="437"/>
      <c r="S20" s="438"/>
      <c r="T20" s="437"/>
      <c r="U20" s="438"/>
      <c r="V20" s="437"/>
      <c r="W20" s="436"/>
      <c r="X20" s="437"/>
      <c r="Y20" s="439">
        <f>K20</f>
        <v>23.8849615108</v>
      </c>
      <c r="Z20" s="437">
        <f>L20</f>
        <v>22.108176800000003</v>
      </c>
      <c r="AA20" s="440"/>
      <c r="AB20" s="433"/>
      <c r="AC20" s="325"/>
      <c r="AD20" s="437"/>
      <c r="AE20" s="441"/>
      <c r="AF20" s="442"/>
      <c r="AG20" s="828"/>
      <c r="AH20" s="828"/>
      <c r="AI20" s="443">
        <f t="shared" si="5"/>
        <v>23.8849615108</v>
      </c>
      <c r="AJ20" s="444">
        <f t="shared" si="6"/>
        <v>22.108176800000003</v>
      </c>
      <c r="AL20" s="386" t="b">
        <f t="shared" si="3"/>
        <v>1</v>
      </c>
      <c r="AO20" s="857"/>
      <c r="AP20" s="858"/>
    </row>
    <row r="21" spans="1:42" ht="17.25" customHeight="1">
      <c r="A21" s="427">
        <f t="shared" si="7"/>
        <v>15</v>
      </c>
      <c r="B21" s="428" t="s">
        <v>209</v>
      </c>
      <c r="C21" s="428" t="s">
        <v>236</v>
      </c>
      <c r="D21" s="429" t="s">
        <v>237</v>
      </c>
      <c r="E21" s="430"/>
      <c r="F21" s="431"/>
      <c r="G21" s="445">
        <v>3419068.9706000001</v>
      </c>
      <c r="H21" s="445">
        <v>6610.8429999999998</v>
      </c>
      <c r="I21" s="431"/>
      <c r="J21" s="431"/>
      <c r="K21" s="432">
        <f t="shared" si="0"/>
        <v>3.4190689706000001</v>
      </c>
      <c r="L21" s="433">
        <f t="shared" si="1"/>
        <v>6.610843</v>
      </c>
      <c r="M21" s="434">
        <f t="shared" si="4"/>
        <v>3.4190689706000001</v>
      </c>
      <c r="N21" s="435">
        <f t="shared" si="4"/>
        <v>6.610843</v>
      </c>
      <c r="O21" s="436"/>
      <c r="P21" s="437"/>
      <c r="Q21" s="438"/>
      <c r="R21" s="437"/>
      <c r="S21" s="438"/>
      <c r="T21" s="437"/>
      <c r="U21" s="438"/>
      <c r="V21" s="437"/>
      <c r="W21" s="436"/>
      <c r="X21" s="437">
        <f>L21</f>
        <v>6.610843</v>
      </c>
      <c r="Y21" s="439">
        <f>K21</f>
        <v>3.4190689706000001</v>
      </c>
      <c r="Z21" s="437"/>
      <c r="AA21" s="440"/>
      <c r="AB21" s="433">
        <v>0</v>
      </c>
      <c r="AC21" s="325"/>
      <c r="AD21" s="437"/>
      <c r="AE21" s="441"/>
      <c r="AF21" s="442">
        <v>0</v>
      </c>
      <c r="AG21" s="828"/>
      <c r="AH21" s="828"/>
      <c r="AI21" s="443">
        <f t="shared" si="5"/>
        <v>3.4190689706000001</v>
      </c>
      <c r="AJ21" s="444">
        <f t="shared" si="6"/>
        <v>6.610843</v>
      </c>
      <c r="AL21" s="386" t="b">
        <f t="shared" si="3"/>
        <v>1</v>
      </c>
      <c r="AO21" s="857"/>
      <c r="AP21" s="858"/>
    </row>
    <row r="22" spans="1:42" s="426" customFormat="1" ht="17.25" customHeight="1">
      <c r="A22" s="447">
        <f t="shared" si="7"/>
        <v>16</v>
      </c>
      <c r="B22" s="448" t="s">
        <v>209</v>
      </c>
      <c r="C22" s="448" t="s">
        <v>238</v>
      </c>
      <c r="D22" s="449" t="s">
        <v>239</v>
      </c>
      <c r="E22" s="450"/>
      <c r="F22" s="451"/>
      <c r="G22" s="451">
        <v>12579503.7663</v>
      </c>
      <c r="H22" s="451">
        <v>13293.6957</v>
      </c>
      <c r="I22" s="451"/>
      <c r="J22" s="451"/>
      <c r="K22" s="452">
        <f t="shared" si="0"/>
        <v>12.5795037663</v>
      </c>
      <c r="L22" s="453">
        <f t="shared" si="1"/>
        <v>13.293695700000001</v>
      </c>
      <c r="M22" s="434">
        <f>O22+Q22+S22+U22+W22+Y22+AA22</f>
        <v>12.5795037663</v>
      </c>
      <c r="N22" s="446">
        <f>P22+R22+T22+V22+X22+Z22+AB22</f>
        <v>13.293695700000001</v>
      </c>
      <c r="O22" s="454"/>
      <c r="P22" s="455"/>
      <c r="Q22" s="456"/>
      <c r="R22" s="455"/>
      <c r="S22" s="456"/>
      <c r="T22" s="455"/>
      <c r="U22" s="456"/>
      <c r="V22" s="455"/>
      <c r="W22" s="454"/>
      <c r="X22" s="455"/>
      <c r="Y22" s="456"/>
      <c r="Z22" s="455"/>
      <c r="AA22" s="440">
        <f>K22</f>
        <v>12.5795037663</v>
      </c>
      <c r="AB22" s="433">
        <f>L22</f>
        <v>13.293695700000001</v>
      </c>
      <c r="AC22" s="325"/>
      <c r="AD22" s="437"/>
      <c r="AE22" s="441">
        <v>0</v>
      </c>
      <c r="AF22" s="442">
        <v>0</v>
      </c>
      <c r="AG22" s="828"/>
      <c r="AH22" s="828"/>
      <c r="AI22" s="443">
        <f t="shared" si="5"/>
        <v>12.5795037663</v>
      </c>
      <c r="AJ22" s="444">
        <f t="shared" si="6"/>
        <v>13.293695700000001</v>
      </c>
      <c r="AK22" s="386"/>
      <c r="AL22" s="386" t="b">
        <f t="shared" si="3"/>
        <v>1</v>
      </c>
      <c r="AO22" s="857"/>
      <c r="AP22" s="858"/>
    </row>
    <row r="23" spans="1:42" s="426" customFormat="1" ht="17.25" customHeight="1">
      <c r="A23" s="447">
        <f t="shared" si="7"/>
        <v>17</v>
      </c>
      <c r="B23" s="448" t="s">
        <v>240</v>
      </c>
      <c r="C23" s="448" t="s">
        <v>241</v>
      </c>
      <c r="D23" s="449" t="s">
        <v>227</v>
      </c>
      <c r="E23" s="457"/>
      <c r="F23" s="458"/>
      <c r="G23" s="458">
        <v>17676500.956300002</v>
      </c>
      <c r="H23" s="458">
        <v>20511.164499999999</v>
      </c>
      <c r="I23" s="451"/>
      <c r="J23" s="451"/>
      <c r="K23" s="452">
        <v>17.670000000000002</v>
      </c>
      <c r="L23" s="453">
        <f t="shared" si="1"/>
        <v>20.5111645</v>
      </c>
      <c r="M23" s="434">
        <f t="shared" si="4"/>
        <v>0</v>
      </c>
      <c r="N23" s="435">
        <f t="shared" si="4"/>
        <v>0</v>
      </c>
      <c r="O23" s="454"/>
      <c r="P23" s="455"/>
      <c r="Q23" s="456"/>
      <c r="R23" s="455"/>
      <c r="S23" s="456"/>
      <c r="T23" s="455"/>
      <c r="U23" s="456"/>
      <c r="V23" s="455"/>
      <c r="W23" s="454"/>
      <c r="X23" s="455"/>
      <c r="Y23" s="456"/>
      <c r="Z23" s="455"/>
      <c r="AA23" s="440">
        <v>0</v>
      </c>
      <c r="AB23" s="433">
        <v>0</v>
      </c>
      <c r="AC23" s="325"/>
      <c r="AD23" s="437"/>
      <c r="AE23" s="441">
        <v>0</v>
      </c>
      <c r="AF23" s="442">
        <v>0</v>
      </c>
      <c r="AG23" s="828"/>
      <c r="AH23" s="828"/>
      <c r="AI23" s="443">
        <f t="shared" si="5"/>
        <v>0</v>
      </c>
      <c r="AJ23" s="444">
        <f t="shared" si="6"/>
        <v>0</v>
      </c>
      <c r="AK23" s="386"/>
      <c r="AL23" s="386" t="b">
        <f>AJ23=N23</f>
        <v>1</v>
      </c>
      <c r="AO23" s="857"/>
      <c r="AP23" s="858"/>
    </row>
    <row r="24" spans="1:42" s="426" customFormat="1" ht="17.25" customHeight="1">
      <c r="A24" s="447">
        <f t="shared" si="7"/>
        <v>18</v>
      </c>
      <c r="B24" s="448" t="s">
        <v>240</v>
      </c>
      <c r="C24" s="448" t="s">
        <v>242</v>
      </c>
      <c r="D24" s="449" t="s">
        <v>243</v>
      </c>
      <c r="E24" s="450"/>
      <c r="F24" s="451"/>
      <c r="G24" s="451">
        <v>12292522.349400001</v>
      </c>
      <c r="H24" s="451">
        <v>17565.994600000002</v>
      </c>
      <c r="I24" s="451"/>
      <c r="J24" s="451"/>
      <c r="K24" s="452">
        <v>12.29</v>
      </c>
      <c r="L24" s="453">
        <v>13.55</v>
      </c>
      <c r="M24" s="434">
        <f>K24</f>
        <v>12.29</v>
      </c>
      <c r="N24" s="435">
        <f>L24</f>
        <v>13.55</v>
      </c>
      <c r="O24" s="454"/>
      <c r="P24" s="455"/>
      <c r="Q24" s="456"/>
      <c r="R24" s="455"/>
      <c r="S24" s="456"/>
      <c r="T24" s="455"/>
      <c r="U24" s="456"/>
      <c r="V24" s="455"/>
      <c r="W24" s="454"/>
      <c r="X24" s="455"/>
      <c r="Y24" s="456"/>
      <c r="Z24" s="455"/>
      <c r="AA24" s="440">
        <v>0</v>
      </c>
      <c r="AB24" s="433">
        <v>0</v>
      </c>
      <c r="AC24" s="325">
        <f>K24</f>
        <v>12.29</v>
      </c>
      <c r="AD24" s="437">
        <f>L24</f>
        <v>13.55</v>
      </c>
      <c r="AE24" s="441"/>
      <c r="AF24" s="442"/>
      <c r="AG24" s="828"/>
      <c r="AH24" s="828"/>
      <c r="AI24" s="443">
        <f t="shared" si="5"/>
        <v>12.29</v>
      </c>
      <c r="AJ24" s="444">
        <f t="shared" si="6"/>
        <v>13.55</v>
      </c>
      <c r="AK24" s="386"/>
      <c r="AL24" s="386" t="b">
        <f>AJ24=L24</f>
        <v>1</v>
      </c>
      <c r="AO24" s="857"/>
      <c r="AP24" s="858"/>
    </row>
    <row r="25" spans="1:42" s="426" customFormat="1" ht="17.25" customHeight="1">
      <c r="A25" s="447">
        <f t="shared" si="7"/>
        <v>19</v>
      </c>
      <c r="B25" s="448" t="s">
        <v>240</v>
      </c>
      <c r="C25" s="448" t="s">
        <v>244</v>
      </c>
      <c r="D25" s="449" t="s">
        <v>245</v>
      </c>
      <c r="E25" s="450"/>
      <c r="F25" s="451"/>
      <c r="G25" s="451">
        <v>1915337.5511</v>
      </c>
      <c r="H25" s="451">
        <v>4659.3276999999998</v>
      </c>
      <c r="I25" s="451"/>
      <c r="J25" s="451"/>
      <c r="K25" s="452">
        <f t="shared" si="0"/>
        <v>1.9153375511000001</v>
      </c>
      <c r="L25" s="453">
        <f t="shared" si="1"/>
        <v>4.6593276999999995</v>
      </c>
      <c r="M25" s="434">
        <f t="shared" si="4"/>
        <v>0</v>
      </c>
      <c r="N25" s="435">
        <f t="shared" si="4"/>
        <v>0</v>
      </c>
      <c r="O25" s="454"/>
      <c r="P25" s="455"/>
      <c r="Q25" s="456"/>
      <c r="R25" s="455"/>
      <c r="S25" s="456"/>
      <c r="T25" s="455"/>
      <c r="U25" s="456"/>
      <c r="V25" s="455"/>
      <c r="W25" s="454"/>
      <c r="X25" s="455"/>
      <c r="Y25" s="456"/>
      <c r="Z25" s="455"/>
      <c r="AA25" s="440">
        <v>0</v>
      </c>
      <c r="AB25" s="433">
        <v>0</v>
      </c>
      <c r="AC25" s="325"/>
      <c r="AD25" s="437"/>
      <c r="AE25" s="441">
        <v>0</v>
      </c>
      <c r="AF25" s="442">
        <v>0</v>
      </c>
      <c r="AG25" s="828"/>
      <c r="AH25" s="828"/>
      <c r="AI25" s="443">
        <f t="shared" si="5"/>
        <v>0</v>
      </c>
      <c r="AJ25" s="444">
        <f t="shared" si="6"/>
        <v>0</v>
      </c>
      <c r="AK25" s="386"/>
      <c r="AL25" s="386" t="b">
        <f t="shared" ref="AL25:AL29" si="10">AJ25=N25</f>
        <v>1</v>
      </c>
      <c r="AO25" s="857"/>
      <c r="AP25" s="858"/>
    </row>
    <row r="26" spans="1:42" s="426" customFormat="1" ht="17.25" customHeight="1">
      <c r="A26" s="447"/>
      <c r="B26" s="448" t="s">
        <v>240</v>
      </c>
      <c r="C26" s="448"/>
      <c r="D26" s="449" t="s">
        <v>246</v>
      </c>
      <c r="E26" s="450"/>
      <c r="F26" s="451"/>
      <c r="G26" s="451">
        <v>4008361.7448999998</v>
      </c>
      <c r="H26" s="451">
        <v>7852.8334999999997</v>
      </c>
      <c r="I26" s="451"/>
      <c r="J26" s="451"/>
      <c r="K26" s="452">
        <f t="shared" si="0"/>
        <v>4.0083617449000002</v>
      </c>
      <c r="L26" s="453">
        <f t="shared" si="1"/>
        <v>7.8528335</v>
      </c>
      <c r="M26" s="434">
        <f t="shared" si="4"/>
        <v>0</v>
      </c>
      <c r="N26" s="435">
        <f t="shared" si="4"/>
        <v>0</v>
      </c>
      <c r="O26" s="454"/>
      <c r="P26" s="455"/>
      <c r="Q26" s="456"/>
      <c r="R26" s="455"/>
      <c r="S26" s="456"/>
      <c r="T26" s="455"/>
      <c r="U26" s="456"/>
      <c r="V26" s="455"/>
      <c r="W26" s="454"/>
      <c r="X26" s="455"/>
      <c r="Y26" s="456"/>
      <c r="Z26" s="455"/>
      <c r="AA26" s="440"/>
      <c r="AB26" s="433"/>
      <c r="AC26" s="325"/>
      <c r="AD26" s="437"/>
      <c r="AE26" s="441"/>
      <c r="AF26" s="442"/>
      <c r="AG26" s="828"/>
      <c r="AH26" s="828"/>
      <c r="AI26" s="443">
        <f t="shared" si="5"/>
        <v>0</v>
      </c>
      <c r="AJ26" s="444">
        <f t="shared" si="6"/>
        <v>0</v>
      </c>
      <c r="AK26" s="386"/>
      <c r="AL26" s="386" t="b">
        <f t="shared" si="10"/>
        <v>1</v>
      </c>
      <c r="AO26" s="857"/>
      <c r="AP26" s="858"/>
    </row>
    <row r="27" spans="1:42" s="426" customFormat="1" ht="17.25" customHeight="1">
      <c r="A27" s="447">
        <f>A25+1</f>
        <v>20</v>
      </c>
      <c r="B27" s="448" t="s">
        <v>247</v>
      </c>
      <c r="C27" s="448" t="s">
        <v>248</v>
      </c>
      <c r="D27" s="449" t="s">
        <v>227</v>
      </c>
      <c r="E27" s="450"/>
      <c r="F27" s="451"/>
      <c r="G27" s="451">
        <v>24253394.98</v>
      </c>
      <c r="H27" s="451">
        <v>14861.069600000001</v>
      </c>
      <c r="I27" s="451"/>
      <c r="J27" s="451"/>
      <c r="K27" s="459">
        <v>17.670000000000002</v>
      </c>
      <c r="L27" s="453">
        <f t="shared" si="1"/>
        <v>14.8610696</v>
      </c>
      <c r="M27" s="434">
        <f t="shared" si="4"/>
        <v>0</v>
      </c>
      <c r="N27" s="435">
        <f t="shared" si="4"/>
        <v>0</v>
      </c>
      <c r="O27" s="454"/>
      <c r="P27" s="455"/>
      <c r="Q27" s="456"/>
      <c r="R27" s="455"/>
      <c r="S27" s="456"/>
      <c r="T27" s="455"/>
      <c r="U27" s="456"/>
      <c r="V27" s="455"/>
      <c r="W27" s="454"/>
      <c r="X27" s="455"/>
      <c r="Y27" s="456"/>
      <c r="Z27" s="455"/>
      <c r="AA27" s="440">
        <v>0</v>
      </c>
      <c r="AB27" s="433">
        <v>0</v>
      </c>
      <c r="AC27" s="325"/>
      <c r="AD27" s="437"/>
      <c r="AE27" s="441">
        <v>0</v>
      </c>
      <c r="AF27" s="442">
        <v>0</v>
      </c>
      <c r="AG27" s="828"/>
      <c r="AH27" s="828"/>
      <c r="AI27" s="443">
        <f t="shared" si="5"/>
        <v>0</v>
      </c>
      <c r="AJ27" s="444">
        <f t="shared" si="6"/>
        <v>0</v>
      </c>
      <c r="AK27" s="386"/>
      <c r="AL27" s="386" t="b">
        <f t="shared" si="10"/>
        <v>1</v>
      </c>
      <c r="AO27" s="857"/>
      <c r="AP27" s="858"/>
    </row>
    <row r="28" spans="1:42" s="426" customFormat="1" ht="17.25" customHeight="1">
      <c r="A28" s="447">
        <f t="shared" si="7"/>
        <v>21</v>
      </c>
      <c r="B28" s="448" t="s">
        <v>247</v>
      </c>
      <c r="C28" s="448" t="s">
        <v>249</v>
      </c>
      <c r="D28" s="449" t="s">
        <v>243</v>
      </c>
      <c r="E28" s="450"/>
      <c r="F28" s="451"/>
      <c r="G28" s="451">
        <v>9344005.7288000006</v>
      </c>
      <c r="H28" s="451">
        <v>10012.641299999999</v>
      </c>
      <c r="I28" s="451"/>
      <c r="J28" s="451"/>
      <c r="K28" s="452">
        <v>9.34</v>
      </c>
      <c r="L28" s="453">
        <v>10</v>
      </c>
      <c r="M28" s="434">
        <f t="shared" si="4"/>
        <v>0</v>
      </c>
      <c r="N28" s="435">
        <f t="shared" si="4"/>
        <v>0</v>
      </c>
      <c r="O28" s="454"/>
      <c r="P28" s="455"/>
      <c r="Q28" s="456"/>
      <c r="R28" s="455"/>
      <c r="S28" s="456"/>
      <c r="T28" s="455"/>
      <c r="U28" s="456"/>
      <c r="V28" s="455"/>
      <c r="W28" s="454"/>
      <c r="X28" s="455"/>
      <c r="Y28" s="456"/>
      <c r="Z28" s="455"/>
      <c r="AA28" s="440">
        <v>0</v>
      </c>
      <c r="AB28" s="433">
        <v>0</v>
      </c>
      <c r="AC28" s="325"/>
      <c r="AD28" s="437"/>
      <c r="AE28" s="441">
        <v>0</v>
      </c>
      <c r="AF28" s="442">
        <v>0</v>
      </c>
      <c r="AG28" s="828">
        <f>90%*9.34</f>
        <v>8.4060000000000006</v>
      </c>
      <c r="AH28" s="828">
        <f>90%*10</f>
        <v>9</v>
      </c>
      <c r="AI28" s="443">
        <f t="shared" si="5"/>
        <v>8.4060000000000006</v>
      </c>
      <c r="AJ28" s="444">
        <f t="shared" si="6"/>
        <v>9</v>
      </c>
      <c r="AK28" s="386" t="s">
        <v>757</v>
      </c>
      <c r="AL28" s="386" t="b">
        <f t="shared" si="10"/>
        <v>0</v>
      </c>
      <c r="AO28" s="861">
        <v>9.34</v>
      </c>
      <c r="AP28" s="862">
        <v>10</v>
      </c>
    </row>
    <row r="29" spans="1:42" s="426" customFormat="1" ht="17.25" customHeight="1">
      <c r="A29" s="447">
        <f t="shared" si="7"/>
        <v>22</v>
      </c>
      <c r="B29" s="448" t="s">
        <v>250</v>
      </c>
      <c r="C29" s="448" t="s">
        <v>251</v>
      </c>
      <c r="D29" s="449" t="s">
        <v>227</v>
      </c>
      <c r="E29" s="450"/>
      <c r="F29" s="451"/>
      <c r="G29" s="451">
        <v>24253394.98</v>
      </c>
      <c r="H29" s="451">
        <v>14641.3675</v>
      </c>
      <c r="I29" s="451"/>
      <c r="J29" s="451"/>
      <c r="K29" s="459">
        <v>17.670000000000002</v>
      </c>
      <c r="L29" s="453">
        <f>H29/1000</f>
        <v>14.641367499999999</v>
      </c>
      <c r="M29" s="434">
        <f t="shared" si="4"/>
        <v>0</v>
      </c>
      <c r="N29" s="435">
        <f t="shared" si="4"/>
        <v>0</v>
      </c>
      <c r="O29" s="454"/>
      <c r="P29" s="455"/>
      <c r="Q29" s="456"/>
      <c r="R29" s="455"/>
      <c r="S29" s="456"/>
      <c r="T29" s="455"/>
      <c r="U29" s="456"/>
      <c r="V29" s="455"/>
      <c r="W29" s="454"/>
      <c r="X29" s="455"/>
      <c r="Y29" s="456"/>
      <c r="Z29" s="455"/>
      <c r="AA29" s="440">
        <v>0</v>
      </c>
      <c r="AB29" s="433">
        <v>0</v>
      </c>
      <c r="AC29" s="325"/>
      <c r="AD29" s="437"/>
      <c r="AE29" s="441">
        <v>0</v>
      </c>
      <c r="AF29" s="442">
        <v>0</v>
      </c>
      <c r="AG29" s="828"/>
      <c r="AH29" s="828"/>
      <c r="AI29" s="443">
        <f t="shared" si="5"/>
        <v>0</v>
      </c>
      <c r="AJ29" s="444">
        <f t="shared" si="6"/>
        <v>0</v>
      </c>
      <c r="AK29" s="386"/>
      <c r="AL29" s="386" t="b">
        <f t="shared" si="10"/>
        <v>1</v>
      </c>
      <c r="AO29" s="857"/>
      <c r="AP29" s="858"/>
    </row>
    <row r="30" spans="1:42" ht="17.25" customHeight="1">
      <c r="A30" s="427">
        <f t="shared" si="7"/>
        <v>23</v>
      </c>
      <c r="B30" s="428" t="s">
        <v>250</v>
      </c>
      <c r="C30" s="428" t="s">
        <v>252</v>
      </c>
      <c r="D30" s="429" t="s">
        <v>243</v>
      </c>
      <c r="E30" s="430"/>
      <c r="F30" s="431"/>
      <c r="G30" s="431">
        <v>9348260.5719000008</v>
      </c>
      <c r="H30" s="431">
        <v>14458.4031</v>
      </c>
      <c r="I30" s="431"/>
      <c r="J30" s="431"/>
      <c r="K30" s="460">
        <v>9.34</v>
      </c>
      <c r="L30" s="433">
        <v>9.7899999999999991</v>
      </c>
      <c r="M30" s="434">
        <f t="shared" ref="M30:N36" si="11">O30+Q30+S30+U30+W30+Y30+AA30</f>
        <v>9.34</v>
      </c>
      <c r="N30" s="446">
        <f t="shared" si="11"/>
        <v>9.7899999999999991</v>
      </c>
      <c r="O30" s="436"/>
      <c r="P30" s="437"/>
      <c r="Q30" s="438"/>
      <c r="R30" s="437"/>
      <c r="S30" s="438"/>
      <c r="T30" s="437"/>
      <c r="U30" s="438"/>
      <c r="V30" s="437"/>
      <c r="W30" s="436"/>
      <c r="X30" s="437"/>
      <c r="Y30" s="438"/>
      <c r="Z30" s="437"/>
      <c r="AA30" s="440">
        <f t="shared" ref="AA30:AB35" si="12">K30</f>
        <v>9.34</v>
      </c>
      <c r="AB30" s="433">
        <f t="shared" si="12"/>
        <v>9.7899999999999991</v>
      </c>
      <c r="AC30" s="325"/>
      <c r="AD30" s="437"/>
      <c r="AE30" s="441">
        <v>0</v>
      </c>
      <c r="AF30" s="442">
        <v>0</v>
      </c>
      <c r="AG30" s="828"/>
      <c r="AH30" s="828"/>
      <c r="AI30" s="443">
        <f t="shared" si="5"/>
        <v>9.34</v>
      </c>
      <c r="AJ30" s="444">
        <f t="shared" si="6"/>
        <v>9.7899999999999991</v>
      </c>
      <c r="AL30" s="386" t="b">
        <f t="shared" ref="AL30:AL35" si="13">AJ30=L30</f>
        <v>1</v>
      </c>
      <c r="AO30" s="857"/>
      <c r="AP30" s="858"/>
    </row>
    <row r="31" spans="1:42" ht="17.25" customHeight="1">
      <c r="A31" s="427">
        <f t="shared" si="7"/>
        <v>24</v>
      </c>
      <c r="B31" s="428" t="s">
        <v>250</v>
      </c>
      <c r="C31" s="428" t="s">
        <v>253</v>
      </c>
      <c r="D31" s="429" t="s">
        <v>245</v>
      </c>
      <c r="E31" s="430"/>
      <c r="F31" s="431"/>
      <c r="G31" s="431">
        <v>1915337.5511</v>
      </c>
      <c r="H31" s="431">
        <v>4654.1540999999997</v>
      </c>
      <c r="I31" s="431"/>
      <c r="J31" s="431"/>
      <c r="K31" s="460">
        <f>G31/1000000</f>
        <v>1.9153375511000001</v>
      </c>
      <c r="L31" s="433">
        <f>H31/1000</f>
        <v>4.6541540999999995</v>
      </c>
      <c r="M31" s="434">
        <f t="shared" si="11"/>
        <v>1.9153375511000001</v>
      </c>
      <c r="N31" s="446">
        <f t="shared" si="11"/>
        <v>4.6541540999999995</v>
      </c>
      <c r="O31" s="436"/>
      <c r="P31" s="437"/>
      <c r="Q31" s="438"/>
      <c r="R31" s="437"/>
      <c r="S31" s="438"/>
      <c r="T31" s="437"/>
      <c r="U31" s="438"/>
      <c r="V31" s="437"/>
      <c r="W31" s="436"/>
      <c r="X31" s="437"/>
      <c r="Y31" s="438"/>
      <c r="Z31" s="437"/>
      <c r="AA31" s="440">
        <f t="shared" si="12"/>
        <v>1.9153375511000001</v>
      </c>
      <c r="AB31" s="433">
        <f t="shared" si="12"/>
        <v>4.6541540999999995</v>
      </c>
      <c r="AC31" s="325"/>
      <c r="AD31" s="437"/>
      <c r="AE31" s="441">
        <v>0</v>
      </c>
      <c r="AF31" s="442">
        <v>0</v>
      </c>
      <c r="AG31" s="828"/>
      <c r="AH31" s="828"/>
      <c r="AI31" s="443">
        <f t="shared" si="5"/>
        <v>1.9153375511000001</v>
      </c>
      <c r="AJ31" s="444">
        <f t="shared" si="6"/>
        <v>4.6541540999999995</v>
      </c>
      <c r="AL31" s="386" t="b">
        <f t="shared" si="13"/>
        <v>1</v>
      </c>
      <c r="AO31" s="857"/>
      <c r="AP31" s="858"/>
    </row>
    <row r="32" spans="1:42" s="426" customFormat="1" ht="17.25" customHeight="1">
      <c r="A32" s="447">
        <f t="shared" si="7"/>
        <v>25</v>
      </c>
      <c r="B32" s="448" t="s">
        <v>250</v>
      </c>
      <c r="C32" s="448" t="s">
        <v>254</v>
      </c>
      <c r="D32" s="449" t="s">
        <v>255</v>
      </c>
      <c r="E32" s="450"/>
      <c r="F32" s="451"/>
      <c r="G32" s="451">
        <v>38209714.983099997</v>
      </c>
      <c r="H32" s="451">
        <v>44057.969899999996</v>
      </c>
      <c r="I32" s="451"/>
      <c r="J32" s="451"/>
      <c r="K32" s="452">
        <f t="shared" ref="K32" si="14">G32/1000000</f>
        <v>38.2097149831</v>
      </c>
      <c r="L32" s="453">
        <f t="shared" si="1"/>
        <v>44.057969899999996</v>
      </c>
      <c r="M32" s="434">
        <f t="shared" si="11"/>
        <v>38.2097149831</v>
      </c>
      <c r="N32" s="446">
        <f t="shared" si="11"/>
        <v>44.057969899999996</v>
      </c>
      <c r="O32" s="454"/>
      <c r="P32" s="455"/>
      <c r="Q32" s="456"/>
      <c r="R32" s="455"/>
      <c r="S32" s="456"/>
      <c r="T32" s="455"/>
      <c r="U32" s="456"/>
      <c r="V32" s="455"/>
      <c r="W32" s="454"/>
      <c r="X32" s="455"/>
      <c r="Y32" s="456"/>
      <c r="Z32" s="455"/>
      <c r="AA32" s="440">
        <f t="shared" si="12"/>
        <v>38.2097149831</v>
      </c>
      <c r="AB32" s="433">
        <f t="shared" si="12"/>
        <v>44.057969899999996</v>
      </c>
      <c r="AC32" s="325"/>
      <c r="AD32" s="437"/>
      <c r="AE32" s="441">
        <v>0</v>
      </c>
      <c r="AF32" s="442">
        <v>0</v>
      </c>
      <c r="AG32" s="828"/>
      <c r="AH32" s="828"/>
      <c r="AI32" s="443">
        <f t="shared" si="5"/>
        <v>38.2097149831</v>
      </c>
      <c r="AJ32" s="444">
        <f t="shared" si="6"/>
        <v>44.057969899999996</v>
      </c>
      <c r="AK32" s="386"/>
      <c r="AL32" s="386" t="b">
        <f t="shared" si="13"/>
        <v>1</v>
      </c>
      <c r="AO32" s="857"/>
      <c r="AP32" s="858"/>
    </row>
    <row r="33" spans="1:42" s="426" customFormat="1" ht="17.25" customHeight="1">
      <c r="A33" s="447">
        <f t="shared" si="7"/>
        <v>26</v>
      </c>
      <c r="B33" s="448" t="s">
        <v>256</v>
      </c>
      <c r="C33" s="448" t="s">
        <v>257</v>
      </c>
      <c r="D33" s="449" t="s">
        <v>258</v>
      </c>
      <c r="E33" s="450"/>
      <c r="F33" s="451"/>
      <c r="G33" s="451">
        <v>9803593.4900000002</v>
      </c>
      <c r="H33" s="451">
        <v>9821.3642</v>
      </c>
      <c r="I33" s="451"/>
      <c r="J33" s="451"/>
      <c r="K33" s="459">
        <v>9.8000000000000007</v>
      </c>
      <c r="L33" s="453">
        <f>H33/1000</f>
        <v>9.8213641999999997</v>
      </c>
      <c r="M33" s="434">
        <f t="shared" si="11"/>
        <v>9.8000000000000007</v>
      </c>
      <c r="N33" s="446">
        <f t="shared" si="11"/>
        <v>9.8213641999999997</v>
      </c>
      <c r="O33" s="454"/>
      <c r="P33" s="455"/>
      <c r="Q33" s="456"/>
      <c r="R33" s="455"/>
      <c r="S33" s="456"/>
      <c r="T33" s="455"/>
      <c r="U33" s="456"/>
      <c r="V33" s="455"/>
      <c r="W33" s="454"/>
      <c r="X33" s="455"/>
      <c r="Y33" s="456"/>
      <c r="Z33" s="455"/>
      <c r="AA33" s="440">
        <f t="shared" si="12"/>
        <v>9.8000000000000007</v>
      </c>
      <c r="AB33" s="433">
        <f t="shared" si="12"/>
        <v>9.8213641999999997</v>
      </c>
      <c r="AC33" s="325"/>
      <c r="AD33" s="437"/>
      <c r="AE33" s="441">
        <v>0</v>
      </c>
      <c r="AF33" s="442">
        <v>0</v>
      </c>
      <c r="AG33" s="828"/>
      <c r="AH33" s="828"/>
      <c r="AI33" s="443">
        <f t="shared" si="5"/>
        <v>9.8000000000000007</v>
      </c>
      <c r="AJ33" s="444">
        <f t="shared" si="6"/>
        <v>9.8213641999999997</v>
      </c>
      <c r="AK33" s="386"/>
      <c r="AL33" s="386" t="b">
        <f t="shared" si="13"/>
        <v>1</v>
      </c>
      <c r="AO33" s="857"/>
      <c r="AP33" s="858"/>
    </row>
    <row r="34" spans="1:42" ht="17.25" customHeight="1">
      <c r="A34" s="447">
        <f t="shared" si="7"/>
        <v>27</v>
      </c>
      <c r="B34" s="461" t="s">
        <v>259</v>
      </c>
      <c r="C34" s="448" t="s">
        <v>260</v>
      </c>
      <c r="D34" s="429" t="s">
        <v>245</v>
      </c>
      <c r="E34" s="430"/>
      <c r="F34" s="431"/>
      <c r="G34" s="431">
        <v>1915337.5511</v>
      </c>
      <c r="H34" s="431">
        <v>4660.4192999999996</v>
      </c>
      <c r="I34" s="431"/>
      <c r="J34" s="431"/>
      <c r="K34" s="460">
        <f>G34/1000000</f>
        <v>1.9153375511000001</v>
      </c>
      <c r="L34" s="433">
        <f>H34/1000</f>
        <v>4.6604192999999992</v>
      </c>
      <c r="M34" s="434">
        <f t="shared" si="11"/>
        <v>1.9153375511000001</v>
      </c>
      <c r="N34" s="446">
        <f t="shared" si="11"/>
        <v>4.6604192999999992</v>
      </c>
      <c r="O34" s="436"/>
      <c r="P34" s="437"/>
      <c r="Q34" s="438"/>
      <c r="R34" s="437"/>
      <c r="S34" s="438"/>
      <c r="T34" s="437"/>
      <c r="U34" s="438"/>
      <c r="V34" s="437"/>
      <c r="W34" s="436"/>
      <c r="X34" s="437"/>
      <c r="Y34" s="438"/>
      <c r="Z34" s="437"/>
      <c r="AA34" s="440">
        <f t="shared" si="12"/>
        <v>1.9153375511000001</v>
      </c>
      <c r="AB34" s="433">
        <f t="shared" si="12"/>
        <v>4.6604192999999992</v>
      </c>
      <c r="AC34" s="325"/>
      <c r="AD34" s="437"/>
      <c r="AE34" s="441">
        <v>0</v>
      </c>
      <c r="AF34" s="442">
        <v>0</v>
      </c>
      <c r="AG34" s="828"/>
      <c r="AH34" s="828"/>
      <c r="AI34" s="443">
        <f t="shared" si="5"/>
        <v>1.9153375511000001</v>
      </c>
      <c r="AJ34" s="444">
        <f t="shared" si="6"/>
        <v>4.6604192999999992</v>
      </c>
      <c r="AL34" s="386" t="b">
        <f t="shared" si="13"/>
        <v>1</v>
      </c>
      <c r="AO34" s="857"/>
      <c r="AP34" s="858"/>
    </row>
    <row r="35" spans="1:42" ht="17.25" customHeight="1">
      <c r="A35" s="427">
        <f t="shared" si="7"/>
        <v>28</v>
      </c>
      <c r="B35" s="461" t="s">
        <v>259</v>
      </c>
      <c r="C35" s="448" t="s">
        <v>261</v>
      </c>
      <c r="D35" s="429" t="s">
        <v>243</v>
      </c>
      <c r="E35" s="430"/>
      <c r="F35" s="431"/>
      <c r="G35" s="431">
        <v>9344005.9580000006</v>
      </c>
      <c r="H35" s="431">
        <v>14458.4031</v>
      </c>
      <c r="I35" s="431"/>
      <c r="J35" s="431"/>
      <c r="K35" s="460">
        <v>9.34</v>
      </c>
      <c r="L35" s="433">
        <v>9.7899999999999991</v>
      </c>
      <c r="M35" s="434">
        <f t="shared" si="11"/>
        <v>9.34</v>
      </c>
      <c r="N35" s="446">
        <f t="shared" si="11"/>
        <v>9.7899999999999991</v>
      </c>
      <c r="O35" s="436"/>
      <c r="P35" s="437"/>
      <c r="Q35" s="438"/>
      <c r="R35" s="437"/>
      <c r="S35" s="438"/>
      <c r="T35" s="437"/>
      <c r="U35" s="438"/>
      <c r="V35" s="437"/>
      <c r="W35" s="436"/>
      <c r="X35" s="437"/>
      <c r="Y35" s="438"/>
      <c r="Z35" s="437"/>
      <c r="AA35" s="440">
        <f t="shared" si="12"/>
        <v>9.34</v>
      </c>
      <c r="AB35" s="433">
        <f t="shared" si="12"/>
        <v>9.7899999999999991</v>
      </c>
      <c r="AC35" s="325"/>
      <c r="AD35" s="437"/>
      <c r="AE35" s="441">
        <v>0</v>
      </c>
      <c r="AF35" s="442">
        <v>0</v>
      </c>
      <c r="AG35" s="828"/>
      <c r="AH35" s="828"/>
      <c r="AI35" s="443">
        <f t="shared" si="5"/>
        <v>9.34</v>
      </c>
      <c r="AJ35" s="444">
        <f t="shared" si="6"/>
        <v>9.7899999999999991</v>
      </c>
      <c r="AL35" s="386" t="b">
        <f t="shared" si="13"/>
        <v>1</v>
      </c>
      <c r="AO35" s="857"/>
      <c r="AP35" s="858"/>
    </row>
    <row r="36" spans="1:42" ht="17.25" customHeight="1">
      <c r="A36" s="427">
        <f t="shared" si="7"/>
        <v>29</v>
      </c>
      <c r="B36" s="461" t="s">
        <v>259</v>
      </c>
      <c r="C36" s="428"/>
      <c r="D36" s="429" t="s">
        <v>227</v>
      </c>
      <c r="E36" s="430"/>
      <c r="F36" s="431"/>
      <c r="G36" s="431">
        <v>24253394.98</v>
      </c>
      <c r="H36" s="431">
        <v>13613.840200000001</v>
      </c>
      <c r="I36" s="431"/>
      <c r="J36" s="431"/>
      <c r="K36" s="460">
        <v>17.670000000000002</v>
      </c>
      <c r="L36" s="433">
        <f>H36/1000</f>
        <v>13.6138402</v>
      </c>
      <c r="M36" s="434">
        <f t="shared" si="11"/>
        <v>0</v>
      </c>
      <c r="N36" s="446">
        <f t="shared" si="11"/>
        <v>0</v>
      </c>
      <c r="O36" s="436"/>
      <c r="P36" s="437"/>
      <c r="Q36" s="438"/>
      <c r="R36" s="437"/>
      <c r="S36" s="438"/>
      <c r="T36" s="437"/>
      <c r="U36" s="438"/>
      <c r="V36" s="437"/>
      <c r="W36" s="436"/>
      <c r="X36" s="437"/>
      <c r="Y36" s="438"/>
      <c r="Z36" s="437"/>
      <c r="AA36" s="440">
        <v>0</v>
      </c>
      <c r="AB36" s="433">
        <v>0</v>
      </c>
      <c r="AC36" s="325"/>
      <c r="AD36" s="437"/>
      <c r="AE36" s="441">
        <v>0</v>
      </c>
      <c r="AF36" s="442">
        <v>0</v>
      </c>
      <c r="AG36" s="828">
        <v>17.670000000000002</v>
      </c>
      <c r="AH36" s="828">
        <v>13.6138402</v>
      </c>
      <c r="AI36" s="443">
        <f t="shared" si="5"/>
        <v>17.670000000000002</v>
      </c>
      <c r="AJ36" s="444">
        <f t="shared" si="6"/>
        <v>13.6138402</v>
      </c>
      <c r="AK36" s="386" t="s">
        <v>774</v>
      </c>
      <c r="AL36" s="386" t="b">
        <f t="shared" ref="AL36:AL41" si="15">AJ36=N36</f>
        <v>0</v>
      </c>
      <c r="AO36" s="857">
        <v>17.670000000000002</v>
      </c>
      <c r="AP36" s="858">
        <v>13.6138402</v>
      </c>
    </row>
    <row r="37" spans="1:42" ht="17.25" customHeight="1">
      <c r="A37" s="427">
        <f t="shared" si="7"/>
        <v>30</v>
      </c>
      <c r="B37" s="461" t="s">
        <v>262</v>
      </c>
      <c r="C37" s="428"/>
      <c r="D37" s="429" t="s">
        <v>245</v>
      </c>
      <c r="E37" s="430"/>
      <c r="F37" s="431"/>
      <c r="G37" s="431">
        <v>1915337.5511</v>
      </c>
      <c r="H37" s="431">
        <v>4654.1540999999997</v>
      </c>
      <c r="I37" s="431"/>
      <c r="J37" s="431"/>
      <c r="K37" s="460">
        <f>G37/1000000</f>
        <v>1.9153375511000001</v>
      </c>
      <c r="L37" s="433">
        <f>H37/1000</f>
        <v>4.6541540999999995</v>
      </c>
      <c r="M37" s="434">
        <f t="shared" ref="M37:N52" si="16">O37+Q37+S37+U37+W37+Y37</f>
        <v>0</v>
      </c>
      <c r="N37" s="435">
        <f t="shared" si="16"/>
        <v>0</v>
      </c>
      <c r="O37" s="436"/>
      <c r="P37" s="437"/>
      <c r="Q37" s="438"/>
      <c r="R37" s="437"/>
      <c r="S37" s="438"/>
      <c r="T37" s="437"/>
      <c r="U37" s="438"/>
      <c r="V37" s="437"/>
      <c r="W37" s="436"/>
      <c r="X37" s="437"/>
      <c r="Y37" s="438"/>
      <c r="Z37" s="437"/>
      <c r="AA37" s="440">
        <v>0</v>
      </c>
      <c r="AB37" s="433">
        <v>0</v>
      </c>
      <c r="AC37" s="325"/>
      <c r="AD37" s="437"/>
      <c r="AE37" s="441">
        <v>0</v>
      </c>
      <c r="AF37" s="442">
        <v>0</v>
      </c>
      <c r="AG37" s="828"/>
      <c r="AH37" s="828"/>
      <c r="AI37" s="443">
        <f t="shared" si="5"/>
        <v>0</v>
      </c>
      <c r="AJ37" s="444">
        <f t="shared" si="6"/>
        <v>0</v>
      </c>
      <c r="AL37" s="386" t="b">
        <f t="shared" si="15"/>
        <v>1</v>
      </c>
      <c r="AO37" s="857"/>
      <c r="AP37" s="858"/>
    </row>
    <row r="38" spans="1:42" ht="17.25" customHeight="1">
      <c r="A38" s="427">
        <f t="shared" si="7"/>
        <v>31</v>
      </c>
      <c r="B38" s="461" t="s">
        <v>262</v>
      </c>
      <c r="C38" s="428"/>
      <c r="D38" s="429" t="s">
        <v>263</v>
      </c>
      <c r="E38" s="430"/>
      <c r="F38" s="431"/>
      <c r="G38" s="431">
        <v>9385473.1556000002</v>
      </c>
      <c r="H38" s="431">
        <v>14458.4031</v>
      </c>
      <c r="I38" s="431"/>
      <c r="J38" s="431"/>
      <c r="K38" s="460">
        <v>9.5</v>
      </c>
      <c r="L38" s="433">
        <v>10.09</v>
      </c>
      <c r="M38" s="434">
        <f t="shared" si="16"/>
        <v>0</v>
      </c>
      <c r="N38" s="435">
        <f t="shared" si="16"/>
        <v>0</v>
      </c>
      <c r="O38" s="436"/>
      <c r="P38" s="437"/>
      <c r="Q38" s="438"/>
      <c r="R38" s="437"/>
      <c r="S38" s="438"/>
      <c r="T38" s="437"/>
      <c r="U38" s="438"/>
      <c r="V38" s="437"/>
      <c r="W38" s="436"/>
      <c r="X38" s="437"/>
      <c r="Y38" s="438"/>
      <c r="Z38" s="437"/>
      <c r="AA38" s="440">
        <v>0</v>
      </c>
      <c r="AB38" s="433">
        <v>0</v>
      </c>
      <c r="AC38" s="325"/>
      <c r="AD38" s="437"/>
      <c r="AE38" s="441">
        <v>0</v>
      </c>
      <c r="AF38" s="442">
        <v>0</v>
      </c>
      <c r="AG38" s="828">
        <f>90%*9.5</f>
        <v>8.5500000000000007</v>
      </c>
      <c r="AH38" s="828">
        <f>90%*10.09</f>
        <v>9.0809999999999995</v>
      </c>
      <c r="AI38" s="443">
        <f t="shared" si="5"/>
        <v>8.5500000000000007</v>
      </c>
      <c r="AJ38" s="444">
        <f t="shared" si="6"/>
        <v>9.0809999999999995</v>
      </c>
      <c r="AK38" s="386" t="s">
        <v>757</v>
      </c>
      <c r="AL38" s="386" t="b">
        <f t="shared" si="15"/>
        <v>0</v>
      </c>
      <c r="AO38" s="861">
        <v>9.5</v>
      </c>
      <c r="AP38" s="862">
        <v>10.09</v>
      </c>
    </row>
    <row r="39" spans="1:42" ht="17.25" customHeight="1">
      <c r="A39" s="427">
        <f t="shared" si="7"/>
        <v>32</v>
      </c>
      <c r="B39" s="461" t="s">
        <v>262</v>
      </c>
      <c r="C39" s="428"/>
      <c r="D39" s="429" t="s">
        <v>227</v>
      </c>
      <c r="E39" s="430"/>
      <c r="F39" s="431"/>
      <c r="G39" s="431">
        <v>24253394.98</v>
      </c>
      <c r="H39" s="431">
        <v>20777.1548</v>
      </c>
      <c r="I39" s="431"/>
      <c r="J39" s="431"/>
      <c r="K39" s="460">
        <v>20</v>
      </c>
      <c r="L39" s="433">
        <v>15.1</v>
      </c>
      <c r="M39" s="434">
        <f t="shared" si="16"/>
        <v>0</v>
      </c>
      <c r="N39" s="435">
        <f t="shared" si="16"/>
        <v>0</v>
      </c>
      <c r="O39" s="436"/>
      <c r="P39" s="437"/>
      <c r="Q39" s="438"/>
      <c r="R39" s="437"/>
      <c r="S39" s="438"/>
      <c r="T39" s="437"/>
      <c r="U39" s="438"/>
      <c r="V39" s="437"/>
      <c r="W39" s="436"/>
      <c r="X39" s="437"/>
      <c r="Y39" s="438"/>
      <c r="Z39" s="437"/>
      <c r="AA39" s="440">
        <v>0</v>
      </c>
      <c r="AB39" s="433">
        <v>0</v>
      </c>
      <c r="AC39" s="325"/>
      <c r="AD39" s="437"/>
      <c r="AE39" s="441">
        <v>0</v>
      </c>
      <c r="AF39" s="442">
        <v>0</v>
      </c>
      <c r="AG39" s="828"/>
      <c r="AH39" s="828"/>
      <c r="AI39" s="443">
        <f t="shared" si="5"/>
        <v>0</v>
      </c>
      <c r="AJ39" s="444">
        <f t="shared" si="6"/>
        <v>0</v>
      </c>
      <c r="AL39" s="386" t="b">
        <f t="shared" si="15"/>
        <v>1</v>
      </c>
      <c r="AO39" s="857"/>
      <c r="AP39" s="858"/>
    </row>
    <row r="40" spans="1:42" ht="17.25" customHeight="1">
      <c r="A40" s="427">
        <f t="shared" si="7"/>
        <v>33</v>
      </c>
      <c r="B40" s="461" t="s">
        <v>264</v>
      </c>
      <c r="C40" s="428"/>
      <c r="D40" s="429" t="s">
        <v>263</v>
      </c>
      <c r="E40" s="430"/>
      <c r="F40" s="431"/>
      <c r="G40" s="431">
        <v>9385473.1556000002</v>
      </c>
      <c r="H40" s="431">
        <v>14458.4031</v>
      </c>
      <c r="I40" s="431"/>
      <c r="J40" s="431"/>
      <c r="K40" s="460">
        <v>9.5</v>
      </c>
      <c r="L40" s="433">
        <v>10.09</v>
      </c>
      <c r="M40" s="434">
        <f t="shared" si="16"/>
        <v>0</v>
      </c>
      <c r="N40" s="435">
        <f t="shared" si="16"/>
        <v>0</v>
      </c>
      <c r="O40" s="436"/>
      <c r="P40" s="437"/>
      <c r="Q40" s="438"/>
      <c r="R40" s="437"/>
      <c r="S40" s="438"/>
      <c r="T40" s="437"/>
      <c r="U40" s="438"/>
      <c r="V40" s="437"/>
      <c r="W40" s="436"/>
      <c r="X40" s="437"/>
      <c r="Y40" s="438"/>
      <c r="Z40" s="437"/>
      <c r="AA40" s="440">
        <v>0</v>
      </c>
      <c r="AB40" s="433">
        <v>0</v>
      </c>
      <c r="AC40" s="325"/>
      <c r="AD40" s="437"/>
      <c r="AE40" s="441">
        <v>0</v>
      </c>
      <c r="AF40" s="442">
        <v>0</v>
      </c>
      <c r="AG40" s="828"/>
      <c r="AH40" s="828"/>
      <c r="AI40" s="443">
        <f t="shared" si="5"/>
        <v>0</v>
      </c>
      <c r="AJ40" s="444">
        <f t="shared" si="6"/>
        <v>0</v>
      </c>
      <c r="AL40" s="386" t="b">
        <f t="shared" si="15"/>
        <v>1</v>
      </c>
      <c r="AO40" s="857"/>
      <c r="AP40" s="858"/>
    </row>
    <row r="41" spans="1:42" ht="17.25" customHeight="1">
      <c r="A41" s="427">
        <f t="shared" si="7"/>
        <v>34</v>
      </c>
      <c r="B41" s="461" t="s">
        <v>264</v>
      </c>
      <c r="C41" s="428"/>
      <c r="D41" s="429" t="s">
        <v>227</v>
      </c>
      <c r="E41" s="430"/>
      <c r="F41" s="431"/>
      <c r="G41" s="431">
        <v>24253394.98</v>
      </c>
      <c r="H41" s="431">
        <v>20777.1548</v>
      </c>
      <c r="I41" s="431"/>
      <c r="J41" s="431"/>
      <c r="K41" s="460">
        <v>20</v>
      </c>
      <c r="L41" s="433">
        <v>15.1</v>
      </c>
      <c r="M41" s="434">
        <f t="shared" si="16"/>
        <v>0</v>
      </c>
      <c r="N41" s="435">
        <f t="shared" si="16"/>
        <v>0</v>
      </c>
      <c r="O41" s="436"/>
      <c r="P41" s="437"/>
      <c r="Q41" s="438"/>
      <c r="R41" s="437"/>
      <c r="S41" s="438"/>
      <c r="T41" s="437"/>
      <c r="U41" s="438"/>
      <c r="V41" s="437"/>
      <c r="W41" s="436"/>
      <c r="X41" s="437"/>
      <c r="Y41" s="438"/>
      <c r="Z41" s="437"/>
      <c r="AA41" s="440">
        <v>0</v>
      </c>
      <c r="AB41" s="433">
        <v>0</v>
      </c>
      <c r="AC41" s="325"/>
      <c r="AD41" s="437"/>
      <c r="AE41" s="441">
        <v>0</v>
      </c>
      <c r="AF41" s="442">
        <v>0</v>
      </c>
      <c r="AG41" s="828"/>
      <c r="AH41" s="828"/>
      <c r="AI41" s="443">
        <f t="shared" si="5"/>
        <v>0</v>
      </c>
      <c r="AJ41" s="444">
        <f t="shared" si="6"/>
        <v>0</v>
      </c>
      <c r="AL41" s="386" t="b">
        <f t="shared" si="15"/>
        <v>1</v>
      </c>
      <c r="AO41" s="857"/>
      <c r="AP41" s="858"/>
    </row>
    <row r="42" spans="1:42" ht="17.25" customHeight="1">
      <c r="A42" s="427">
        <f t="shared" si="7"/>
        <v>35</v>
      </c>
      <c r="B42" s="461" t="s">
        <v>265</v>
      </c>
      <c r="C42" s="428"/>
      <c r="D42" s="429" t="s">
        <v>263</v>
      </c>
      <c r="E42" s="430"/>
      <c r="F42" s="431"/>
      <c r="G42" s="431">
        <v>9385473.1556000002</v>
      </c>
      <c r="H42" s="431">
        <v>14458.4031</v>
      </c>
      <c r="I42" s="431"/>
      <c r="J42" s="431"/>
      <c r="K42" s="460">
        <v>9.5</v>
      </c>
      <c r="L42" s="433">
        <v>10.09</v>
      </c>
      <c r="M42" s="434">
        <f t="shared" si="16"/>
        <v>9.5</v>
      </c>
      <c r="N42" s="435">
        <f t="shared" si="16"/>
        <v>10.09</v>
      </c>
      <c r="O42" s="436"/>
      <c r="P42" s="437"/>
      <c r="Q42" s="438"/>
      <c r="R42" s="437"/>
      <c r="S42" s="438"/>
      <c r="T42" s="437"/>
      <c r="U42" s="438"/>
      <c r="V42" s="437"/>
      <c r="W42" s="439">
        <f>K42</f>
        <v>9.5</v>
      </c>
      <c r="X42" s="437">
        <f>L42</f>
        <v>10.09</v>
      </c>
      <c r="Y42" s="438"/>
      <c r="Z42" s="437"/>
      <c r="AA42" s="440">
        <v>0</v>
      </c>
      <c r="AB42" s="433">
        <v>0</v>
      </c>
      <c r="AC42" s="325"/>
      <c r="AD42" s="437"/>
      <c r="AE42" s="441">
        <v>0</v>
      </c>
      <c r="AF42" s="442">
        <v>0</v>
      </c>
      <c r="AG42" s="828"/>
      <c r="AH42" s="828"/>
      <c r="AI42" s="443">
        <f t="shared" si="5"/>
        <v>9.5</v>
      </c>
      <c r="AJ42" s="444">
        <f t="shared" si="6"/>
        <v>10.09</v>
      </c>
      <c r="AL42" s="386" t="b">
        <f t="shared" ref="AL42:AL50" si="17">AJ42=L42</f>
        <v>1</v>
      </c>
      <c r="AO42" s="857"/>
      <c r="AP42" s="858"/>
    </row>
    <row r="43" spans="1:42" ht="17.25" customHeight="1">
      <c r="A43" s="427">
        <f t="shared" si="7"/>
        <v>36</v>
      </c>
      <c r="B43" s="461" t="s">
        <v>265</v>
      </c>
      <c r="C43" s="428"/>
      <c r="D43" s="429" t="s">
        <v>227</v>
      </c>
      <c r="E43" s="430"/>
      <c r="F43" s="431"/>
      <c r="G43" s="431">
        <v>24253394.98</v>
      </c>
      <c r="H43" s="431">
        <v>20777.1548</v>
      </c>
      <c r="I43" s="431"/>
      <c r="J43" s="431"/>
      <c r="K43" s="460">
        <v>20</v>
      </c>
      <c r="L43" s="433">
        <v>15.1</v>
      </c>
      <c r="M43" s="434">
        <f t="shared" si="16"/>
        <v>0</v>
      </c>
      <c r="N43" s="435">
        <f t="shared" si="16"/>
        <v>0</v>
      </c>
      <c r="O43" s="436"/>
      <c r="P43" s="437"/>
      <c r="Q43" s="438"/>
      <c r="R43" s="437"/>
      <c r="S43" s="438"/>
      <c r="T43" s="437"/>
      <c r="U43" s="438"/>
      <c r="V43" s="437"/>
      <c r="W43" s="436"/>
      <c r="X43" s="437"/>
      <c r="Y43" s="438"/>
      <c r="Z43" s="437"/>
      <c r="AA43" s="440">
        <v>0</v>
      </c>
      <c r="AB43" s="433">
        <v>0</v>
      </c>
      <c r="AC43" s="325"/>
      <c r="AD43" s="437"/>
      <c r="AE43" s="441">
        <f>K43</f>
        <v>20</v>
      </c>
      <c r="AF43" s="442">
        <f>L43</f>
        <v>15.1</v>
      </c>
      <c r="AG43" s="828"/>
      <c r="AH43" s="828"/>
      <c r="AI43" s="443">
        <f t="shared" si="5"/>
        <v>20</v>
      </c>
      <c r="AJ43" s="444">
        <f t="shared" si="6"/>
        <v>15.1</v>
      </c>
      <c r="AL43" s="386" t="b">
        <f t="shared" si="17"/>
        <v>1</v>
      </c>
      <c r="AO43" s="857"/>
      <c r="AP43" s="858"/>
    </row>
    <row r="44" spans="1:42" ht="17.25" customHeight="1">
      <c r="A44" s="427">
        <f t="shared" si="7"/>
        <v>37</v>
      </c>
      <c r="B44" s="461" t="s">
        <v>265</v>
      </c>
      <c r="C44" s="428"/>
      <c r="D44" s="429" t="s">
        <v>266</v>
      </c>
      <c r="E44" s="430"/>
      <c r="F44" s="431"/>
      <c r="G44" s="431">
        <v>1915615.5715999999</v>
      </c>
      <c r="H44" s="431">
        <v>4553.9687000000004</v>
      </c>
      <c r="I44" s="431"/>
      <c r="J44" s="431"/>
      <c r="K44" s="460">
        <v>1.93</v>
      </c>
      <c r="L44" s="433">
        <v>4.68</v>
      </c>
      <c r="M44" s="434">
        <f t="shared" si="16"/>
        <v>1.93</v>
      </c>
      <c r="N44" s="435">
        <f t="shared" si="16"/>
        <v>4.68</v>
      </c>
      <c r="O44" s="436"/>
      <c r="P44" s="437"/>
      <c r="Q44" s="438"/>
      <c r="R44" s="437"/>
      <c r="S44" s="438"/>
      <c r="T44" s="437"/>
      <c r="U44" s="438"/>
      <c r="V44" s="437"/>
      <c r="W44" s="439">
        <f>K44</f>
        <v>1.93</v>
      </c>
      <c r="X44" s="437">
        <f>L44</f>
        <v>4.68</v>
      </c>
      <c r="Y44" s="438"/>
      <c r="Z44" s="437"/>
      <c r="AA44" s="440">
        <v>0</v>
      </c>
      <c r="AB44" s="433">
        <v>0</v>
      </c>
      <c r="AC44" s="325"/>
      <c r="AD44" s="437"/>
      <c r="AE44" s="441">
        <v>0</v>
      </c>
      <c r="AF44" s="442">
        <v>0</v>
      </c>
      <c r="AG44" s="828"/>
      <c r="AH44" s="828"/>
      <c r="AI44" s="443">
        <f t="shared" si="5"/>
        <v>1.93</v>
      </c>
      <c r="AJ44" s="444">
        <f t="shared" si="6"/>
        <v>4.68</v>
      </c>
      <c r="AL44" s="386" t="b">
        <f t="shared" si="17"/>
        <v>1</v>
      </c>
      <c r="AO44" s="857"/>
      <c r="AP44" s="858"/>
    </row>
    <row r="45" spans="1:42" ht="17.25" customHeight="1">
      <c r="A45" s="427">
        <f t="shared" si="7"/>
        <v>38</v>
      </c>
      <c r="B45" s="461" t="s">
        <v>267</v>
      </c>
      <c r="C45" s="428"/>
      <c r="D45" s="429" t="s">
        <v>263</v>
      </c>
      <c r="E45" s="430"/>
      <c r="F45" s="431"/>
      <c r="G45" s="431">
        <v>9385473.1556000002</v>
      </c>
      <c r="H45" s="431">
        <v>14458.4031</v>
      </c>
      <c r="I45" s="431"/>
      <c r="J45" s="431"/>
      <c r="K45" s="460">
        <v>9.5</v>
      </c>
      <c r="L45" s="433">
        <v>10.09</v>
      </c>
      <c r="M45" s="434">
        <f t="shared" si="16"/>
        <v>9.5</v>
      </c>
      <c r="N45" s="435">
        <f t="shared" si="16"/>
        <v>10.09</v>
      </c>
      <c r="O45" s="436"/>
      <c r="P45" s="437"/>
      <c r="Q45" s="438"/>
      <c r="R45" s="437"/>
      <c r="S45" s="438"/>
      <c r="T45" s="437"/>
      <c r="U45" s="438"/>
      <c r="V45" s="437"/>
      <c r="W45" s="439">
        <f>K45</f>
        <v>9.5</v>
      </c>
      <c r="X45" s="437">
        <f>L45</f>
        <v>10.09</v>
      </c>
      <c r="Y45" s="438"/>
      <c r="Z45" s="437"/>
      <c r="AA45" s="440">
        <v>0</v>
      </c>
      <c r="AB45" s="433">
        <v>0</v>
      </c>
      <c r="AC45" s="325"/>
      <c r="AD45" s="437"/>
      <c r="AE45" s="441">
        <v>0</v>
      </c>
      <c r="AF45" s="442">
        <v>0</v>
      </c>
      <c r="AG45" s="828"/>
      <c r="AH45" s="828"/>
      <c r="AI45" s="443">
        <f t="shared" si="5"/>
        <v>9.5</v>
      </c>
      <c r="AJ45" s="444">
        <f t="shared" si="6"/>
        <v>10.09</v>
      </c>
      <c r="AL45" s="386" t="b">
        <f t="shared" si="17"/>
        <v>1</v>
      </c>
      <c r="AO45" s="857"/>
      <c r="AP45" s="858"/>
    </row>
    <row r="46" spans="1:42" ht="17.25" customHeight="1">
      <c r="A46" s="427">
        <f t="shared" si="7"/>
        <v>39</v>
      </c>
      <c r="B46" s="461" t="s">
        <v>267</v>
      </c>
      <c r="C46" s="428"/>
      <c r="D46" s="429" t="s">
        <v>227</v>
      </c>
      <c r="E46" s="430"/>
      <c r="F46" s="431"/>
      <c r="G46" s="431">
        <v>24253394.98</v>
      </c>
      <c r="H46" s="431">
        <v>20777.1548</v>
      </c>
      <c r="I46" s="431"/>
      <c r="J46" s="431"/>
      <c r="K46" s="460">
        <v>20</v>
      </c>
      <c r="L46" s="433">
        <v>15.1</v>
      </c>
      <c r="M46" s="434">
        <f t="shared" si="16"/>
        <v>0</v>
      </c>
      <c r="N46" s="435">
        <f t="shared" si="16"/>
        <v>0</v>
      </c>
      <c r="O46" s="436"/>
      <c r="P46" s="437"/>
      <c r="Q46" s="438"/>
      <c r="R46" s="437"/>
      <c r="S46" s="438"/>
      <c r="T46" s="437"/>
      <c r="U46" s="438"/>
      <c r="V46" s="437"/>
      <c r="W46" s="436"/>
      <c r="X46" s="437"/>
      <c r="Y46" s="438"/>
      <c r="Z46" s="437"/>
      <c r="AA46" s="440">
        <v>0</v>
      </c>
      <c r="AB46" s="433">
        <v>0</v>
      </c>
      <c r="AC46" s="325"/>
      <c r="AD46" s="437"/>
      <c r="AE46" s="441">
        <f>K46</f>
        <v>20</v>
      </c>
      <c r="AF46" s="442">
        <f>L46</f>
        <v>15.1</v>
      </c>
      <c r="AG46" s="828"/>
      <c r="AH46" s="828"/>
      <c r="AI46" s="443">
        <f t="shared" si="5"/>
        <v>20</v>
      </c>
      <c r="AJ46" s="444">
        <f t="shared" si="6"/>
        <v>15.1</v>
      </c>
      <c r="AL46" s="386" t="b">
        <f t="shared" si="17"/>
        <v>1</v>
      </c>
      <c r="AO46" s="857"/>
      <c r="AP46" s="858"/>
    </row>
    <row r="47" spans="1:42" ht="17.25" customHeight="1">
      <c r="A47" s="427">
        <f t="shared" si="7"/>
        <v>40</v>
      </c>
      <c r="B47" s="461" t="s">
        <v>268</v>
      </c>
      <c r="C47" s="428"/>
      <c r="D47" s="429" t="s">
        <v>263</v>
      </c>
      <c r="E47" s="430"/>
      <c r="F47" s="431"/>
      <c r="G47" s="431">
        <v>9385473.1556000002</v>
      </c>
      <c r="H47" s="431">
        <v>14458.4031</v>
      </c>
      <c r="I47" s="431"/>
      <c r="J47" s="431"/>
      <c r="K47" s="460">
        <v>9.5</v>
      </c>
      <c r="L47" s="433">
        <v>10.09</v>
      </c>
      <c r="M47" s="434">
        <f t="shared" si="16"/>
        <v>9.5</v>
      </c>
      <c r="N47" s="435">
        <f t="shared" si="16"/>
        <v>10.09</v>
      </c>
      <c r="O47" s="436"/>
      <c r="P47" s="437"/>
      <c r="Q47" s="438"/>
      <c r="R47" s="437"/>
      <c r="S47" s="438"/>
      <c r="T47" s="437"/>
      <c r="U47" s="438"/>
      <c r="V47" s="437"/>
      <c r="W47" s="439">
        <f>K47</f>
        <v>9.5</v>
      </c>
      <c r="X47" s="437">
        <f>L47</f>
        <v>10.09</v>
      </c>
      <c r="Y47" s="438"/>
      <c r="Z47" s="437"/>
      <c r="AA47" s="440">
        <v>0</v>
      </c>
      <c r="AB47" s="433">
        <v>0</v>
      </c>
      <c r="AC47" s="325"/>
      <c r="AD47" s="437"/>
      <c r="AE47" s="441">
        <v>0</v>
      </c>
      <c r="AF47" s="442">
        <v>0</v>
      </c>
      <c r="AG47" s="828"/>
      <c r="AH47" s="828"/>
      <c r="AI47" s="443">
        <f t="shared" si="5"/>
        <v>9.5</v>
      </c>
      <c r="AJ47" s="444">
        <f t="shared" si="6"/>
        <v>10.09</v>
      </c>
      <c r="AL47" s="386" t="b">
        <f t="shared" si="17"/>
        <v>1</v>
      </c>
      <c r="AO47" s="857"/>
      <c r="AP47" s="858"/>
    </row>
    <row r="48" spans="1:42" ht="17.25" customHeight="1">
      <c r="A48" s="427">
        <f t="shared" si="7"/>
        <v>41</v>
      </c>
      <c r="B48" s="461" t="s">
        <v>268</v>
      </c>
      <c r="C48" s="428"/>
      <c r="D48" s="429" t="s">
        <v>227</v>
      </c>
      <c r="E48" s="430"/>
      <c r="F48" s="431"/>
      <c r="G48" s="431">
        <v>24253394.98</v>
      </c>
      <c r="H48" s="431">
        <v>20777.1548</v>
      </c>
      <c r="I48" s="431"/>
      <c r="J48" s="431"/>
      <c r="K48" s="460">
        <v>20</v>
      </c>
      <c r="L48" s="433">
        <v>15.1</v>
      </c>
      <c r="M48" s="434">
        <f t="shared" si="16"/>
        <v>0</v>
      </c>
      <c r="N48" s="435">
        <f t="shared" si="16"/>
        <v>0</v>
      </c>
      <c r="O48" s="436"/>
      <c r="P48" s="437"/>
      <c r="Q48" s="438"/>
      <c r="R48" s="437"/>
      <c r="S48" s="438"/>
      <c r="T48" s="437"/>
      <c r="U48" s="438"/>
      <c r="V48" s="437"/>
      <c r="W48" s="436"/>
      <c r="X48" s="437"/>
      <c r="Y48" s="438"/>
      <c r="Z48" s="437"/>
      <c r="AA48" s="440">
        <v>0</v>
      </c>
      <c r="AB48" s="433">
        <v>0</v>
      </c>
      <c r="AC48" s="325"/>
      <c r="AD48" s="437"/>
      <c r="AE48" s="441">
        <f>K48</f>
        <v>20</v>
      </c>
      <c r="AF48" s="442">
        <f>L48</f>
        <v>15.1</v>
      </c>
      <c r="AG48" s="828"/>
      <c r="AH48" s="828"/>
      <c r="AI48" s="443">
        <f t="shared" si="5"/>
        <v>20</v>
      </c>
      <c r="AJ48" s="444">
        <f t="shared" si="6"/>
        <v>15.1</v>
      </c>
      <c r="AL48" s="386" t="b">
        <f t="shared" si="17"/>
        <v>1</v>
      </c>
      <c r="AO48" s="857"/>
      <c r="AP48" s="858"/>
    </row>
    <row r="49" spans="1:42" ht="17.25" customHeight="1">
      <c r="A49" s="427">
        <f t="shared" si="7"/>
        <v>42</v>
      </c>
      <c r="B49" s="461" t="s">
        <v>268</v>
      </c>
      <c r="C49" s="428"/>
      <c r="D49" s="429" t="s">
        <v>266</v>
      </c>
      <c r="E49" s="430"/>
      <c r="F49" s="431"/>
      <c r="G49" s="431">
        <v>1915615.5715999999</v>
      </c>
      <c r="H49" s="431">
        <v>4553.9687000000004</v>
      </c>
      <c r="I49" s="431"/>
      <c r="J49" s="431"/>
      <c r="K49" s="460">
        <v>1.93</v>
      </c>
      <c r="L49" s="433">
        <v>4.68</v>
      </c>
      <c r="M49" s="434">
        <f t="shared" si="16"/>
        <v>1.93</v>
      </c>
      <c r="N49" s="435">
        <f t="shared" si="16"/>
        <v>4.68</v>
      </c>
      <c r="O49" s="436"/>
      <c r="P49" s="437"/>
      <c r="Q49" s="438"/>
      <c r="R49" s="437"/>
      <c r="S49" s="438"/>
      <c r="T49" s="437"/>
      <c r="U49" s="438"/>
      <c r="V49" s="437"/>
      <c r="W49" s="439">
        <f>K49</f>
        <v>1.93</v>
      </c>
      <c r="X49" s="437">
        <f>L49</f>
        <v>4.68</v>
      </c>
      <c r="Y49" s="438"/>
      <c r="Z49" s="437"/>
      <c r="AA49" s="440">
        <v>0</v>
      </c>
      <c r="AB49" s="433">
        <v>0</v>
      </c>
      <c r="AC49" s="325"/>
      <c r="AD49" s="437"/>
      <c r="AE49" s="441">
        <v>0</v>
      </c>
      <c r="AF49" s="442">
        <v>0</v>
      </c>
      <c r="AG49" s="828"/>
      <c r="AH49" s="828"/>
      <c r="AI49" s="443">
        <f t="shared" si="5"/>
        <v>1.93</v>
      </c>
      <c r="AJ49" s="444">
        <f t="shared" si="6"/>
        <v>4.68</v>
      </c>
      <c r="AL49" s="386" t="b">
        <f t="shared" si="17"/>
        <v>1</v>
      </c>
      <c r="AO49" s="857"/>
      <c r="AP49" s="858"/>
    </row>
    <row r="50" spans="1:42" ht="17.25" customHeight="1">
      <c r="A50" s="427">
        <f t="shared" si="7"/>
        <v>43</v>
      </c>
      <c r="B50" s="461" t="s">
        <v>269</v>
      </c>
      <c r="C50" s="428"/>
      <c r="D50" s="429" t="s">
        <v>263</v>
      </c>
      <c r="E50" s="430"/>
      <c r="F50" s="431"/>
      <c r="G50" s="431">
        <v>9385473.1556000002</v>
      </c>
      <c r="H50" s="431">
        <v>14458.4031</v>
      </c>
      <c r="I50" s="431"/>
      <c r="J50" s="431"/>
      <c r="K50" s="460">
        <v>9.5</v>
      </c>
      <c r="L50" s="433">
        <v>10.09</v>
      </c>
      <c r="M50" s="434">
        <f t="shared" si="16"/>
        <v>9.5</v>
      </c>
      <c r="N50" s="435">
        <f t="shared" si="16"/>
        <v>10.09</v>
      </c>
      <c r="O50" s="436"/>
      <c r="P50" s="437"/>
      <c r="Q50" s="438"/>
      <c r="R50" s="437"/>
      <c r="S50" s="438"/>
      <c r="T50" s="437"/>
      <c r="U50" s="438"/>
      <c r="V50" s="437"/>
      <c r="W50" s="436"/>
      <c r="X50" s="437">
        <f>L50</f>
        <v>10.09</v>
      </c>
      <c r="Y50" s="439">
        <f>K50</f>
        <v>9.5</v>
      </c>
      <c r="Z50" s="437"/>
      <c r="AA50" s="440"/>
      <c r="AB50" s="433">
        <v>0</v>
      </c>
      <c r="AC50" s="325"/>
      <c r="AD50" s="437"/>
      <c r="AE50" s="441"/>
      <c r="AF50" s="442">
        <v>0</v>
      </c>
      <c r="AG50" s="828"/>
      <c r="AH50" s="828"/>
      <c r="AI50" s="443">
        <f t="shared" si="5"/>
        <v>9.5</v>
      </c>
      <c r="AJ50" s="444">
        <f t="shared" si="6"/>
        <v>10.09</v>
      </c>
      <c r="AL50" s="386" t="b">
        <f t="shared" si="17"/>
        <v>1</v>
      </c>
      <c r="AO50" s="857"/>
      <c r="AP50" s="858"/>
    </row>
    <row r="51" spans="1:42" ht="17.25" customHeight="1">
      <c r="A51" s="427">
        <f t="shared" si="7"/>
        <v>44</v>
      </c>
      <c r="B51" s="461" t="s">
        <v>269</v>
      </c>
      <c r="C51" s="428"/>
      <c r="D51" s="429" t="s">
        <v>227</v>
      </c>
      <c r="E51" s="430"/>
      <c r="F51" s="431"/>
      <c r="G51" s="431">
        <v>24253394.98</v>
      </c>
      <c r="H51" s="431">
        <v>20777.1548</v>
      </c>
      <c r="I51" s="431"/>
      <c r="J51" s="431"/>
      <c r="K51" s="460">
        <v>20</v>
      </c>
      <c r="L51" s="433">
        <v>15.1</v>
      </c>
      <c r="M51" s="434">
        <f t="shared" si="16"/>
        <v>0</v>
      </c>
      <c r="N51" s="435">
        <f t="shared" si="16"/>
        <v>0</v>
      </c>
      <c r="O51" s="436"/>
      <c r="P51" s="437"/>
      <c r="Q51" s="438"/>
      <c r="R51" s="437"/>
      <c r="S51" s="438"/>
      <c r="T51" s="437"/>
      <c r="U51" s="438"/>
      <c r="V51" s="437"/>
      <c r="W51" s="436"/>
      <c r="X51" s="437"/>
      <c r="Y51" s="438"/>
      <c r="Z51" s="437"/>
      <c r="AA51" s="440">
        <v>0</v>
      </c>
      <c r="AB51" s="433">
        <v>0</v>
      </c>
      <c r="AC51" s="325"/>
      <c r="AD51" s="437"/>
      <c r="AE51" s="441"/>
      <c r="AF51" s="442"/>
      <c r="AG51" s="828"/>
      <c r="AH51" s="828"/>
      <c r="AI51" s="443">
        <f t="shared" si="5"/>
        <v>0</v>
      </c>
      <c r="AJ51" s="444">
        <f t="shared" si="6"/>
        <v>0</v>
      </c>
      <c r="AL51" s="386" t="b">
        <f>AJ51=N51</f>
        <v>1</v>
      </c>
      <c r="AO51" s="857"/>
      <c r="AP51" s="858"/>
    </row>
    <row r="52" spans="1:42" ht="17.25" customHeight="1">
      <c r="A52" s="427">
        <f t="shared" si="7"/>
        <v>45</v>
      </c>
      <c r="B52" s="461" t="s">
        <v>270</v>
      </c>
      <c r="C52" s="428"/>
      <c r="D52" s="429" t="s">
        <v>263</v>
      </c>
      <c r="E52" s="430"/>
      <c r="F52" s="431"/>
      <c r="G52" s="431">
        <v>9385473.1556000002</v>
      </c>
      <c r="H52" s="431">
        <v>14458.4031</v>
      </c>
      <c r="I52" s="431"/>
      <c r="J52" s="431"/>
      <c r="K52" s="460">
        <v>9.5</v>
      </c>
      <c r="L52" s="433">
        <v>10.09</v>
      </c>
      <c r="M52" s="434">
        <f t="shared" si="16"/>
        <v>9.5</v>
      </c>
      <c r="N52" s="435">
        <f t="shared" si="16"/>
        <v>10.09</v>
      </c>
      <c r="O52" s="436"/>
      <c r="P52" s="437"/>
      <c r="Q52" s="438"/>
      <c r="R52" s="437"/>
      <c r="S52" s="438"/>
      <c r="T52" s="437"/>
      <c r="U52" s="438"/>
      <c r="V52" s="437"/>
      <c r="W52" s="436"/>
      <c r="X52" s="437">
        <f>L52</f>
        <v>10.09</v>
      </c>
      <c r="Y52" s="439">
        <f>K52</f>
        <v>9.5</v>
      </c>
      <c r="Z52" s="437"/>
      <c r="AA52" s="440"/>
      <c r="AB52" s="433">
        <v>0</v>
      </c>
      <c r="AC52" s="325"/>
      <c r="AD52" s="437"/>
      <c r="AE52" s="441"/>
      <c r="AF52" s="442">
        <v>0</v>
      </c>
      <c r="AG52" s="828"/>
      <c r="AH52" s="828"/>
      <c r="AI52" s="443">
        <f t="shared" si="5"/>
        <v>9.5</v>
      </c>
      <c r="AJ52" s="444">
        <f t="shared" si="6"/>
        <v>10.09</v>
      </c>
      <c r="AL52" s="386" t="b">
        <f t="shared" ref="AL52:AL57" si="18">AJ52=L52</f>
        <v>1</v>
      </c>
      <c r="AO52" s="857"/>
      <c r="AP52" s="858"/>
    </row>
    <row r="53" spans="1:42" ht="17.25" customHeight="1">
      <c r="A53" s="427">
        <f t="shared" si="7"/>
        <v>46</v>
      </c>
      <c r="B53" s="461" t="s">
        <v>270</v>
      </c>
      <c r="C53" s="428"/>
      <c r="D53" s="429" t="s">
        <v>227</v>
      </c>
      <c r="E53" s="430"/>
      <c r="F53" s="431"/>
      <c r="G53" s="431">
        <v>24253394.98</v>
      </c>
      <c r="H53" s="431">
        <v>20777.1548</v>
      </c>
      <c r="I53" s="431"/>
      <c r="J53" s="431"/>
      <c r="K53" s="460">
        <v>20</v>
      </c>
      <c r="L53" s="433">
        <v>15.1</v>
      </c>
      <c r="M53" s="434">
        <f t="shared" ref="M53:N70" si="19">O53+Q53+S53+U53+W53+Y53</f>
        <v>0</v>
      </c>
      <c r="N53" s="435">
        <f t="shared" si="19"/>
        <v>0</v>
      </c>
      <c r="O53" s="436"/>
      <c r="P53" s="437"/>
      <c r="Q53" s="438"/>
      <c r="R53" s="437"/>
      <c r="S53" s="438"/>
      <c r="T53" s="437"/>
      <c r="U53" s="438"/>
      <c r="V53" s="437"/>
      <c r="W53" s="436"/>
      <c r="X53" s="437"/>
      <c r="Y53" s="438"/>
      <c r="Z53" s="437"/>
      <c r="AA53" s="440">
        <v>0</v>
      </c>
      <c r="AB53" s="433">
        <v>0</v>
      </c>
      <c r="AC53" s="325"/>
      <c r="AD53" s="437"/>
      <c r="AE53" s="441">
        <f>K53</f>
        <v>20</v>
      </c>
      <c r="AF53" s="442">
        <f>L53</f>
        <v>15.1</v>
      </c>
      <c r="AG53" s="828"/>
      <c r="AH53" s="828"/>
      <c r="AI53" s="443">
        <f t="shared" si="5"/>
        <v>20</v>
      </c>
      <c r="AJ53" s="444">
        <f t="shared" si="6"/>
        <v>15.1</v>
      </c>
      <c r="AL53" s="386" t="b">
        <f t="shared" si="18"/>
        <v>1</v>
      </c>
      <c r="AO53" s="857"/>
      <c r="AP53" s="858"/>
    </row>
    <row r="54" spans="1:42" ht="17.25" customHeight="1">
      <c r="A54" s="427">
        <f t="shared" si="7"/>
        <v>47</v>
      </c>
      <c r="B54" s="461" t="s">
        <v>271</v>
      </c>
      <c r="C54" s="428"/>
      <c r="D54" s="429" t="s">
        <v>263</v>
      </c>
      <c r="E54" s="430"/>
      <c r="F54" s="431"/>
      <c r="G54" s="431">
        <v>9385473.1556000002</v>
      </c>
      <c r="H54" s="431">
        <v>14458.4031</v>
      </c>
      <c r="I54" s="431"/>
      <c r="J54" s="431"/>
      <c r="K54" s="460">
        <v>9.5</v>
      </c>
      <c r="L54" s="433">
        <v>10.09</v>
      </c>
      <c r="M54" s="434">
        <f t="shared" si="19"/>
        <v>9.5</v>
      </c>
      <c r="N54" s="435">
        <f t="shared" si="19"/>
        <v>10.09</v>
      </c>
      <c r="O54" s="436"/>
      <c r="P54" s="437"/>
      <c r="Q54" s="438"/>
      <c r="R54" s="437"/>
      <c r="S54" s="438"/>
      <c r="T54" s="437"/>
      <c r="U54" s="438"/>
      <c r="V54" s="437"/>
      <c r="W54" s="436"/>
      <c r="X54" s="437">
        <f>L54</f>
        <v>10.09</v>
      </c>
      <c r="Y54" s="439">
        <f>K54</f>
        <v>9.5</v>
      </c>
      <c r="Z54" s="437"/>
      <c r="AA54" s="440"/>
      <c r="AB54" s="433">
        <v>0</v>
      </c>
      <c r="AC54" s="325"/>
      <c r="AD54" s="437"/>
      <c r="AE54" s="441"/>
      <c r="AF54" s="442">
        <v>0</v>
      </c>
      <c r="AG54" s="828"/>
      <c r="AH54" s="828"/>
      <c r="AI54" s="443">
        <f t="shared" si="5"/>
        <v>9.5</v>
      </c>
      <c r="AJ54" s="444">
        <f t="shared" si="6"/>
        <v>10.09</v>
      </c>
      <c r="AL54" s="386" t="b">
        <f t="shared" si="18"/>
        <v>1</v>
      </c>
      <c r="AO54" s="857"/>
      <c r="AP54" s="858"/>
    </row>
    <row r="55" spans="1:42" ht="17.25" customHeight="1">
      <c r="A55" s="427">
        <f t="shared" si="7"/>
        <v>48</v>
      </c>
      <c r="B55" s="461" t="s">
        <v>271</v>
      </c>
      <c r="C55" s="428"/>
      <c r="D55" s="429" t="s">
        <v>227</v>
      </c>
      <c r="E55" s="430"/>
      <c r="F55" s="431"/>
      <c r="G55" s="431">
        <v>24253394.98</v>
      </c>
      <c r="H55" s="431">
        <v>20777.1548</v>
      </c>
      <c r="I55" s="431"/>
      <c r="J55" s="431"/>
      <c r="K55" s="460">
        <v>20</v>
      </c>
      <c r="L55" s="433">
        <v>15.1</v>
      </c>
      <c r="M55" s="434">
        <f t="shared" si="19"/>
        <v>0</v>
      </c>
      <c r="N55" s="435">
        <f t="shared" si="19"/>
        <v>0</v>
      </c>
      <c r="O55" s="436"/>
      <c r="P55" s="437"/>
      <c r="Q55" s="438"/>
      <c r="R55" s="437"/>
      <c r="S55" s="438"/>
      <c r="T55" s="437"/>
      <c r="U55" s="438"/>
      <c r="V55" s="437"/>
      <c r="W55" s="436"/>
      <c r="X55" s="437"/>
      <c r="Y55" s="438"/>
      <c r="Z55" s="437"/>
      <c r="AA55" s="440">
        <v>0</v>
      </c>
      <c r="AB55" s="433">
        <v>0</v>
      </c>
      <c r="AC55" s="325"/>
      <c r="AD55" s="437"/>
      <c r="AE55" s="441">
        <f>K55</f>
        <v>20</v>
      </c>
      <c r="AF55" s="442">
        <f>L55</f>
        <v>15.1</v>
      </c>
      <c r="AG55" s="828"/>
      <c r="AH55" s="828"/>
      <c r="AI55" s="443">
        <f t="shared" si="5"/>
        <v>20</v>
      </c>
      <c r="AJ55" s="444">
        <f t="shared" si="6"/>
        <v>15.1</v>
      </c>
      <c r="AL55" s="386" t="b">
        <f t="shared" si="18"/>
        <v>1</v>
      </c>
      <c r="AO55" s="857"/>
      <c r="AP55" s="858"/>
    </row>
    <row r="56" spans="1:42" ht="17.25" customHeight="1">
      <c r="A56" s="427">
        <f t="shared" si="7"/>
        <v>49</v>
      </c>
      <c r="B56" s="461" t="s">
        <v>271</v>
      </c>
      <c r="C56" s="428"/>
      <c r="D56" s="429" t="s">
        <v>266</v>
      </c>
      <c r="E56" s="430"/>
      <c r="F56" s="431"/>
      <c r="G56" s="431">
        <v>1915615.5715999999</v>
      </c>
      <c r="H56" s="431">
        <v>4553.9687000000004</v>
      </c>
      <c r="I56" s="431"/>
      <c r="J56" s="431"/>
      <c r="K56" s="460">
        <v>1.93</v>
      </c>
      <c r="L56" s="433">
        <v>4.68</v>
      </c>
      <c r="M56" s="434">
        <f t="shared" si="19"/>
        <v>1.93</v>
      </c>
      <c r="N56" s="435">
        <f t="shared" si="19"/>
        <v>4.68</v>
      </c>
      <c r="O56" s="436"/>
      <c r="P56" s="437"/>
      <c r="Q56" s="438"/>
      <c r="R56" s="437"/>
      <c r="S56" s="438"/>
      <c r="T56" s="437"/>
      <c r="U56" s="438"/>
      <c r="V56" s="437"/>
      <c r="W56" s="436"/>
      <c r="X56" s="437">
        <f>L56</f>
        <v>4.68</v>
      </c>
      <c r="Y56" s="439">
        <f>K56</f>
        <v>1.93</v>
      </c>
      <c r="Z56" s="437"/>
      <c r="AA56" s="440"/>
      <c r="AB56" s="433">
        <v>0</v>
      </c>
      <c r="AC56" s="325"/>
      <c r="AD56" s="437"/>
      <c r="AE56" s="441"/>
      <c r="AF56" s="442">
        <v>0</v>
      </c>
      <c r="AG56" s="828"/>
      <c r="AH56" s="828"/>
      <c r="AI56" s="443">
        <f t="shared" si="5"/>
        <v>1.93</v>
      </c>
      <c r="AJ56" s="444">
        <f t="shared" si="6"/>
        <v>4.68</v>
      </c>
      <c r="AL56" s="386" t="b">
        <f t="shared" si="18"/>
        <v>1</v>
      </c>
      <c r="AO56" s="857"/>
      <c r="AP56" s="858"/>
    </row>
    <row r="57" spans="1:42" ht="17.25" customHeight="1">
      <c r="A57" s="427">
        <f t="shared" si="7"/>
        <v>50</v>
      </c>
      <c r="B57" s="461" t="s">
        <v>272</v>
      </c>
      <c r="C57" s="428"/>
      <c r="D57" s="429" t="s">
        <v>263</v>
      </c>
      <c r="E57" s="430"/>
      <c r="F57" s="431"/>
      <c r="G57" s="431">
        <v>9385473.1556000002</v>
      </c>
      <c r="H57" s="431">
        <v>14458.4031</v>
      </c>
      <c r="I57" s="431"/>
      <c r="J57" s="431"/>
      <c r="K57" s="460">
        <v>9.5</v>
      </c>
      <c r="L57" s="433">
        <v>10.09</v>
      </c>
      <c r="M57" s="434">
        <f t="shared" si="19"/>
        <v>9.5</v>
      </c>
      <c r="N57" s="435">
        <f t="shared" si="19"/>
        <v>10.09</v>
      </c>
      <c r="O57" s="436"/>
      <c r="P57" s="437"/>
      <c r="Q57" s="438"/>
      <c r="R57" s="437"/>
      <c r="S57" s="438"/>
      <c r="T57" s="437"/>
      <c r="U57" s="438"/>
      <c r="V57" s="437"/>
      <c r="W57" s="436"/>
      <c r="X57" s="437">
        <f>L57</f>
        <v>10.09</v>
      </c>
      <c r="Y57" s="439">
        <f>K57</f>
        <v>9.5</v>
      </c>
      <c r="Z57" s="437"/>
      <c r="AA57" s="440"/>
      <c r="AB57" s="433">
        <v>0</v>
      </c>
      <c r="AC57" s="325"/>
      <c r="AD57" s="437"/>
      <c r="AE57" s="441"/>
      <c r="AF57" s="442">
        <v>0</v>
      </c>
      <c r="AG57" s="828"/>
      <c r="AH57" s="828"/>
      <c r="AI57" s="443">
        <f t="shared" si="5"/>
        <v>9.5</v>
      </c>
      <c r="AJ57" s="444">
        <f t="shared" si="6"/>
        <v>10.09</v>
      </c>
      <c r="AL57" s="386" t="b">
        <f t="shared" si="18"/>
        <v>1</v>
      </c>
      <c r="AO57" s="857"/>
      <c r="AP57" s="858"/>
    </row>
    <row r="58" spans="1:42" ht="17.25" customHeight="1">
      <c r="A58" s="427">
        <f t="shared" si="7"/>
        <v>51</v>
      </c>
      <c r="B58" s="461" t="s">
        <v>272</v>
      </c>
      <c r="C58" s="428"/>
      <c r="D58" s="429" t="s">
        <v>227</v>
      </c>
      <c r="E58" s="430"/>
      <c r="F58" s="431"/>
      <c r="G58" s="431">
        <v>24253394.98</v>
      </c>
      <c r="H58" s="431">
        <v>20777.1548</v>
      </c>
      <c r="I58" s="431"/>
      <c r="J58" s="431"/>
      <c r="K58" s="460">
        <v>20</v>
      </c>
      <c r="L58" s="433">
        <v>15.1</v>
      </c>
      <c r="M58" s="434">
        <f t="shared" si="19"/>
        <v>0</v>
      </c>
      <c r="N58" s="435">
        <f t="shared" si="19"/>
        <v>0</v>
      </c>
      <c r="O58" s="436"/>
      <c r="P58" s="437"/>
      <c r="Q58" s="438"/>
      <c r="R58" s="437"/>
      <c r="S58" s="438"/>
      <c r="T58" s="437"/>
      <c r="U58" s="438"/>
      <c r="V58" s="437"/>
      <c r="W58" s="436"/>
      <c r="X58" s="437"/>
      <c r="Y58" s="438"/>
      <c r="Z58" s="437"/>
      <c r="AA58" s="440">
        <v>0</v>
      </c>
      <c r="AB58" s="433">
        <v>0</v>
      </c>
      <c r="AC58" s="325"/>
      <c r="AD58" s="437"/>
      <c r="AE58" s="441">
        <v>0</v>
      </c>
      <c r="AF58" s="442">
        <v>0</v>
      </c>
      <c r="AG58" s="828">
        <v>20</v>
      </c>
      <c r="AH58" s="828">
        <v>15.1</v>
      </c>
      <c r="AI58" s="443">
        <f t="shared" si="5"/>
        <v>20</v>
      </c>
      <c r="AJ58" s="444">
        <f t="shared" si="6"/>
        <v>15.1</v>
      </c>
      <c r="AK58" s="386" t="s">
        <v>775</v>
      </c>
      <c r="AL58" s="386" t="b">
        <f>AJ58=N58</f>
        <v>0</v>
      </c>
      <c r="AO58" s="857">
        <v>20</v>
      </c>
      <c r="AP58" s="858">
        <v>15.1</v>
      </c>
    </row>
    <row r="59" spans="1:42" ht="17.25" customHeight="1">
      <c r="A59" s="427">
        <f t="shared" si="7"/>
        <v>52</v>
      </c>
      <c r="B59" s="461" t="s">
        <v>272</v>
      </c>
      <c r="C59" s="428"/>
      <c r="D59" s="429" t="s">
        <v>266</v>
      </c>
      <c r="E59" s="430"/>
      <c r="F59" s="431"/>
      <c r="G59" s="431">
        <v>1915615.5715999999</v>
      </c>
      <c r="H59" s="431">
        <v>4553.9687000000004</v>
      </c>
      <c r="I59" s="431"/>
      <c r="J59" s="431"/>
      <c r="K59" s="460">
        <v>1.93</v>
      </c>
      <c r="L59" s="433">
        <v>4.68</v>
      </c>
      <c r="M59" s="434">
        <f t="shared" si="19"/>
        <v>1.93</v>
      </c>
      <c r="N59" s="435">
        <f t="shared" si="19"/>
        <v>4.68</v>
      </c>
      <c r="O59" s="436"/>
      <c r="P59" s="437"/>
      <c r="Q59" s="438"/>
      <c r="R59" s="437"/>
      <c r="S59" s="438"/>
      <c r="T59" s="437"/>
      <c r="U59" s="438"/>
      <c r="V59" s="437"/>
      <c r="W59" s="436"/>
      <c r="X59" s="437">
        <f>L59</f>
        <v>4.68</v>
      </c>
      <c r="Y59" s="439">
        <f>K59</f>
        <v>1.93</v>
      </c>
      <c r="Z59" s="437"/>
      <c r="AA59" s="440"/>
      <c r="AB59" s="433">
        <v>0</v>
      </c>
      <c r="AC59" s="325"/>
      <c r="AD59" s="437"/>
      <c r="AE59" s="441"/>
      <c r="AF59" s="442">
        <v>0</v>
      </c>
      <c r="AG59" s="828"/>
      <c r="AH59" s="828"/>
      <c r="AI59" s="443">
        <f t="shared" si="5"/>
        <v>1.93</v>
      </c>
      <c r="AJ59" s="444">
        <f t="shared" si="6"/>
        <v>4.68</v>
      </c>
      <c r="AL59" s="386" t="b">
        <f>AJ59=L59</f>
        <v>1</v>
      </c>
      <c r="AO59" s="857"/>
      <c r="AP59" s="858"/>
    </row>
    <row r="60" spans="1:42" ht="17.25" customHeight="1">
      <c r="A60" s="427">
        <f t="shared" si="7"/>
        <v>53</v>
      </c>
      <c r="B60" s="461" t="s">
        <v>273</v>
      </c>
      <c r="C60" s="428"/>
      <c r="D60" s="429" t="s">
        <v>263</v>
      </c>
      <c r="E60" s="430"/>
      <c r="F60" s="431"/>
      <c r="G60" s="431">
        <v>9385473.1556000002</v>
      </c>
      <c r="H60" s="431">
        <v>14458.4031</v>
      </c>
      <c r="I60" s="431"/>
      <c r="J60" s="431"/>
      <c r="K60" s="460">
        <v>9.5</v>
      </c>
      <c r="L60" s="433">
        <v>10.09</v>
      </c>
      <c r="M60" s="434">
        <f t="shared" si="19"/>
        <v>9.5</v>
      </c>
      <c r="N60" s="435">
        <f t="shared" si="19"/>
        <v>10.09</v>
      </c>
      <c r="O60" s="436"/>
      <c r="P60" s="437"/>
      <c r="Q60" s="438"/>
      <c r="R60" s="437"/>
      <c r="S60" s="438"/>
      <c r="T60" s="437"/>
      <c r="U60" s="438"/>
      <c r="V60" s="437"/>
      <c r="W60" s="436"/>
      <c r="X60" s="437">
        <f>L60</f>
        <v>10.09</v>
      </c>
      <c r="Y60" s="439">
        <f>K60</f>
        <v>9.5</v>
      </c>
      <c r="Z60" s="437"/>
      <c r="AA60" s="440"/>
      <c r="AB60" s="433">
        <v>0</v>
      </c>
      <c r="AC60" s="325"/>
      <c r="AD60" s="437"/>
      <c r="AE60" s="441"/>
      <c r="AF60" s="442">
        <v>0</v>
      </c>
      <c r="AG60" s="828"/>
      <c r="AH60" s="828"/>
      <c r="AI60" s="443">
        <f t="shared" si="5"/>
        <v>9.5</v>
      </c>
      <c r="AJ60" s="444">
        <f t="shared" si="6"/>
        <v>10.09</v>
      </c>
      <c r="AL60" s="386" t="b">
        <f>AJ60=L60</f>
        <v>1</v>
      </c>
      <c r="AO60" s="857"/>
      <c r="AP60" s="858"/>
    </row>
    <row r="61" spans="1:42" ht="17.25" customHeight="1">
      <c r="A61" s="427">
        <f t="shared" si="7"/>
        <v>54</v>
      </c>
      <c r="B61" s="461" t="s">
        <v>273</v>
      </c>
      <c r="C61" s="428"/>
      <c r="D61" s="429" t="s">
        <v>227</v>
      </c>
      <c r="E61" s="430"/>
      <c r="F61" s="431"/>
      <c r="G61" s="431">
        <v>24253394.98</v>
      </c>
      <c r="H61" s="431">
        <v>20777.1548</v>
      </c>
      <c r="I61" s="431"/>
      <c r="J61" s="431"/>
      <c r="K61" s="460">
        <v>20</v>
      </c>
      <c r="L61" s="433">
        <v>15.1</v>
      </c>
      <c r="M61" s="434">
        <f t="shared" si="19"/>
        <v>0</v>
      </c>
      <c r="N61" s="435">
        <f t="shared" si="19"/>
        <v>0</v>
      </c>
      <c r="O61" s="436"/>
      <c r="P61" s="437"/>
      <c r="Q61" s="438"/>
      <c r="R61" s="437"/>
      <c r="S61" s="438"/>
      <c r="T61" s="437"/>
      <c r="U61" s="438"/>
      <c r="V61" s="437"/>
      <c r="W61" s="436"/>
      <c r="X61" s="437"/>
      <c r="Y61" s="438"/>
      <c r="Z61" s="437"/>
      <c r="AA61" s="440">
        <v>0</v>
      </c>
      <c r="AB61" s="433">
        <v>0</v>
      </c>
      <c r="AC61" s="325"/>
      <c r="AD61" s="437"/>
      <c r="AE61" s="441">
        <v>0</v>
      </c>
      <c r="AF61" s="442">
        <v>0</v>
      </c>
      <c r="AG61" s="828">
        <v>20</v>
      </c>
      <c r="AH61" s="828">
        <v>15.1</v>
      </c>
      <c r="AI61" s="443">
        <f t="shared" si="5"/>
        <v>20</v>
      </c>
      <c r="AJ61" s="444">
        <f t="shared" si="6"/>
        <v>15.1</v>
      </c>
      <c r="AK61" s="386" t="s">
        <v>775</v>
      </c>
      <c r="AL61" s="386" t="b">
        <f>AJ61=N61</f>
        <v>0</v>
      </c>
      <c r="AO61" s="857">
        <v>20</v>
      </c>
      <c r="AP61" s="858">
        <v>15.1</v>
      </c>
    </row>
    <row r="62" spans="1:42" ht="17.25" customHeight="1">
      <c r="A62" s="427">
        <f t="shared" si="7"/>
        <v>55</v>
      </c>
      <c r="B62" s="461" t="s">
        <v>274</v>
      </c>
      <c r="C62" s="428"/>
      <c r="D62" s="429" t="s">
        <v>263</v>
      </c>
      <c r="E62" s="430"/>
      <c r="F62" s="431"/>
      <c r="G62" s="431">
        <v>9385473.1556000002</v>
      </c>
      <c r="H62" s="431">
        <v>14458.4031</v>
      </c>
      <c r="I62" s="431"/>
      <c r="J62" s="431"/>
      <c r="K62" s="460">
        <v>9.5</v>
      </c>
      <c r="L62" s="433">
        <v>10.09</v>
      </c>
      <c r="M62" s="434">
        <f t="shared" si="19"/>
        <v>9.5</v>
      </c>
      <c r="N62" s="435">
        <f t="shared" si="19"/>
        <v>10.09</v>
      </c>
      <c r="O62" s="436"/>
      <c r="P62" s="437"/>
      <c r="Q62" s="438"/>
      <c r="R62" s="437"/>
      <c r="S62" s="438"/>
      <c r="T62" s="437"/>
      <c r="U62" s="438"/>
      <c r="V62" s="437"/>
      <c r="W62" s="436"/>
      <c r="X62" s="437">
        <f>L62</f>
        <v>10.09</v>
      </c>
      <c r="Y62" s="439">
        <f>K62</f>
        <v>9.5</v>
      </c>
      <c r="Z62" s="437"/>
      <c r="AA62" s="440"/>
      <c r="AB62" s="433">
        <v>0</v>
      </c>
      <c r="AC62" s="325"/>
      <c r="AD62" s="437"/>
      <c r="AE62" s="441"/>
      <c r="AF62" s="442">
        <v>0</v>
      </c>
      <c r="AG62" s="828"/>
      <c r="AH62" s="828"/>
      <c r="AI62" s="443">
        <f t="shared" si="5"/>
        <v>9.5</v>
      </c>
      <c r="AJ62" s="444">
        <f t="shared" si="6"/>
        <v>10.09</v>
      </c>
      <c r="AL62" s="386" t="b">
        <f>AJ62=L62</f>
        <v>1</v>
      </c>
      <c r="AO62" s="857"/>
      <c r="AP62" s="858"/>
    </row>
    <row r="63" spans="1:42" ht="17.25" customHeight="1">
      <c r="A63" s="427">
        <f t="shared" si="7"/>
        <v>56</v>
      </c>
      <c r="B63" s="461" t="s">
        <v>274</v>
      </c>
      <c r="C63" s="428"/>
      <c r="D63" s="429" t="s">
        <v>227</v>
      </c>
      <c r="E63" s="430"/>
      <c r="F63" s="431"/>
      <c r="G63" s="431">
        <v>24253394.98</v>
      </c>
      <c r="H63" s="431">
        <v>20777.1548</v>
      </c>
      <c r="I63" s="431"/>
      <c r="J63" s="431"/>
      <c r="K63" s="460">
        <v>20</v>
      </c>
      <c r="L63" s="433">
        <v>15.1</v>
      </c>
      <c r="M63" s="434">
        <f t="shared" si="19"/>
        <v>0</v>
      </c>
      <c r="N63" s="435">
        <f t="shared" si="19"/>
        <v>0</v>
      </c>
      <c r="O63" s="436"/>
      <c r="P63" s="437"/>
      <c r="Q63" s="438"/>
      <c r="R63" s="437"/>
      <c r="S63" s="438"/>
      <c r="T63" s="437"/>
      <c r="U63" s="438"/>
      <c r="V63" s="437"/>
      <c r="W63" s="436"/>
      <c r="X63" s="437"/>
      <c r="Y63" s="438"/>
      <c r="Z63" s="437"/>
      <c r="AA63" s="440">
        <v>0</v>
      </c>
      <c r="AB63" s="433">
        <v>0</v>
      </c>
      <c r="AC63" s="325"/>
      <c r="AD63" s="437"/>
      <c r="AE63" s="441">
        <v>0</v>
      </c>
      <c r="AF63" s="442">
        <v>0</v>
      </c>
      <c r="AG63" s="828">
        <v>20</v>
      </c>
      <c r="AH63" s="828">
        <v>15.1</v>
      </c>
      <c r="AI63" s="443">
        <f t="shared" si="5"/>
        <v>20</v>
      </c>
      <c r="AJ63" s="444">
        <f t="shared" si="6"/>
        <v>15.1</v>
      </c>
      <c r="AK63" s="386" t="s">
        <v>775</v>
      </c>
      <c r="AL63" s="386" t="b">
        <f>AJ63=N63</f>
        <v>0</v>
      </c>
      <c r="AO63" s="857">
        <v>20</v>
      </c>
      <c r="AP63" s="858">
        <v>15.1</v>
      </c>
    </row>
    <row r="64" spans="1:42" ht="17.25" customHeight="1">
      <c r="A64" s="427">
        <f t="shared" si="7"/>
        <v>57</v>
      </c>
      <c r="B64" s="461" t="s">
        <v>274</v>
      </c>
      <c r="C64" s="428"/>
      <c r="D64" s="429" t="s">
        <v>266</v>
      </c>
      <c r="E64" s="430"/>
      <c r="F64" s="431"/>
      <c r="G64" s="431">
        <v>1915615.5715999999</v>
      </c>
      <c r="H64" s="431">
        <v>4553.9687000000004</v>
      </c>
      <c r="I64" s="431"/>
      <c r="J64" s="431"/>
      <c r="K64" s="460">
        <v>1.93</v>
      </c>
      <c r="L64" s="433">
        <v>4.68</v>
      </c>
      <c r="M64" s="434">
        <f t="shared" si="19"/>
        <v>1.93</v>
      </c>
      <c r="N64" s="435">
        <f t="shared" si="19"/>
        <v>4.68</v>
      </c>
      <c r="O64" s="436"/>
      <c r="P64" s="437"/>
      <c r="Q64" s="438"/>
      <c r="R64" s="437"/>
      <c r="S64" s="438"/>
      <c r="T64" s="437"/>
      <c r="U64" s="438"/>
      <c r="V64" s="437"/>
      <c r="W64" s="436"/>
      <c r="X64" s="437">
        <f>L64</f>
        <v>4.68</v>
      </c>
      <c r="Y64" s="439">
        <f>K64</f>
        <v>1.93</v>
      </c>
      <c r="Z64" s="437"/>
      <c r="AA64" s="440"/>
      <c r="AB64" s="433">
        <v>0</v>
      </c>
      <c r="AC64" s="325"/>
      <c r="AD64" s="437"/>
      <c r="AE64" s="441"/>
      <c r="AF64" s="442">
        <v>0</v>
      </c>
      <c r="AG64" s="828"/>
      <c r="AH64" s="828"/>
      <c r="AI64" s="443">
        <f t="shared" si="5"/>
        <v>1.93</v>
      </c>
      <c r="AJ64" s="444">
        <f t="shared" si="6"/>
        <v>4.68</v>
      </c>
      <c r="AL64" s="386" t="b">
        <f>AJ64=L64</f>
        <v>1</v>
      </c>
      <c r="AO64" s="857"/>
      <c r="AP64" s="858"/>
    </row>
    <row r="65" spans="1:42" ht="17.25" customHeight="1">
      <c r="A65" s="427">
        <f t="shared" si="7"/>
        <v>58</v>
      </c>
      <c r="B65" s="461" t="s">
        <v>275</v>
      </c>
      <c r="C65" s="428"/>
      <c r="D65" s="429" t="s">
        <v>263</v>
      </c>
      <c r="E65" s="430"/>
      <c r="F65" s="431"/>
      <c r="G65" s="431">
        <v>9385473.1556000002</v>
      </c>
      <c r="H65" s="431">
        <v>14458.4031</v>
      </c>
      <c r="I65" s="431"/>
      <c r="J65" s="431"/>
      <c r="K65" s="460">
        <v>9.5</v>
      </c>
      <c r="L65" s="433">
        <v>10.09</v>
      </c>
      <c r="M65" s="434">
        <f t="shared" si="19"/>
        <v>9.5</v>
      </c>
      <c r="N65" s="435">
        <f t="shared" si="19"/>
        <v>10.09</v>
      </c>
      <c r="O65" s="436"/>
      <c r="P65" s="437"/>
      <c r="Q65" s="438"/>
      <c r="R65" s="437"/>
      <c r="S65" s="438"/>
      <c r="T65" s="437"/>
      <c r="U65" s="438"/>
      <c r="V65" s="437"/>
      <c r="W65" s="436"/>
      <c r="X65" s="437">
        <f>L65</f>
        <v>10.09</v>
      </c>
      <c r="Y65" s="439">
        <f>K65</f>
        <v>9.5</v>
      </c>
      <c r="Z65" s="437"/>
      <c r="AA65" s="440"/>
      <c r="AB65" s="433">
        <v>0</v>
      </c>
      <c r="AC65" s="325"/>
      <c r="AD65" s="437"/>
      <c r="AE65" s="441"/>
      <c r="AF65" s="442">
        <v>0</v>
      </c>
      <c r="AG65" s="828"/>
      <c r="AH65" s="828"/>
      <c r="AI65" s="443">
        <f t="shared" si="5"/>
        <v>9.5</v>
      </c>
      <c r="AJ65" s="444">
        <f t="shared" si="6"/>
        <v>10.09</v>
      </c>
      <c r="AL65" s="386" t="b">
        <f>AJ65=L65</f>
        <v>1</v>
      </c>
      <c r="AO65" s="857"/>
      <c r="AP65" s="858"/>
    </row>
    <row r="66" spans="1:42" ht="17.25" customHeight="1">
      <c r="A66" s="427">
        <f t="shared" si="7"/>
        <v>59</v>
      </c>
      <c r="B66" s="461" t="s">
        <v>275</v>
      </c>
      <c r="C66" s="428"/>
      <c r="D66" s="429" t="s">
        <v>227</v>
      </c>
      <c r="E66" s="430"/>
      <c r="F66" s="431"/>
      <c r="G66" s="431">
        <v>24253394.98</v>
      </c>
      <c r="H66" s="431">
        <v>20777.1548</v>
      </c>
      <c r="I66" s="431"/>
      <c r="J66" s="431"/>
      <c r="K66" s="460">
        <v>20</v>
      </c>
      <c r="L66" s="433">
        <v>15.1</v>
      </c>
      <c r="M66" s="434">
        <f t="shared" si="19"/>
        <v>0</v>
      </c>
      <c r="N66" s="435">
        <f t="shared" si="19"/>
        <v>0</v>
      </c>
      <c r="O66" s="436"/>
      <c r="P66" s="437"/>
      <c r="Q66" s="438"/>
      <c r="R66" s="437"/>
      <c r="S66" s="438"/>
      <c r="T66" s="437"/>
      <c r="U66" s="438"/>
      <c r="V66" s="437"/>
      <c r="W66" s="436"/>
      <c r="X66" s="437"/>
      <c r="Y66" s="438"/>
      <c r="Z66" s="437"/>
      <c r="AA66" s="440">
        <v>0</v>
      </c>
      <c r="AB66" s="433">
        <v>0</v>
      </c>
      <c r="AC66" s="325"/>
      <c r="AD66" s="437"/>
      <c r="AE66" s="441">
        <v>0</v>
      </c>
      <c r="AF66" s="442">
        <v>0</v>
      </c>
      <c r="AG66" s="828">
        <v>20</v>
      </c>
      <c r="AH66" s="828">
        <v>15.1</v>
      </c>
      <c r="AI66" s="443">
        <f t="shared" si="5"/>
        <v>20</v>
      </c>
      <c r="AJ66" s="444">
        <f t="shared" si="6"/>
        <v>15.1</v>
      </c>
      <c r="AK66" s="386" t="s">
        <v>776</v>
      </c>
      <c r="AL66" s="386" t="b">
        <f>AJ66=N66</f>
        <v>0</v>
      </c>
      <c r="AO66" s="857">
        <v>20</v>
      </c>
      <c r="AP66" s="858">
        <v>15.1</v>
      </c>
    </row>
    <row r="67" spans="1:42" ht="17.25" customHeight="1">
      <c r="A67" s="427">
        <f t="shared" si="7"/>
        <v>60</v>
      </c>
      <c r="B67" s="461" t="s">
        <v>276</v>
      </c>
      <c r="C67" s="428"/>
      <c r="D67" s="429" t="s">
        <v>263</v>
      </c>
      <c r="E67" s="430"/>
      <c r="F67" s="431"/>
      <c r="G67" s="431">
        <v>9385473.1556000002</v>
      </c>
      <c r="H67" s="431">
        <v>14458.4031</v>
      </c>
      <c r="I67" s="431"/>
      <c r="J67" s="431"/>
      <c r="K67" s="460">
        <v>9.5</v>
      </c>
      <c r="L67" s="433">
        <v>10.09</v>
      </c>
      <c r="M67" s="434">
        <f t="shared" si="19"/>
        <v>9.5</v>
      </c>
      <c r="N67" s="435">
        <f t="shared" si="19"/>
        <v>10.09</v>
      </c>
      <c r="O67" s="436"/>
      <c r="P67" s="437"/>
      <c r="Q67" s="438"/>
      <c r="R67" s="437"/>
      <c r="S67" s="438"/>
      <c r="T67" s="437"/>
      <c r="U67" s="438"/>
      <c r="V67" s="437"/>
      <c r="W67" s="436"/>
      <c r="X67" s="437"/>
      <c r="Y67" s="439">
        <f>K67</f>
        <v>9.5</v>
      </c>
      <c r="Z67" s="437">
        <f>L67</f>
        <v>10.09</v>
      </c>
      <c r="AA67" s="440"/>
      <c r="AB67" s="433"/>
      <c r="AC67" s="325"/>
      <c r="AD67" s="437"/>
      <c r="AE67" s="441"/>
      <c r="AF67" s="442"/>
      <c r="AG67" s="828"/>
      <c r="AH67" s="828"/>
      <c r="AI67" s="443">
        <f t="shared" si="5"/>
        <v>9.5</v>
      </c>
      <c r="AJ67" s="444">
        <f t="shared" si="6"/>
        <v>10.09</v>
      </c>
      <c r="AL67" s="386" t="b">
        <f>AJ67=L67</f>
        <v>1</v>
      </c>
      <c r="AO67" s="857"/>
      <c r="AP67" s="858"/>
    </row>
    <row r="68" spans="1:42" ht="17.25" customHeight="1">
      <c r="A68" s="427">
        <f t="shared" si="7"/>
        <v>61</v>
      </c>
      <c r="B68" s="461" t="s">
        <v>276</v>
      </c>
      <c r="C68" s="428"/>
      <c r="D68" s="429" t="s">
        <v>227</v>
      </c>
      <c r="E68" s="430"/>
      <c r="F68" s="431"/>
      <c r="G68" s="431">
        <v>24253394.98</v>
      </c>
      <c r="H68" s="431">
        <v>20777.1548</v>
      </c>
      <c r="I68" s="431"/>
      <c r="J68" s="431"/>
      <c r="K68" s="460">
        <v>20</v>
      </c>
      <c r="L68" s="433">
        <v>15.1</v>
      </c>
      <c r="M68" s="434">
        <f t="shared" si="19"/>
        <v>0</v>
      </c>
      <c r="N68" s="435">
        <f t="shared" si="19"/>
        <v>0</v>
      </c>
      <c r="O68" s="436"/>
      <c r="P68" s="437"/>
      <c r="Q68" s="438"/>
      <c r="R68" s="437"/>
      <c r="S68" s="438"/>
      <c r="T68" s="437"/>
      <c r="U68" s="438"/>
      <c r="V68" s="437"/>
      <c r="W68" s="436"/>
      <c r="X68" s="437"/>
      <c r="Y68" s="438"/>
      <c r="Z68" s="437"/>
      <c r="AA68" s="440">
        <v>0</v>
      </c>
      <c r="AB68" s="433">
        <v>0</v>
      </c>
      <c r="AC68" s="325"/>
      <c r="AD68" s="437"/>
      <c r="AE68" s="441">
        <v>0</v>
      </c>
      <c r="AF68" s="442">
        <v>0</v>
      </c>
      <c r="AG68" s="828"/>
      <c r="AH68" s="828"/>
      <c r="AI68" s="443">
        <f t="shared" si="5"/>
        <v>0</v>
      </c>
      <c r="AJ68" s="444">
        <f t="shared" si="6"/>
        <v>0</v>
      </c>
      <c r="AL68" s="386" t="b">
        <f>AJ68=N68</f>
        <v>1</v>
      </c>
      <c r="AO68" s="857"/>
      <c r="AP68" s="858"/>
    </row>
    <row r="69" spans="1:42" ht="17.25" customHeight="1">
      <c r="A69" s="427">
        <f t="shared" si="7"/>
        <v>62</v>
      </c>
      <c r="B69" s="461" t="s">
        <v>277</v>
      </c>
      <c r="C69" s="428"/>
      <c r="D69" s="429" t="s">
        <v>263</v>
      </c>
      <c r="E69" s="430"/>
      <c r="F69" s="431"/>
      <c r="G69" s="431">
        <v>9385473.1556000002</v>
      </c>
      <c r="H69" s="431">
        <v>14458.4031</v>
      </c>
      <c r="I69" s="431"/>
      <c r="J69" s="431"/>
      <c r="K69" s="460">
        <v>9.5</v>
      </c>
      <c r="L69" s="433">
        <v>10.09</v>
      </c>
      <c r="M69" s="434">
        <f t="shared" si="19"/>
        <v>9.5</v>
      </c>
      <c r="N69" s="435">
        <f t="shared" si="19"/>
        <v>10.09</v>
      </c>
      <c r="O69" s="436"/>
      <c r="P69" s="437"/>
      <c r="Q69" s="438"/>
      <c r="R69" s="437"/>
      <c r="S69" s="438"/>
      <c r="T69" s="437"/>
      <c r="U69" s="438"/>
      <c r="V69" s="437"/>
      <c r="W69" s="436"/>
      <c r="X69" s="437"/>
      <c r="Y69" s="439">
        <f>K69</f>
        <v>9.5</v>
      </c>
      <c r="Z69" s="437">
        <f>L69</f>
        <v>10.09</v>
      </c>
      <c r="AA69" s="440"/>
      <c r="AB69" s="433"/>
      <c r="AC69" s="325"/>
      <c r="AD69" s="437"/>
      <c r="AE69" s="441"/>
      <c r="AF69" s="442"/>
      <c r="AG69" s="828"/>
      <c r="AH69" s="828"/>
      <c r="AI69" s="443">
        <f t="shared" si="5"/>
        <v>9.5</v>
      </c>
      <c r="AJ69" s="444">
        <f t="shared" si="6"/>
        <v>10.09</v>
      </c>
      <c r="AL69" s="386" t="b">
        <f>AJ69=L69</f>
        <v>1</v>
      </c>
      <c r="AO69" s="857"/>
      <c r="AP69" s="858"/>
    </row>
    <row r="70" spans="1:42" ht="17.25" customHeight="1">
      <c r="A70" s="427">
        <f t="shared" si="7"/>
        <v>63</v>
      </c>
      <c r="B70" s="461" t="s">
        <v>277</v>
      </c>
      <c r="C70" s="428"/>
      <c r="D70" s="429" t="s">
        <v>227</v>
      </c>
      <c r="E70" s="430"/>
      <c r="F70" s="431"/>
      <c r="G70" s="431">
        <v>24253394.98</v>
      </c>
      <c r="H70" s="431">
        <v>20777.1548</v>
      </c>
      <c r="I70" s="431"/>
      <c r="J70" s="431"/>
      <c r="K70" s="460">
        <v>20</v>
      </c>
      <c r="L70" s="433">
        <v>15.1</v>
      </c>
      <c r="M70" s="434">
        <f t="shared" si="19"/>
        <v>0</v>
      </c>
      <c r="N70" s="435">
        <f t="shared" si="19"/>
        <v>0</v>
      </c>
      <c r="O70" s="436"/>
      <c r="P70" s="437"/>
      <c r="Q70" s="438"/>
      <c r="R70" s="437"/>
      <c r="S70" s="438"/>
      <c r="T70" s="437"/>
      <c r="U70" s="438"/>
      <c r="V70" s="437"/>
      <c r="W70" s="436"/>
      <c r="X70" s="437"/>
      <c r="Y70" s="438"/>
      <c r="Z70" s="437"/>
      <c r="AA70" s="440">
        <v>0</v>
      </c>
      <c r="AB70" s="433">
        <v>0</v>
      </c>
      <c r="AC70" s="325"/>
      <c r="AD70" s="437"/>
      <c r="AE70" s="441">
        <v>0</v>
      </c>
      <c r="AF70" s="442">
        <v>0</v>
      </c>
      <c r="AG70" s="828"/>
      <c r="AH70" s="828"/>
      <c r="AI70" s="443">
        <f t="shared" si="5"/>
        <v>0</v>
      </c>
      <c r="AJ70" s="444">
        <f t="shared" si="6"/>
        <v>0</v>
      </c>
      <c r="AL70" s="386" t="b">
        <f>AJ70=N70</f>
        <v>1</v>
      </c>
      <c r="AO70" s="857"/>
      <c r="AP70" s="858"/>
    </row>
    <row r="71" spans="1:42" ht="17.25" customHeight="1">
      <c r="A71" s="427">
        <f t="shared" si="7"/>
        <v>64</v>
      </c>
      <c r="B71" s="461" t="s">
        <v>277</v>
      </c>
      <c r="C71" s="428"/>
      <c r="D71" s="429" t="s">
        <v>266</v>
      </c>
      <c r="E71" s="430"/>
      <c r="F71" s="431"/>
      <c r="G71" s="431">
        <v>1915615.5715999999</v>
      </c>
      <c r="H71" s="431">
        <v>4553.9687000000004</v>
      </c>
      <c r="I71" s="431"/>
      <c r="J71" s="431"/>
      <c r="K71" s="460">
        <v>1.93</v>
      </c>
      <c r="L71" s="433">
        <v>4.68</v>
      </c>
      <c r="M71" s="434">
        <f t="shared" ref="M71:N96" si="20">O71+Q71+S71+U71+W71+Y71</f>
        <v>1.93</v>
      </c>
      <c r="N71" s="435">
        <f t="shared" si="20"/>
        <v>4.68</v>
      </c>
      <c r="O71" s="436"/>
      <c r="P71" s="437"/>
      <c r="Q71" s="438"/>
      <c r="R71" s="437"/>
      <c r="S71" s="438"/>
      <c r="T71" s="437"/>
      <c r="U71" s="438"/>
      <c r="V71" s="437"/>
      <c r="W71" s="436"/>
      <c r="X71" s="437"/>
      <c r="Y71" s="439">
        <f>K71</f>
        <v>1.93</v>
      </c>
      <c r="Z71" s="437">
        <f>L71</f>
        <v>4.68</v>
      </c>
      <c r="AA71" s="440"/>
      <c r="AB71" s="433"/>
      <c r="AC71" s="325"/>
      <c r="AD71" s="437"/>
      <c r="AE71" s="441"/>
      <c r="AF71" s="442"/>
      <c r="AG71" s="828"/>
      <c r="AH71" s="828"/>
      <c r="AI71" s="443">
        <f t="shared" si="5"/>
        <v>1.93</v>
      </c>
      <c r="AJ71" s="444">
        <f t="shared" si="6"/>
        <v>4.68</v>
      </c>
      <c r="AL71" s="386" t="b">
        <f>AJ71=L71</f>
        <v>1</v>
      </c>
      <c r="AO71" s="857"/>
      <c r="AP71" s="858"/>
    </row>
    <row r="72" spans="1:42" ht="17.25" customHeight="1">
      <c r="A72" s="427">
        <f t="shared" si="7"/>
        <v>65</v>
      </c>
      <c r="B72" s="461" t="s">
        <v>278</v>
      </c>
      <c r="C72" s="428"/>
      <c r="D72" s="429" t="s">
        <v>263</v>
      </c>
      <c r="E72" s="430"/>
      <c r="F72" s="431"/>
      <c r="G72" s="431">
        <v>9385473.1556000002</v>
      </c>
      <c r="H72" s="431">
        <v>14458.4031</v>
      </c>
      <c r="I72" s="431"/>
      <c r="J72" s="431"/>
      <c r="K72" s="460">
        <v>9.5</v>
      </c>
      <c r="L72" s="433">
        <v>10.09</v>
      </c>
      <c r="M72" s="434">
        <f t="shared" si="20"/>
        <v>9.5</v>
      </c>
      <c r="N72" s="435">
        <f t="shared" si="20"/>
        <v>10.09</v>
      </c>
      <c r="O72" s="436"/>
      <c r="P72" s="437"/>
      <c r="Q72" s="438"/>
      <c r="R72" s="437"/>
      <c r="S72" s="438"/>
      <c r="T72" s="437"/>
      <c r="U72" s="438"/>
      <c r="V72" s="437"/>
      <c r="W72" s="436"/>
      <c r="X72" s="437"/>
      <c r="Y72" s="439">
        <f>K72</f>
        <v>9.5</v>
      </c>
      <c r="Z72" s="437">
        <f>L72</f>
        <v>10.09</v>
      </c>
      <c r="AA72" s="440"/>
      <c r="AB72" s="433"/>
      <c r="AC72" s="325"/>
      <c r="AD72" s="437"/>
      <c r="AE72" s="441"/>
      <c r="AF72" s="442"/>
      <c r="AG72" s="828"/>
      <c r="AH72" s="828"/>
      <c r="AI72" s="443">
        <f t="shared" si="5"/>
        <v>9.5</v>
      </c>
      <c r="AJ72" s="444">
        <f t="shared" si="6"/>
        <v>10.09</v>
      </c>
      <c r="AL72" s="386" t="b">
        <f>AJ72=L72</f>
        <v>1</v>
      </c>
      <c r="AO72" s="857"/>
      <c r="AP72" s="858"/>
    </row>
    <row r="73" spans="1:42" ht="17.25" customHeight="1">
      <c r="A73" s="427">
        <f t="shared" si="7"/>
        <v>66</v>
      </c>
      <c r="B73" s="461" t="s">
        <v>278</v>
      </c>
      <c r="C73" s="428"/>
      <c r="D73" s="429" t="s">
        <v>227</v>
      </c>
      <c r="E73" s="430"/>
      <c r="F73" s="431"/>
      <c r="G73" s="431">
        <v>24253394.98</v>
      </c>
      <c r="H73" s="431">
        <v>20777.1548</v>
      </c>
      <c r="I73" s="431"/>
      <c r="J73" s="431"/>
      <c r="K73" s="460">
        <v>20</v>
      </c>
      <c r="L73" s="433">
        <v>15.1</v>
      </c>
      <c r="M73" s="434">
        <f t="shared" si="20"/>
        <v>0</v>
      </c>
      <c r="N73" s="435">
        <f t="shared" si="20"/>
        <v>0</v>
      </c>
      <c r="O73" s="436"/>
      <c r="P73" s="437"/>
      <c r="Q73" s="438"/>
      <c r="R73" s="437"/>
      <c r="S73" s="438"/>
      <c r="T73" s="437"/>
      <c r="U73" s="438"/>
      <c r="V73" s="437"/>
      <c r="W73" s="436"/>
      <c r="X73" s="437"/>
      <c r="Y73" s="438"/>
      <c r="Z73" s="437"/>
      <c r="AA73" s="440">
        <v>0</v>
      </c>
      <c r="AB73" s="433">
        <v>0</v>
      </c>
      <c r="AC73" s="325"/>
      <c r="AD73" s="437"/>
      <c r="AE73" s="441">
        <v>0</v>
      </c>
      <c r="AF73" s="442">
        <v>0</v>
      </c>
      <c r="AG73" s="828">
        <f>90%*20</f>
        <v>18</v>
      </c>
      <c r="AH73" s="828">
        <f>90%*15.1</f>
        <v>13.59</v>
      </c>
      <c r="AI73" s="443">
        <f t="shared" ref="AI73:AI97" si="21">AE73+AC73+AA73+Y73+W73+U73+S73+Q73+O73+AG73</f>
        <v>18</v>
      </c>
      <c r="AJ73" s="444">
        <f t="shared" ref="AJ73:AJ97" si="22">AF73+AD73+AB73+Z73+X73+V73+T73+R73+P73+AH73</f>
        <v>13.59</v>
      </c>
      <c r="AK73" s="386" t="s">
        <v>757</v>
      </c>
      <c r="AL73" s="386" t="b">
        <f>AJ73=N73</f>
        <v>0</v>
      </c>
      <c r="AO73" s="861">
        <v>20</v>
      </c>
      <c r="AP73" s="862">
        <v>15.1</v>
      </c>
    </row>
    <row r="74" spans="1:42" ht="17.25" customHeight="1">
      <c r="A74" s="427">
        <f t="shared" si="7"/>
        <v>67</v>
      </c>
      <c r="B74" s="461" t="s">
        <v>278</v>
      </c>
      <c r="C74" s="428"/>
      <c r="D74" s="429" t="s">
        <v>266</v>
      </c>
      <c r="E74" s="430"/>
      <c r="F74" s="431"/>
      <c r="G74" s="431">
        <v>1915615.5715999999</v>
      </c>
      <c r="H74" s="431">
        <v>4553.9687000000004</v>
      </c>
      <c r="I74" s="431"/>
      <c r="J74" s="431"/>
      <c r="K74" s="460">
        <v>1.93</v>
      </c>
      <c r="L74" s="433">
        <v>4.68</v>
      </c>
      <c r="M74" s="434">
        <f t="shared" si="20"/>
        <v>1.93</v>
      </c>
      <c r="N74" s="435">
        <f t="shared" si="20"/>
        <v>4.68</v>
      </c>
      <c r="O74" s="436"/>
      <c r="P74" s="437"/>
      <c r="Q74" s="438"/>
      <c r="R74" s="437"/>
      <c r="S74" s="438"/>
      <c r="T74" s="437"/>
      <c r="U74" s="438"/>
      <c r="V74" s="437"/>
      <c r="W74" s="436"/>
      <c r="X74" s="437"/>
      <c r="Y74" s="439">
        <f>K74</f>
        <v>1.93</v>
      </c>
      <c r="Z74" s="437">
        <f>L74</f>
        <v>4.68</v>
      </c>
      <c r="AA74" s="440"/>
      <c r="AB74" s="433"/>
      <c r="AC74" s="325"/>
      <c r="AD74" s="437"/>
      <c r="AE74" s="441"/>
      <c r="AF74" s="442"/>
      <c r="AG74" s="828"/>
      <c r="AH74" s="828"/>
      <c r="AI74" s="443">
        <f t="shared" si="21"/>
        <v>1.93</v>
      </c>
      <c r="AJ74" s="444">
        <f t="shared" si="22"/>
        <v>4.68</v>
      </c>
      <c r="AL74" s="386" t="b">
        <f>AJ74=L74</f>
        <v>1</v>
      </c>
      <c r="AO74" s="857"/>
      <c r="AP74" s="858"/>
    </row>
    <row r="75" spans="1:42" ht="17.25" customHeight="1">
      <c r="A75" s="427">
        <f t="shared" ref="A75:A96" si="23">A74+1</f>
        <v>68</v>
      </c>
      <c r="B75" s="461" t="s">
        <v>279</v>
      </c>
      <c r="C75" s="428"/>
      <c r="D75" s="429" t="s">
        <v>263</v>
      </c>
      <c r="E75" s="430"/>
      <c r="F75" s="431"/>
      <c r="G75" s="431">
        <v>9385473.1556000002</v>
      </c>
      <c r="H75" s="431">
        <v>14458.4031</v>
      </c>
      <c r="I75" s="431"/>
      <c r="J75" s="431"/>
      <c r="K75" s="460">
        <v>9.5</v>
      </c>
      <c r="L75" s="433">
        <v>10.09</v>
      </c>
      <c r="M75" s="434">
        <f t="shared" si="20"/>
        <v>9.5</v>
      </c>
      <c r="N75" s="435">
        <f t="shared" si="20"/>
        <v>10.09</v>
      </c>
      <c r="O75" s="436"/>
      <c r="P75" s="437"/>
      <c r="Q75" s="438"/>
      <c r="R75" s="437"/>
      <c r="S75" s="438"/>
      <c r="T75" s="437"/>
      <c r="U75" s="438"/>
      <c r="V75" s="437"/>
      <c r="W75" s="436"/>
      <c r="X75" s="437"/>
      <c r="Y75" s="439">
        <f>K75</f>
        <v>9.5</v>
      </c>
      <c r="Z75" s="437">
        <f>L75</f>
        <v>10.09</v>
      </c>
      <c r="AA75" s="440"/>
      <c r="AB75" s="433"/>
      <c r="AC75" s="325"/>
      <c r="AD75" s="437"/>
      <c r="AE75" s="441"/>
      <c r="AF75" s="442"/>
      <c r="AG75" s="828"/>
      <c r="AH75" s="828"/>
      <c r="AI75" s="443">
        <f t="shared" si="21"/>
        <v>9.5</v>
      </c>
      <c r="AJ75" s="444">
        <f t="shared" si="22"/>
        <v>10.09</v>
      </c>
      <c r="AL75" s="386" t="b">
        <f>AJ75=L75</f>
        <v>1</v>
      </c>
      <c r="AO75" s="857"/>
      <c r="AP75" s="858"/>
    </row>
    <row r="76" spans="1:42" ht="17.25" customHeight="1">
      <c r="A76" s="427">
        <f t="shared" si="23"/>
        <v>69</v>
      </c>
      <c r="B76" s="461" t="s">
        <v>279</v>
      </c>
      <c r="C76" s="428"/>
      <c r="D76" s="429" t="s">
        <v>227</v>
      </c>
      <c r="E76" s="430"/>
      <c r="F76" s="431"/>
      <c r="G76" s="431">
        <v>24253394.98</v>
      </c>
      <c r="H76" s="431">
        <v>20777.1548</v>
      </c>
      <c r="I76" s="431"/>
      <c r="J76" s="431"/>
      <c r="K76" s="460">
        <v>20</v>
      </c>
      <c r="L76" s="433">
        <v>15.1</v>
      </c>
      <c r="M76" s="434">
        <f t="shared" si="20"/>
        <v>0</v>
      </c>
      <c r="N76" s="435">
        <f t="shared" si="20"/>
        <v>0</v>
      </c>
      <c r="O76" s="436"/>
      <c r="P76" s="437"/>
      <c r="Q76" s="438"/>
      <c r="R76" s="437"/>
      <c r="S76" s="438"/>
      <c r="T76" s="437"/>
      <c r="U76" s="438"/>
      <c r="V76" s="437"/>
      <c r="W76" s="436"/>
      <c r="X76" s="437"/>
      <c r="Y76" s="438"/>
      <c r="Z76" s="437"/>
      <c r="AA76" s="440">
        <v>0</v>
      </c>
      <c r="AB76" s="433">
        <v>0</v>
      </c>
      <c r="AC76" s="325"/>
      <c r="AD76" s="437"/>
      <c r="AE76" s="441">
        <v>0</v>
      </c>
      <c r="AF76" s="442">
        <v>0</v>
      </c>
      <c r="AG76" s="828">
        <f>90%*20</f>
        <v>18</v>
      </c>
      <c r="AH76" s="828">
        <f>90%*15.1</f>
        <v>13.59</v>
      </c>
      <c r="AI76" s="443">
        <f t="shared" si="21"/>
        <v>18</v>
      </c>
      <c r="AJ76" s="444">
        <f t="shared" si="22"/>
        <v>13.59</v>
      </c>
      <c r="AK76" s="386" t="s">
        <v>757</v>
      </c>
      <c r="AL76" s="386" t="b">
        <f>AJ76=N76</f>
        <v>0</v>
      </c>
      <c r="AO76" s="861">
        <v>20</v>
      </c>
      <c r="AP76" s="862">
        <v>15.1</v>
      </c>
    </row>
    <row r="77" spans="1:42" ht="17.25" customHeight="1">
      <c r="A77" s="427">
        <f t="shared" si="23"/>
        <v>70</v>
      </c>
      <c r="B77" s="461" t="s">
        <v>280</v>
      </c>
      <c r="C77" s="428"/>
      <c r="D77" s="429" t="s">
        <v>263</v>
      </c>
      <c r="E77" s="430"/>
      <c r="F77" s="431"/>
      <c r="G77" s="431">
        <v>9385473.1556000002</v>
      </c>
      <c r="H77" s="431">
        <v>14458.4031</v>
      </c>
      <c r="I77" s="431"/>
      <c r="J77" s="431"/>
      <c r="K77" s="460">
        <v>9.5</v>
      </c>
      <c r="L77" s="433">
        <v>10.09</v>
      </c>
      <c r="M77" s="434">
        <f t="shared" si="20"/>
        <v>9.5</v>
      </c>
      <c r="N77" s="435">
        <f t="shared" si="20"/>
        <v>10.09</v>
      </c>
      <c r="O77" s="436"/>
      <c r="P77" s="437"/>
      <c r="Q77" s="438"/>
      <c r="R77" s="437"/>
      <c r="S77" s="438"/>
      <c r="T77" s="437"/>
      <c r="U77" s="438"/>
      <c r="V77" s="437"/>
      <c r="W77" s="436"/>
      <c r="X77" s="437"/>
      <c r="Y77" s="439">
        <f>K77</f>
        <v>9.5</v>
      </c>
      <c r="Z77" s="437">
        <f>L77</f>
        <v>10.09</v>
      </c>
      <c r="AA77" s="440"/>
      <c r="AB77" s="433"/>
      <c r="AC77" s="325"/>
      <c r="AD77" s="437"/>
      <c r="AE77" s="441"/>
      <c r="AF77" s="442"/>
      <c r="AG77" s="828"/>
      <c r="AH77" s="828"/>
      <c r="AI77" s="443">
        <f t="shared" si="21"/>
        <v>9.5</v>
      </c>
      <c r="AJ77" s="444">
        <f t="shared" si="22"/>
        <v>10.09</v>
      </c>
      <c r="AL77" s="386" t="b">
        <f>AJ77=L77</f>
        <v>1</v>
      </c>
      <c r="AO77" s="861"/>
      <c r="AP77" s="862"/>
    </row>
    <row r="78" spans="1:42" ht="17.25" customHeight="1">
      <c r="A78" s="427">
        <f t="shared" si="23"/>
        <v>71</v>
      </c>
      <c r="B78" s="461" t="s">
        <v>280</v>
      </c>
      <c r="C78" s="428"/>
      <c r="D78" s="429" t="s">
        <v>227</v>
      </c>
      <c r="E78" s="430"/>
      <c r="F78" s="431"/>
      <c r="G78" s="431">
        <v>24253394.98</v>
      </c>
      <c r="H78" s="431">
        <v>20777.1548</v>
      </c>
      <c r="I78" s="431"/>
      <c r="J78" s="431"/>
      <c r="K78" s="460">
        <v>20</v>
      </c>
      <c r="L78" s="433">
        <v>15.1</v>
      </c>
      <c r="M78" s="434">
        <f t="shared" si="20"/>
        <v>0</v>
      </c>
      <c r="N78" s="435">
        <f t="shared" si="20"/>
        <v>0</v>
      </c>
      <c r="O78" s="436"/>
      <c r="P78" s="437"/>
      <c r="Q78" s="438"/>
      <c r="R78" s="437"/>
      <c r="S78" s="438"/>
      <c r="T78" s="437"/>
      <c r="U78" s="438"/>
      <c r="V78" s="437"/>
      <c r="W78" s="436"/>
      <c r="X78" s="437"/>
      <c r="Y78" s="438"/>
      <c r="Z78" s="437"/>
      <c r="AA78" s="440">
        <v>0</v>
      </c>
      <c r="AB78" s="433">
        <v>0</v>
      </c>
      <c r="AC78" s="325"/>
      <c r="AD78" s="437"/>
      <c r="AE78" s="441">
        <v>0</v>
      </c>
      <c r="AF78" s="442">
        <v>0</v>
      </c>
      <c r="AG78" s="828">
        <f>90%*20</f>
        <v>18</v>
      </c>
      <c r="AH78" s="828">
        <f>90%*15.1</f>
        <v>13.59</v>
      </c>
      <c r="AI78" s="443">
        <f t="shared" si="21"/>
        <v>18</v>
      </c>
      <c r="AJ78" s="444">
        <f t="shared" si="22"/>
        <v>13.59</v>
      </c>
      <c r="AK78" s="386" t="s">
        <v>757</v>
      </c>
      <c r="AL78" s="386" t="b">
        <f>AJ78=N78</f>
        <v>0</v>
      </c>
      <c r="AO78" s="861">
        <v>20</v>
      </c>
      <c r="AP78" s="862">
        <v>15.1</v>
      </c>
    </row>
    <row r="79" spans="1:42" ht="17.25" customHeight="1">
      <c r="A79" s="427">
        <f t="shared" si="23"/>
        <v>72</v>
      </c>
      <c r="B79" s="461" t="s">
        <v>280</v>
      </c>
      <c r="C79" s="428"/>
      <c r="D79" s="429" t="s">
        <v>266</v>
      </c>
      <c r="E79" s="430"/>
      <c r="F79" s="431"/>
      <c r="G79" s="431">
        <v>1915615.5715999999</v>
      </c>
      <c r="H79" s="431">
        <v>4553.9687000000004</v>
      </c>
      <c r="I79" s="431"/>
      <c r="J79" s="431"/>
      <c r="K79" s="460">
        <v>1.93</v>
      </c>
      <c r="L79" s="433">
        <v>4.68</v>
      </c>
      <c r="M79" s="434">
        <f t="shared" si="20"/>
        <v>1.93</v>
      </c>
      <c r="N79" s="435">
        <f t="shared" si="20"/>
        <v>4.68</v>
      </c>
      <c r="O79" s="436"/>
      <c r="P79" s="437"/>
      <c r="Q79" s="438"/>
      <c r="R79" s="437"/>
      <c r="S79" s="438"/>
      <c r="T79" s="437"/>
      <c r="U79" s="438"/>
      <c r="V79" s="437"/>
      <c r="W79" s="436"/>
      <c r="X79" s="437"/>
      <c r="Y79" s="439">
        <f>K79</f>
        <v>1.93</v>
      </c>
      <c r="Z79" s="437">
        <f>L79</f>
        <v>4.68</v>
      </c>
      <c r="AA79" s="440"/>
      <c r="AB79" s="433"/>
      <c r="AC79" s="325"/>
      <c r="AD79" s="437"/>
      <c r="AE79" s="441"/>
      <c r="AF79" s="442"/>
      <c r="AG79" s="828"/>
      <c r="AH79" s="828"/>
      <c r="AI79" s="443">
        <f t="shared" si="21"/>
        <v>1.93</v>
      </c>
      <c r="AJ79" s="444">
        <f t="shared" si="22"/>
        <v>4.68</v>
      </c>
      <c r="AL79" s="386" t="b">
        <f>AJ79=L79</f>
        <v>1</v>
      </c>
      <c r="AO79" s="861"/>
      <c r="AP79" s="862"/>
    </row>
    <row r="80" spans="1:42" ht="17.25" customHeight="1">
      <c r="A80" s="427">
        <f t="shared" si="23"/>
        <v>73</v>
      </c>
      <c r="B80" s="461" t="s">
        <v>281</v>
      </c>
      <c r="C80" s="428"/>
      <c r="D80" s="429" t="s">
        <v>263</v>
      </c>
      <c r="E80" s="430"/>
      <c r="F80" s="431"/>
      <c r="G80" s="431">
        <v>9385473.1556000002</v>
      </c>
      <c r="H80" s="431">
        <v>14458.4031</v>
      </c>
      <c r="I80" s="431"/>
      <c r="J80" s="431"/>
      <c r="K80" s="460">
        <v>9.5</v>
      </c>
      <c r="L80" s="433">
        <v>10.09</v>
      </c>
      <c r="M80" s="434">
        <f t="shared" si="20"/>
        <v>9.5</v>
      </c>
      <c r="N80" s="435">
        <f t="shared" si="20"/>
        <v>10.09</v>
      </c>
      <c r="O80" s="436"/>
      <c r="P80" s="437"/>
      <c r="Q80" s="438"/>
      <c r="R80" s="437"/>
      <c r="S80" s="438"/>
      <c r="T80" s="437"/>
      <c r="U80" s="438"/>
      <c r="V80" s="437"/>
      <c r="W80" s="436"/>
      <c r="X80" s="437"/>
      <c r="Y80" s="439">
        <f>K80</f>
        <v>9.5</v>
      </c>
      <c r="Z80" s="437">
        <f>L80</f>
        <v>10.09</v>
      </c>
      <c r="AA80" s="440"/>
      <c r="AB80" s="433"/>
      <c r="AC80" s="325"/>
      <c r="AD80" s="437"/>
      <c r="AE80" s="441"/>
      <c r="AF80" s="442"/>
      <c r="AG80" s="828"/>
      <c r="AH80" s="828"/>
      <c r="AI80" s="443">
        <f t="shared" si="21"/>
        <v>9.5</v>
      </c>
      <c r="AJ80" s="444">
        <f t="shared" si="22"/>
        <v>10.09</v>
      </c>
      <c r="AL80" s="386" t="b">
        <f>AJ80=L80</f>
        <v>1</v>
      </c>
      <c r="AO80" s="861"/>
      <c r="AP80" s="862"/>
    </row>
    <row r="81" spans="1:42" ht="17.25" customHeight="1">
      <c r="A81" s="427">
        <f t="shared" si="23"/>
        <v>74</v>
      </c>
      <c r="B81" s="461" t="s">
        <v>281</v>
      </c>
      <c r="C81" s="428"/>
      <c r="D81" s="429" t="s">
        <v>227</v>
      </c>
      <c r="E81" s="430"/>
      <c r="F81" s="431"/>
      <c r="G81" s="431">
        <v>24253394.98</v>
      </c>
      <c r="H81" s="431">
        <v>20777.1548</v>
      </c>
      <c r="I81" s="431"/>
      <c r="J81" s="431"/>
      <c r="K81" s="460">
        <v>20</v>
      </c>
      <c r="L81" s="433">
        <v>15.1</v>
      </c>
      <c r="M81" s="434">
        <f t="shared" si="20"/>
        <v>0</v>
      </c>
      <c r="N81" s="435">
        <f t="shared" si="20"/>
        <v>0</v>
      </c>
      <c r="O81" s="436"/>
      <c r="P81" s="437"/>
      <c r="Q81" s="438"/>
      <c r="R81" s="437"/>
      <c r="S81" s="438"/>
      <c r="T81" s="437"/>
      <c r="U81" s="438"/>
      <c r="V81" s="437"/>
      <c r="W81" s="436"/>
      <c r="X81" s="437"/>
      <c r="Y81" s="438"/>
      <c r="Z81" s="437"/>
      <c r="AA81" s="440">
        <v>0</v>
      </c>
      <c r="AB81" s="433">
        <v>0</v>
      </c>
      <c r="AC81" s="325"/>
      <c r="AD81" s="437"/>
      <c r="AE81" s="441">
        <v>0</v>
      </c>
      <c r="AF81" s="442">
        <v>0</v>
      </c>
      <c r="AG81" s="828">
        <f>90%*20</f>
        <v>18</v>
      </c>
      <c r="AH81" s="828">
        <f>90%*15.1</f>
        <v>13.59</v>
      </c>
      <c r="AI81" s="443">
        <f t="shared" si="21"/>
        <v>18</v>
      </c>
      <c r="AJ81" s="444">
        <f t="shared" si="22"/>
        <v>13.59</v>
      </c>
      <c r="AK81" s="386" t="s">
        <v>757</v>
      </c>
      <c r="AL81" s="386" t="b">
        <f>AJ81=N81</f>
        <v>0</v>
      </c>
      <c r="AO81" s="861">
        <v>20</v>
      </c>
      <c r="AP81" s="862">
        <v>15.1</v>
      </c>
    </row>
    <row r="82" spans="1:42" ht="17.25" customHeight="1">
      <c r="A82" s="427">
        <f t="shared" si="23"/>
        <v>75</v>
      </c>
      <c r="B82" s="461" t="s">
        <v>282</v>
      </c>
      <c r="C82" s="428"/>
      <c r="D82" s="429" t="s">
        <v>263</v>
      </c>
      <c r="E82" s="430"/>
      <c r="F82" s="431"/>
      <c r="G82" s="431">
        <v>9385473.1556000002</v>
      </c>
      <c r="H82" s="431">
        <v>14458.4031</v>
      </c>
      <c r="I82" s="431"/>
      <c r="J82" s="431"/>
      <c r="K82" s="460">
        <v>9.5</v>
      </c>
      <c r="L82" s="433">
        <v>10.09</v>
      </c>
      <c r="M82" s="434">
        <f t="shared" si="20"/>
        <v>9.5</v>
      </c>
      <c r="N82" s="435">
        <f t="shared" si="20"/>
        <v>10.09</v>
      </c>
      <c r="O82" s="436"/>
      <c r="P82" s="437"/>
      <c r="Q82" s="438"/>
      <c r="R82" s="437"/>
      <c r="S82" s="438"/>
      <c r="T82" s="437"/>
      <c r="U82" s="438"/>
      <c r="V82" s="437"/>
      <c r="W82" s="436"/>
      <c r="X82" s="437"/>
      <c r="Y82" s="439">
        <f>K82</f>
        <v>9.5</v>
      </c>
      <c r="Z82" s="437">
        <f>L82</f>
        <v>10.09</v>
      </c>
      <c r="AA82" s="440"/>
      <c r="AB82" s="433"/>
      <c r="AC82" s="325"/>
      <c r="AD82" s="437"/>
      <c r="AE82" s="441"/>
      <c r="AF82" s="442"/>
      <c r="AG82" s="828"/>
      <c r="AH82" s="828"/>
      <c r="AI82" s="443">
        <f t="shared" si="21"/>
        <v>9.5</v>
      </c>
      <c r="AJ82" s="444">
        <f t="shared" si="22"/>
        <v>10.09</v>
      </c>
      <c r="AL82" s="386" t="b">
        <f>AJ82=L82</f>
        <v>1</v>
      </c>
      <c r="AO82" s="857"/>
      <c r="AP82" s="858"/>
    </row>
    <row r="83" spans="1:42" ht="17.25" customHeight="1">
      <c r="A83" s="427">
        <f t="shared" si="23"/>
        <v>76</v>
      </c>
      <c r="B83" s="461" t="s">
        <v>282</v>
      </c>
      <c r="C83" s="428"/>
      <c r="D83" s="429" t="s">
        <v>227</v>
      </c>
      <c r="E83" s="430"/>
      <c r="F83" s="431"/>
      <c r="G83" s="431">
        <v>24253394.98</v>
      </c>
      <c r="H83" s="431">
        <v>20777.1548</v>
      </c>
      <c r="I83" s="431"/>
      <c r="J83" s="431"/>
      <c r="K83" s="460">
        <v>20</v>
      </c>
      <c r="L83" s="433">
        <v>15.1</v>
      </c>
      <c r="M83" s="434">
        <f t="shared" si="20"/>
        <v>0</v>
      </c>
      <c r="N83" s="435">
        <f t="shared" si="20"/>
        <v>0</v>
      </c>
      <c r="O83" s="436"/>
      <c r="P83" s="437"/>
      <c r="Q83" s="438"/>
      <c r="R83" s="437"/>
      <c r="S83" s="438"/>
      <c r="T83" s="437"/>
      <c r="U83" s="438"/>
      <c r="V83" s="437"/>
      <c r="W83" s="436"/>
      <c r="X83" s="437"/>
      <c r="Y83" s="438"/>
      <c r="Z83" s="437"/>
      <c r="AA83" s="440">
        <v>0</v>
      </c>
      <c r="AB83" s="433">
        <v>0</v>
      </c>
      <c r="AC83" s="325"/>
      <c r="AD83" s="437"/>
      <c r="AE83" s="441">
        <v>0</v>
      </c>
      <c r="AF83" s="442">
        <v>0</v>
      </c>
      <c r="AG83" s="828"/>
      <c r="AH83" s="828"/>
      <c r="AI83" s="443">
        <f t="shared" si="21"/>
        <v>0</v>
      </c>
      <c r="AJ83" s="444">
        <f t="shared" si="22"/>
        <v>0</v>
      </c>
      <c r="AL83" s="386" t="b">
        <f>AJ83=N83</f>
        <v>1</v>
      </c>
      <c r="AO83" s="857"/>
      <c r="AP83" s="858"/>
    </row>
    <row r="84" spans="1:42" ht="17.25" customHeight="1">
      <c r="A84" s="427">
        <f t="shared" si="23"/>
        <v>77</v>
      </c>
      <c r="B84" s="461" t="s">
        <v>283</v>
      </c>
      <c r="C84" s="428"/>
      <c r="D84" s="429" t="s">
        <v>263</v>
      </c>
      <c r="E84" s="430"/>
      <c r="F84" s="431"/>
      <c r="G84" s="431">
        <v>9385473.1556000002</v>
      </c>
      <c r="H84" s="431">
        <v>14458.4031</v>
      </c>
      <c r="I84" s="431"/>
      <c r="J84" s="431"/>
      <c r="K84" s="460">
        <v>9.5</v>
      </c>
      <c r="L84" s="433">
        <v>10.09</v>
      </c>
      <c r="M84" s="434">
        <f t="shared" si="20"/>
        <v>9.5</v>
      </c>
      <c r="N84" s="435">
        <f t="shared" si="20"/>
        <v>10.09</v>
      </c>
      <c r="O84" s="436"/>
      <c r="P84" s="437"/>
      <c r="Q84" s="438"/>
      <c r="R84" s="437"/>
      <c r="S84" s="438"/>
      <c r="T84" s="437"/>
      <c r="U84" s="438"/>
      <c r="V84" s="437"/>
      <c r="W84" s="436"/>
      <c r="X84" s="437"/>
      <c r="Y84" s="439">
        <f>K84</f>
        <v>9.5</v>
      </c>
      <c r="Z84" s="437">
        <f>L84</f>
        <v>10.09</v>
      </c>
      <c r="AA84" s="440"/>
      <c r="AB84" s="433"/>
      <c r="AC84" s="325"/>
      <c r="AD84" s="437"/>
      <c r="AE84" s="441"/>
      <c r="AF84" s="442"/>
      <c r="AG84" s="828"/>
      <c r="AH84" s="828"/>
      <c r="AI84" s="443">
        <f t="shared" si="21"/>
        <v>9.5</v>
      </c>
      <c r="AJ84" s="444">
        <f t="shared" si="22"/>
        <v>10.09</v>
      </c>
      <c r="AL84" s="386" t="b">
        <f>AJ84=L84</f>
        <v>1</v>
      </c>
      <c r="AO84" s="857"/>
      <c r="AP84" s="858"/>
    </row>
    <row r="85" spans="1:42" ht="17.25" customHeight="1">
      <c r="A85" s="427">
        <f t="shared" si="23"/>
        <v>78</v>
      </c>
      <c r="B85" s="461" t="s">
        <v>283</v>
      </c>
      <c r="C85" s="428"/>
      <c r="D85" s="429" t="s">
        <v>227</v>
      </c>
      <c r="E85" s="430"/>
      <c r="F85" s="431"/>
      <c r="G85" s="431">
        <v>24253394.98</v>
      </c>
      <c r="H85" s="431">
        <v>20777.1548</v>
      </c>
      <c r="I85" s="431"/>
      <c r="J85" s="431"/>
      <c r="K85" s="460">
        <v>20</v>
      </c>
      <c r="L85" s="433">
        <v>15.1</v>
      </c>
      <c r="M85" s="434">
        <f t="shared" si="20"/>
        <v>0</v>
      </c>
      <c r="N85" s="435">
        <f t="shared" si="20"/>
        <v>0</v>
      </c>
      <c r="O85" s="436"/>
      <c r="P85" s="437"/>
      <c r="Q85" s="438"/>
      <c r="R85" s="437"/>
      <c r="S85" s="438"/>
      <c r="T85" s="437"/>
      <c r="U85" s="438"/>
      <c r="V85" s="437"/>
      <c r="W85" s="436"/>
      <c r="X85" s="437"/>
      <c r="Y85" s="438"/>
      <c r="Z85" s="437"/>
      <c r="AA85" s="440">
        <v>0</v>
      </c>
      <c r="AB85" s="433">
        <v>0</v>
      </c>
      <c r="AC85" s="325"/>
      <c r="AD85" s="437"/>
      <c r="AE85" s="441">
        <v>0</v>
      </c>
      <c r="AF85" s="442">
        <v>0</v>
      </c>
      <c r="AG85" s="828"/>
      <c r="AH85" s="828"/>
      <c r="AI85" s="443">
        <f t="shared" si="21"/>
        <v>0</v>
      </c>
      <c r="AJ85" s="444">
        <f t="shared" si="22"/>
        <v>0</v>
      </c>
      <c r="AL85" s="386" t="b">
        <f>AJ85=N85</f>
        <v>1</v>
      </c>
      <c r="AO85" s="857"/>
      <c r="AP85" s="858"/>
    </row>
    <row r="86" spans="1:42" ht="17.25" customHeight="1">
      <c r="A86" s="427">
        <f t="shared" si="23"/>
        <v>79</v>
      </c>
      <c r="B86" s="461" t="s">
        <v>283</v>
      </c>
      <c r="C86" s="428"/>
      <c r="D86" s="429" t="s">
        <v>266</v>
      </c>
      <c r="E86" s="430"/>
      <c r="F86" s="431"/>
      <c r="G86" s="431">
        <v>1915615.5715999999</v>
      </c>
      <c r="H86" s="431">
        <v>4553.9687000000004</v>
      </c>
      <c r="I86" s="431"/>
      <c r="J86" s="431"/>
      <c r="K86" s="460">
        <v>1.93</v>
      </c>
      <c r="L86" s="433">
        <v>4.68</v>
      </c>
      <c r="M86" s="434">
        <f t="shared" si="20"/>
        <v>1.93</v>
      </c>
      <c r="N86" s="435">
        <f t="shared" si="20"/>
        <v>4.68</v>
      </c>
      <c r="O86" s="436"/>
      <c r="P86" s="437"/>
      <c r="Q86" s="438"/>
      <c r="R86" s="437"/>
      <c r="S86" s="438"/>
      <c r="T86" s="437"/>
      <c r="U86" s="438"/>
      <c r="V86" s="437"/>
      <c r="W86" s="436"/>
      <c r="X86" s="437"/>
      <c r="Y86" s="439">
        <f>K86</f>
        <v>1.93</v>
      </c>
      <c r="Z86" s="437">
        <f>L86</f>
        <v>4.68</v>
      </c>
      <c r="AA86" s="440"/>
      <c r="AB86" s="433"/>
      <c r="AC86" s="325"/>
      <c r="AD86" s="437"/>
      <c r="AE86" s="441"/>
      <c r="AF86" s="442"/>
      <c r="AG86" s="828"/>
      <c r="AH86" s="828"/>
      <c r="AI86" s="443">
        <f t="shared" si="21"/>
        <v>1.93</v>
      </c>
      <c r="AJ86" s="444">
        <f t="shared" si="22"/>
        <v>4.68</v>
      </c>
      <c r="AL86" s="386" t="b">
        <f>AJ86=L86</f>
        <v>1</v>
      </c>
      <c r="AO86" s="857"/>
      <c r="AP86" s="858"/>
    </row>
    <row r="87" spans="1:42" ht="17.25" customHeight="1">
      <c r="A87" s="427">
        <f t="shared" si="23"/>
        <v>80</v>
      </c>
      <c r="B87" s="461" t="s">
        <v>284</v>
      </c>
      <c r="C87" s="428"/>
      <c r="D87" s="429" t="s">
        <v>263</v>
      </c>
      <c r="E87" s="430"/>
      <c r="F87" s="431"/>
      <c r="G87" s="431">
        <v>9385473.1556000002</v>
      </c>
      <c r="H87" s="431">
        <v>14458.4031</v>
      </c>
      <c r="I87" s="431"/>
      <c r="J87" s="431"/>
      <c r="K87" s="460">
        <v>9.5</v>
      </c>
      <c r="L87" s="433">
        <v>10.09</v>
      </c>
      <c r="M87" s="434">
        <f t="shared" si="20"/>
        <v>0</v>
      </c>
      <c r="N87" s="435">
        <f t="shared" si="20"/>
        <v>0</v>
      </c>
      <c r="O87" s="436"/>
      <c r="P87" s="437"/>
      <c r="Q87" s="438"/>
      <c r="R87" s="437"/>
      <c r="S87" s="438"/>
      <c r="T87" s="437"/>
      <c r="U87" s="438"/>
      <c r="V87" s="437"/>
      <c r="W87" s="436"/>
      <c r="X87" s="437"/>
      <c r="Y87" s="438"/>
      <c r="Z87" s="437"/>
      <c r="AA87" s="440">
        <v>0</v>
      </c>
      <c r="AB87" s="433">
        <v>0</v>
      </c>
      <c r="AC87" s="325"/>
      <c r="AD87" s="437"/>
      <c r="AE87" s="441">
        <v>0</v>
      </c>
      <c r="AF87" s="442">
        <v>0</v>
      </c>
      <c r="AG87" s="828"/>
      <c r="AH87" s="828"/>
      <c r="AI87" s="443">
        <f t="shared" si="21"/>
        <v>0</v>
      </c>
      <c r="AJ87" s="444">
        <f t="shared" si="22"/>
        <v>0</v>
      </c>
      <c r="AL87" s="386" t="b">
        <f t="shared" ref="AL87:AL96" si="24">AJ87=N87</f>
        <v>1</v>
      </c>
      <c r="AO87" s="857"/>
      <c r="AP87" s="858"/>
    </row>
    <row r="88" spans="1:42" ht="17.25" customHeight="1">
      <c r="A88" s="427">
        <f t="shared" si="23"/>
        <v>81</v>
      </c>
      <c r="B88" s="461" t="s">
        <v>284</v>
      </c>
      <c r="C88" s="428"/>
      <c r="D88" s="429" t="s">
        <v>227</v>
      </c>
      <c r="E88" s="430"/>
      <c r="F88" s="431"/>
      <c r="G88" s="431">
        <v>24253394.98</v>
      </c>
      <c r="H88" s="431">
        <v>20777.1548</v>
      </c>
      <c r="I88" s="431"/>
      <c r="J88" s="431"/>
      <c r="K88" s="460">
        <v>20</v>
      </c>
      <c r="L88" s="433">
        <v>15.1</v>
      </c>
      <c r="M88" s="434">
        <f t="shared" si="20"/>
        <v>0</v>
      </c>
      <c r="N88" s="435">
        <f t="shared" si="20"/>
        <v>0</v>
      </c>
      <c r="O88" s="436"/>
      <c r="P88" s="437"/>
      <c r="Q88" s="438"/>
      <c r="R88" s="437"/>
      <c r="S88" s="438"/>
      <c r="T88" s="437"/>
      <c r="U88" s="438"/>
      <c r="V88" s="437"/>
      <c r="W88" s="436"/>
      <c r="X88" s="437"/>
      <c r="Y88" s="438"/>
      <c r="Z88" s="437"/>
      <c r="AA88" s="440">
        <v>0</v>
      </c>
      <c r="AB88" s="433">
        <v>0</v>
      </c>
      <c r="AC88" s="325"/>
      <c r="AD88" s="437"/>
      <c r="AE88" s="441">
        <v>0</v>
      </c>
      <c r="AF88" s="442">
        <v>0</v>
      </c>
      <c r="AG88" s="828"/>
      <c r="AH88" s="828"/>
      <c r="AI88" s="443">
        <f t="shared" si="21"/>
        <v>0</v>
      </c>
      <c r="AJ88" s="444">
        <f t="shared" si="22"/>
        <v>0</v>
      </c>
      <c r="AL88" s="386" t="b">
        <f t="shared" si="24"/>
        <v>1</v>
      </c>
      <c r="AO88" s="857"/>
      <c r="AP88" s="858"/>
    </row>
    <row r="89" spans="1:42" ht="17.25" customHeight="1">
      <c r="A89" s="427">
        <f t="shared" si="23"/>
        <v>82</v>
      </c>
      <c r="B89" s="461" t="s">
        <v>284</v>
      </c>
      <c r="C89" s="428"/>
      <c r="D89" s="429" t="s">
        <v>266</v>
      </c>
      <c r="E89" s="430"/>
      <c r="F89" s="431"/>
      <c r="G89" s="431">
        <v>1915615.5715999999</v>
      </c>
      <c r="H89" s="431">
        <v>4553.9687000000004</v>
      </c>
      <c r="I89" s="431"/>
      <c r="J89" s="431"/>
      <c r="K89" s="460">
        <f>G89/1000000</f>
        <v>1.9156155715999998</v>
      </c>
      <c r="L89" s="433">
        <f>H89/1000</f>
        <v>4.5539687000000004</v>
      </c>
      <c r="M89" s="434">
        <f t="shared" si="20"/>
        <v>0</v>
      </c>
      <c r="N89" s="435">
        <f t="shared" si="20"/>
        <v>0</v>
      </c>
      <c r="O89" s="436"/>
      <c r="P89" s="437"/>
      <c r="Q89" s="438"/>
      <c r="R89" s="437"/>
      <c r="S89" s="438"/>
      <c r="T89" s="437"/>
      <c r="U89" s="438"/>
      <c r="V89" s="437"/>
      <c r="W89" s="436"/>
      <c r="X89" s="437"/>
      <c r="Y89" s="438"/>
      <c r="Z89" s="437"/>
      <c r="AA89" s="440">
        <v>0</v>
      </c>
      <c r="AB89" s="433">
        <v>0</v>
      </c>
      <c r="AC89" s="325"/>
      <c r="AD89" s="437"/>
      <c r="AE89" s="441">
        <v>0</v>
      </c>
      <c r="AF89" s="442">
        <v>0</v>
      </c>
      <c r="AG89" s="828"/>
      <c r="AH89" s="828"/>
      <c r="AI89" s="443">
        <f t="shared" si="21"/>
        <v>0</v>
      </c>
      <c r="AJ89" s="444">
        <f t="shared" si="22"/>
        <v>0</v>
      </c>
      <c r="AL89" s="386" t="b">
        <f t="shared" si="24"/>
        <v>1</v>
      </c>
      <c r="AO89" s="857"/>
      <c r="AP89" s="858"/>
    </row>
    <row r="90" spans="1:42" ht="17.25" customHeight="1">
      <c r="A90" s="427">
        <f t="shared" si="23"/>
        <v>83</v>
      </c>
      <c r="B90" s="461" t="s">
        <v>285</v>
      </c>
      <c r="C90" s="428"/>
      <c r="D90" s="429" t="s">
        <v>263</v>
      </c>
      <c r="E90" s="430"/>
      <c r="F90" s="431"/>
      <c r="G90" s="431">
        <v>9385473.1556000002</v>
      </c>
      <c r="H90" s="431">
        <v>14458.4031</v>
      </c>
      <c r="I90" s="431"/>
      <c r="J90" s="431"/>
      <c r="K90" s="460">
        <v>9.5</v>
      </c>
      <c r="L90" s="433">
        <v>10.09</v>
      </c>
      <c r="M90" s="434">
        <f t="shared" si="20"/>
        <v>0</v>
      </c>
      <c r="N90" s="435">
        <f t="shared" si="20"/>
        <v>0</v>
      </c>
      <c r="O90" s="436"/>
      <c r="P90" s="437"/>
      <c r="Q90" s="438"/>
      <c r="R90" s="437"/>
      <c r="S90" s="438"/>
      <c r="T90" s="437"/>
      <c r="U90" s="438"/>
      <c r="V90" s="437"/>
      <c r="W90" s="436"/>
      <c r="X90" s="437"/>
      <c r="Y90" s="438"/>
      <c r="Z90" s="437"/>
      <c r="AA90" s="440">
        <v>0</v>
      </c>
      <c r="AB90" s="433">
        <v>0</v>
      </c>
      <c r="AC90" s="325"/>
      <c r="AD90" s="437"/>
      <c r="AE90" s="441">
        <v>0</v>
      </c>
      <c r="AF90" s="442">
        <v>0</v>
      </c>
      <c r="AG90" s="828"/>
      <c r="AH90" s="828"/>
      <c r="AI90" s="443">
        <f t="shared" si="21"/>
        <v>0</v>
      </c>
      <c r="AJ90" s="444">
        <f t="shared" si="22"/>
        <v>0</v>
      </c>
      <c r="AL90" s="386" t="b">
        <f t="shared" si="24"/>
        <v>1</v>
      </c>
      <c r="AO90" s="857"/>
      <c r="AP90" s="858"/>
    </row>
    <row r="91" spans="1:42" ht="17.25" customHeight="1">
      <c r="A91" s="427">
        <f t="shared" si="23"/>
        <v>84</v>
      </c>
      <c r="B91" s="461" t="s">
        <v>285</v>
      </c>
      <c r="C91" s="428"/>
      <c r="D91" s="429" t="s">
        <v>227</v>
      </c>
      <c r="E91" s="430"/>
      <c r="F91" s="431"/>
      <c r="G91" s="431">
        <v>24253394.98</v>
      </c>
      <c r="H91" s="431">
        <v>20777.1548</v>
      </c>
      <c r="I91" s="431"/>
      <c r="J91" s="431"/>
      <c r="K91" s="460">
        <v>20</v>
      </c>
      <c r="L91" s="433">
        <v>15.1</v>
      </c>
      <c r="M91" s="434">
        <f t="shared" si="20"/>
        <v>0</v>
      </c>
      <c r="N91" s="435">
        <f t="shared" si="20"/>
        <v>0</v>
      </c>
      <c r="O91" s="436"/>
      <c r="P91" s="437"/>
      <c r="Q91" s="438"/>
      <c r="R91" s="437"/>
      <c r="S91" s="438"/>
      <c r="T91" s="437"/>
      <c r="U91" s="438"/>
      <c r="V91" s="437"/>
      <c r="W91" s="436"/>
      <c r="X91" s="437"/>
      <c r="Y91" s="438"/>
      <c r="Z91" s="437"/>
      <c r="AA91" s="440">
        <v>0</v>
      </c>
      <c r="AB91" s="433">
        <v>0</v>
      </c>
      <c r="AC91" s="325"/>
      <c r="AD91" s="437"/>
      <c r="AE91" s="441">
        <v>0</v>
      </c>
      <c r="AF91" s="442">
        <v>0</v>
      </c>
      <c r="AG91" s="828"/>
      <c r="AH91" s="828"/>
      <c r="AI91" s="443">
        <f t="shared" si="21"/>
        <v>0</v>
      </c>
      <c r="AJ91" s="444">
        <f t="shared" si="22"/>
        <v>0</v>
      </c>
      <c r="AL91" s="386" t="b">
        <f t="shared" si="24"/>
        <v>1</v>
      </c>
      <c r="AO91" s="857"/>
      <c r="AP91" s="858"/>
    </row>
    <row r="92" spans="1:42" ht="17.25" customHeight="1">
      <c r="A92" s="427">
        <f t="shared" si="23"/>
        <v>85</v>
      </c>
      <c r="B92" s="461" t="s">
        <v>285</v>
      </c>
      <c r="C92" s="428"/>
      <c r="D92" s="429" t="s">
        <v>266</v>
      </c>
      <c r="E92" s="430"/>
      <c r="F92" s="431"/>
      <c r="G92" s="431">
        <v>1915615.5715999999</v>
      </c>
      <c r="H92" s="431">
        <v>4553.9687000000004</v>
      </c>
      <c r="I92" s="431"/>
      <c r="J92" s="431"/>
      <c r="K92" s="460">
        <f>G92/1000000</f>
        <v>1.9156155715999998</v>
      </c>
      <c r="L92" s="433">
        <f>H92/1000</f>
        <v>4.5539687000000004</v>
      </c>
      <c r="M92" s="434">
        <f t="shared" si="20"/>
        <v>0</v>
      </c>
      <c r="N92" s="435">
        <f t="shared" si="20"/>
        <v>0</v>
      </c>
      <c r="O92" s="436"/>
      <c r="P92" s="437"/>
      <c r="Q92" s="438"/>
      <c r="R92" s="437"/>
      <c r="S92" s="438"/>
      <c r="T92" s="437"/>
      <c r="U92" s="438"/>
      <c r="V92" s="437"/>
      <c r="W92" s="436"/>
      <c r="X92" s="437"/>
      <c r="Y92" s="438"/>
      <c r="Z92" s="437"/>
      <c r="AA92" s="440">
        <v>0</v>
      </c>
      <c r="AB92" s="433">
        <v>0</v>
      </c>
      <c r="AC92" s="325"/>
      <c r="AD92" s="437"/>
      <c r="AE92" s="441">
        <v>0</v>
      </c>
      <c r="AF92" s="442">
        <v>0</v>
      </c>
      <c r="AG92" s="828"/>
      <c r="AH92" s="828"/>
      <c r="AI92" s="443">
        <f t="shared" si="21"/>
        <v>0</v>
      </c>
      <c r="AJ92" s="444">
        <f t="shared" si="22"/>
        <v>0</v>
      </c>
      <c r="AL92" s="386" t="b">
        <f t="shared" si="24"/>
        <v>1</v>
      </c>
      <c r="AO92" s="857"/>
      <c r="AP92" s="858"/>
    </row>
    <row r="93" spans="1:42" ht="17.25" customHeight="1">
      <c r="A93" s="427">
        <f t="shared" si="23"/>
        <v>86</v>
      </c>
      <c r="B93" s="461" t="s">
        <v>286</v>
      </c>
      <c r="C93" s="428"/>
      <c r="D93" s="429" t="s">
        <v>263</v>
      </c>
      <c r="E93" s="430"/>
      <c r="F93" s="431"/>
      <c r="G93" s="431">
        <v>9385473.1556000002</v>
      </c>
      <c r="H93" s="431">
        <v>14458.4031</v>
      </c>
      <c r="I93" s="431"/>
      <c r="J93" s="431"/>
      <c r="K93" s="460">
        <v>9.5</v>
      </c>
      <c r="L93" s="433">
        <v>10.09</v>
      </c>
      <c r="M93" s="434">
        <f t="shared" si="20"/>
        <v>0</v>
      </c>
      <c r="N93" s="435">
        <f t="shared" si="20"/>
        <v>0</v>
      </c>
      <c r="O93" s="436"/>
      <c r="P93" s="437"/>
      <c r="Q93" s="438"/>
      <c r="R93" s="437"/>
      <c r="S93" s="438"/>
      <c r="T93" s="437"/>
      <c r="U93" s="438"/>
      <c r="V93" s="437"/>
      <c r="W93" s="436"/>
      <c r="X93" s="437"/>
      <c r="Y93" s="438"/>
      <c r="Z93" s="437"/>
      <c r="AA93" s="440">
        <v>0</v>
      </c>
      <c r="AB93" s="433">
        <v>0</v>
      </c>
      <c r="AC93" s="325"/>
      <c r="AD93" s="437"/>
      <c r="AE93" s="441">
        <v>0</v>
      </c>
      <c r="AF93" s="442">
        <v>0</v>
      </c>
      <c r="AG93" s="828"/>
      <c r="AH93" s="828"/>
      <c r="AI93" s="443">
        <f t="shared" si="21"/>
        <v>0</v>
      </c>
      <c r="AJ93" s="444">
        <f t="shared" si="22"/>
        <v>0</v>
      </c>
      <c r="AL93" s="386" t="b">
        <f t="shared" si="24"/>
        <v>1</v>
      </c>
      <c r="AO93" s="857"/>
      <c r="AP93" s="858"/>
    </row>
    <row r="94" spans="1:42" ht="17.25" customHeight="1">
      <c r="A94" s="427">
        <f t="shared" si="23"/>
        <v>87</v>
      </c>
      <c r="B94" s="461" t="s">
        <v>286</v>
      </c>
      <c r="C94" s="428"/>
      <c r="D94" s="429" t="s">
        <v>227</v>
      </c>
      <c r="E94" s="430"/>
      <c r="F94" s="431"/>
      <c r="G94" s="431">
        <v>24253394.98</v>
      </c>
      <c r="H94" s="431">
        <v>20777.1548</v>
      </c>
      <c r="I94" s="431"/>
      <c r="J94" s="431"/>
      <c r="K94" s="460">
        <v>20</v>
      </c>
      <c r="L94" s="433">
        <v>15.1</v>
      </c>
      <c r="M94" s="434">
        <f t="shared" si="20"/>
        <v>0</v>
      </c>
      <c r="N94" s="435">
        <f t="shared" si="20"/>
        <v>0</v>
      </c>
      <c r="O94" s="436"/>
      <c r="P94" s="437"/>
      <c r="Q94" s="438"/>
      <c r="R94" s="437"/>
      <c r="S94" s="438"/>
      <c r="T94" s="437"/>
      <c r="U94" s="438"/>
      <c r="V94" s="437"/>
      <c r="W94" s="436"/>
      <c r="X94" s="437"/>
      <c r="Y94" s="438"/>
      <c r="Z94" s="437"/>
      <c r="AA94" s="440">
        <v>0</v>
      </c>
      <c r="AB94" s="433">
        <v>0</v>
      </c>
      <c r="AC94" s="325"/>
      <c r="AD94" s="437"/>
      <c r="AE94" s="441">
        <v>0</v>
      </c>
      <c r="AF94" s="442">
        <v>0</v>
      </c>
      <c r="AG94" s="828"/>
      <c r="AH94" s="828"/>
      <c r="AI94" s="443">
        <f t="shared" si="21"/>
        <v>0</v>
      </c>
      <c r="AJ94" s="444">
        <f t="shared" si="22"/>
        <v>0</v>
      </c>
      <c r="AL94" s="386" t="b">
        <f t="shared" si="24"/>
        <v>1</v>
      </c>
      <c r="AO94" s="857"/>
      <c r="AP94" s="858"/>
    </row>
    <row r="95" spans="1:42" ht="17.25" customHeight="1">
      <c r="A95" s="427">
        <f t="shared" si="23"/>
        <v>88</v>
      </c>
      <c r="B95" s="461" t="s">
        <v>287</v>
      </c>
      <c r="C95" s="428"/>
      <c r="D95" s="429" t="s">
        <v>263</v>
      </c>
      <c r="E95" s="430"/>
      <c r="F95" s="431"/>
      <c r="G95" s="431">
        <v>9385473.1556000002</v>
      </c>
      <c r="H95" s="431">
        <v>14458.4031</v>
      </c>
      <c r="I95" s="431"/>
      <c r="J95" s="431"/>
      <c r="K95" s="460">
        <v>9.5</v>
      </c>
      <c r="L95" s="433">
        <v>10.09</v>
      </c>
      <c r="M95" s="434">
        <f t="shared" si="20"/>
        <v>0</v>
      </c>
      <c r="N95" s="435">
        <f t="shared" si="20"/>
        <v>0</v>
      </c>
      <c r="O95" s="462"/>
      <c r="P95" s="463"/>
      <c r="Q95" s="464"/>
      <c r="R95" s="463"/>
      <c r="S95" s="464"/>
      <c r="T95" s="463"/>
      <c r="U95" s="464"/>
      <c r="V95" s="463"/>
      <c r="W95" s="462"/>
      <c r="X95" s="463"/>
      <c r="Y95" s="464"/>
      <c r="Z95" s="463"/>
      <c r="AA95" s="465"/>
      <c r="AB95" s="466"/>
      <c r="AC95" s="467"/>
      <c r="AD95" s="463"/>
      <c r="AE95" s="468"/>
      <c r="AF95" s="469"/>
      <c r="AG95" s="829"/>
      <c r="AH95" s="829"/>
      <c r="AI95" s="443">
        <f t="shared" si="21"/>
        <v>0</v>
      </c>
      <c r="AJ95" s="444">
        <f t="shared" si="22"/>
        <v>0</v>
      </c>
      <c r="AL95" s="386" t="b">
        <f t="shared" si="24"/>
        <v>1</v>
      </c>
      <c r="AO95" s="857"/>
      <c r="AP95" s="858"/>
    </row>
    <row r="96" spans="1:42" ht="15" thickBot="1">
      <c r="A96" s="470">
        <f t="shared" si="23"/>
        <v>89</v>
      </c>
      <c r="B96" s="471" t="s">
        <v>287</v>
      </c>
      <c r="C96" s="472"/>
      <c r="D96" s="473" t="s">
        <v>227</v>
      </c>
      <c r="E96" s="474"/>
      <c r="F96" s="475"/>
      <c r="G96" s="475">
        <v>24253394.98</v>
      </c>
      <c r="H96" s="475">
        <v>20777.1548</v>
      </c>
      <c r="I96" s="475"/>
      <c r="J96" s="475"/>
      <c r="K96" s="476">
        <v>20</v>
      </c>
      <c r="L96" s="477">
        <v>15.1</v>
      </c>
      <c r="M96" s="478">
        <f t="shared" si="20"/>
        <v>0</v>
      </c>
      <c r="N96" s="479">
        <f t="shared" si="20"/>
        <v>0</v>
      </c>
      <c r="O96" s="480"/>
      <c r="P96" s="481"/>
      <c r="Q96" s="482"/>
      <c r="R96" s="481"/>
      <c r="S96" s="482"/>
      <c r="T96" s="481"/>
      <c r="U96" s="482"/>
      <c r="V96" s="481"/>
      <c r="W96" s="480"/>
      <c r="X96" s="481"/>
      <c r="Y96" s="482"/>
      <c r="Z96" s="481"/>
      <c r="AA96" s="483">
        <v>0</v>
      </c>
      <c r="AB96" s="477">
        <v>0</v>
      </c>
      <c r="AC96" s="484"/>
      <c r="AD96" s="481"/>
      <c r="AE96" s="485">
        <v>0</v>
      </c>
      <c r="AF96" s="486">
        <v>0</v>
      </c>
      <c r="AG96" s="830"/>
      <c r="AH96" s="830"/>
      <c r="AI96" s="443">
        <f t="shared" si="21"/>
        <v>0</v>
      </c>
      <c r="AJ96" s="444">
        <f t="shared" si="22"/>
        <v>0</v>
      </c>
      <c r="AL96" s="386" t="b">
        <f t="shared" si="24"/>
        <v>1</v>
      </c>
      <c r="AO96" s="859"/>
      <c r="AP96" s="860"/>
    </row>
    <row r="97" spans="1:36" ht="30" customHeight="1" thickBot="1">
      <c r="A97" s="1001" t="s">
        <v>288</v>
      </c>
      <c r="B97" s="1002"/>
      <c r="C97" s="1002"/>
      <c r="D97" s="1003"/>
      <c r="E97" s="487"/>
      <c r="F97" s="488"/>
      <c r="G97" s="488"/>
      <c r="H97" s="488"/>
      <c r="I97" s="488"/>
      <c r="J97" s="488"/>
      <c r="K97" s="489">
        <f>SUM(K7:K96)</f>
        <v>1547.7687635926004</v>
      </c>
      <c r="L97" s="490">
        <f t="shared" ref="L97:AH97" si="25">SUM(L7:L96)</f>
        <v>1326.9566889999987</v>
      </c>
      <c r="M97" s="492">
        <f>SUM(M7:M96)</f>
        <v>878.31262220499968</v>
      </c>
      <c r="N97" s="491">
        <f t="shared" si="25"/>
        <v>773.15261799999996</v>
      </c>
      <c r="O97" s="492">
        <f t="shared" si="25"/>
        <v>0</v>
      </c>
      <c r="P97" s="493">
        <f t="shared" si="25"/>
        <v>0</v>
      </c>
      <c r="Q97" s="492">
        <f t="shared" si="25"/>
        <v>0</v>
      </c>
      <c r="R97" s="493">
        <f t="shared" si="25"/>
        <v>0</v>
      </c>
      <c r="S97" s="492">
        <f t="shared" si="25"/>
        <v>0</v>
      </c>
      <c r="T97" s="493">
        <f t="shared" si="25"/>
        <v>0</v>
      </c>
      <c r="U97" s="492">
        <f t="shared" ref="U97:AD97" si="26">SUM(U7:U96)</f>
        <v>341.50688035779996</v>
      </c>
      <c r="V97" s="493">
        <f t="shared" si="26"/>
        <v>255.64196630000001</v>
      </c>
      <c r="W97" s="492">
        <f t="shared" si="26"/>
        <v>89.330254579000012</v>
      </c>
      <c r="X97" s="493">
        <f t="shared" si="26"/>
        <v>233.86620400000007</v>
      </c>
      <c r="Y97" s="492">
        <f t="shared" si="26"/>
        <v>295.84630737760006</v>
      </c>
      <c r="Z97" s="493">
        <f t="shared" si="26"/>
        <v>121.54817680000002</v>
      </c>
      <c r="AA97" s="492">
        <f t="shared" si="26"/>
        <v>139.33917989060001</v>
      </c>
      <c r="AB97" s="493">
        <f t="shared" si="26"/>
        <v>148.5462709</v>
      </c>
      <c r="AC97" s="492">
        <f t="shared" si="26"/>
        <v>12.29</v>
      </c>
      <c r="AD97" s="493">
        <f t="shared" si="26"/>
        <v>13.55</v>
      </c>
      <c r="AE97" s="494">
        <f t="shared" si="25"/>
        <v>100</v>
      </c>
      <c r="AF97" s="495">
        <f t="shared" si="25"/>
        <v>75.5</v>
      </c>
      <c r="AG97" s="494">
        <f t="shared" si="25"/>
        <v>186.626</v>
      </c>
      <c r="AH97" s="495">
        <f t="shared" si="25"/>
        <v>146.45484020000001</v>
      </c>
      <c r="AI97" s="846">
        <f t="shared" si="21"/>
        <v>1164.938622205</v>
      </c>
      <c r="AJ97" s="847">
        <f t="shared" si="22"/>
        <v>995.10745820000011</v>
      </c>
    </row>
    <row r="98" spans="1:36">
      <c r="M98" s="386" t="s">
        <v>0</v>
      </c>
      <c r="O98" s="386" t="s">
        <v>0</v>
      </c>
      <c r="AF98" s="386" t="s">
        <v>757</v>
      </c>
      <c r="AG98" s="850">
        <f>AG81+AG78+AG76+AG73+AG38+AG28</f>
        <v>88.956000000000003</v>
      </c>
      <c r="AH98" s="850">
        <f>AH81+AH78+AH76+AH73+AH38+AH28</f>
        <v>72.441000000000003</v>
      </c>
      <c r="AJ98" s="386">
        <v>922.67</v>
      </c>
    </row>
    <row r="99" spans="1:36">
      <c r="O99" s="386" t="s">
        <v>0</v>
      </c>
      <c r="AE99" s="498" t="s">
        <v>0</v>
      </c>
      <c r="AF99" s="498" t="s">
        <v>780</v>
      </c>
      <c r="AG99" s="498">
        <f>AG97-AG98</f>
        <v>97.67</v>
      </c>
      <c r="AH99" s="921">
        <f>AH97-AH98</f>
        <v>74.013840200000004</v>
      </c>
    </row>
    <row r="100" spans="1:36">
      <c r="O100" s="386" t="s">
        <v>0</v>
      </c>
    </row>
    <row r="101" spans="1:36">
      <c r="O101" s="386" t="s">
        <v>0</v>
      </c>
    </row>
    <row r="102" spans="1:36">
      <c r="O102" s="386" t="s">
        <v>0</v>
      </c>
    </row>
    <row r="193" spans="24:24">
      <c r="X193" s="497">
        <f>SUM(X7:X192)-X56-X34</f>
        <v>463.05240800000013</v>
      </c>
    </row>
  </sheetData>
  <autoFilter ref="A6:AL97" xr:uid="{6D22365D-64C3-4CA4-9F26-0758BE700598}"/>
  <mergeCells count="14">
    <mergeCell ref="AE5:AF5"/>
    <mergeCell ref="AI5:AJ5"/>
    <mergeCell ref="A5:D5"/>
    <mergeCell ref="M5:N5"/>
    <mergeCell ref="O5:P5"/>
    <mergeCell ref="Q5:R5"/>
    <mergeCell ref="S5:T5"/>
    <mergeCell ref="U5:V5"/>
    <mergeCell ref="AG5:AH5"/>
    <mergeCell ref="A97:D97"/>
    <mergeCell ref="W5:X5"/>
    <mergeCell ref="Y5:Z5"/>
    <mergeCell ref="AA5:AB5"/>
    <mergeCell ref="AC5:AD5"/>
  </mergeCells>
  <pageMargins left="0.7" right="0.7" top="0.75" bottom="0.75" header="0.3" footer="0.3"/>
  <pageSetup scale="27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CA75-829F-4C48-8D61-84D0777536C7}">
  <sheetPr>
    <pageSetUpPr fitToPage="1"/>
  </sheetPr>
  <dimension ref="A1:J17"/>
  <sheetViews>
    <sheetView topLeftCell="A13" zoomScale="75" zoomScaleNormal="75" workbookViewId="0">
      <selection activeCell="H16" sqref="H16"/>
    </sheetView>
  </sheetViews>
  <sheetFormatPr defaultRowHeight="14.4"/>
  <cols>
    <col min="1" max="1" width="8.6640625" customWidth="1"/>
    <col min="2" max="2" width="43.44140625" customWidth="1"/>
    <col min="3" max="3" width="13.33203125" customWidth="1"/>
    <col min="4" max="4" width="14.44140625" customWidth="1"/>
    <col min="5" max="5" width="18" customWidth="1"/>
    <col min="6" max="6" width="34.109375" customWidth="1"/>
    <col min="7" max="7" width="31.44140625" customWidth="1"/>
    <col min="8" max="8" width="26.5546875" customWidth="1"/>
    <col min="9" max="9" width="21.6640625" customWidth="1"/>
    <col min="10" max="10" width="21.33203125" customWidth="1"/>
    <col min="11" max="11" width="20" customWidth="1"/>
  </cols>
  <sheetData>
    <row r="1" spans="1:10" ht="24" customHeight="1">
      <c r="A1" s="342" t="s">
        <v>185</v>
      </c>
      <c r="B1" s="342"/>
      <c r="C1" s="342"/>
      <c r="D1" s="343"/>
    </row>
    <row r="2" spans="1:10" ht="24" customHeight="1">
      <c r="A2" s="342" t="s">
        <v>162</v>
      </c>
      <c r="B2" s="342"/>
      <c r="C2" s="342"/>
      <c r="D2" s="343"/>
    </row>
    <row r="3" spans="1:10" ht="24" customHeight="1">
      <c r="A3" s="342" t="s">
        <v>163</v>
      </c>
      <c r="B3" s="342"/>
      <c r="C3" s="342"/>
      <c r="D3" s="343"/>
    </row>
    <row r="4" spans="1:10" ht="24" customHeight="1" thickBot="1">
      <c r="A4" s="342" t="s">
        <v>194</v>
      </c>
      <c r="B4" s="342"/>
      <c r="C4" s="342"/>
      <c r="D4" s="343"/>
    </row>
    <row r="5" spans="1:10" ht="18.600000000000001" customHeight="1" thickBot="1">
      <c r="A5" s="1017" t="s">
        <v>186</v>
      </c>
      <c r="B5" s="1020" t="s">
        <v>2</v>
      </c>
      <c r="C5" s="1023" t="s">
        <v>187</v>
      </c>
      <c r="D5" s="1024"/>
      <c r="E5" s="1025" t="s">
        <v>188</v>
      </c>
      <c r="F5" s="1026"/>
      <c r="G5" s="1026"/>
      <c r="H5" s="1026"/>
      <c r="I5" s="1027"/>
    </row>
    <row r="6" spans="1:10" ht="22.2" customHeight="1">
      <c r="A6" s="1018"/>
      <c r="B6" s="1021"/>
      <c r="C6" s="344"/>
      <c r="D6" s="345"/>
      <c r="E6" s="1028" t="s">
        <v>189</v>
      </c>
      <c r="F6" s="1029"/>
      <c r="G6" s="1029"/>
      <c r="H6" s="1029"/>
      <c r="I6" s="1030"/>
    </row>
    <row r="7" spans="1:10" ht="27" customHeight="1" thickBot="1">
      <c r="A7" s="1019"/>
      <c r="B7" s="1022"/>
      <c r="C7" s="346" t="s">
        <v>190</v>
      </c>
      <c r="D7" s="347" t="s">
        <v>9</v>
      </c>
      <c r="E7" s="348" t="s">
        <v>191</v>
      </c>
      <c r="F7" s="349">
        <v>44956</v>
      </c>
      <c r="G7" s="350">
        <v>44985</v>
      </c>
      <c r="H7" s="350">
        <v>45016</v>
      </c>
      <c r="I7" s="351" t="s">
        <v>192</v>
      </c>
    </row>
    <row r="8" spans="1:10" ht="15" thickBot="1">
      <c r="A8" s="352"/>
      <c r="B8" s="353"/>
      <c r="C8" s="354"/>
      <c r="D8" s="353"/>
      <c r="E8" s="355"/>
      <c r="F8" s="356"/>
      <c r="G8" s="355"/>
      <c r="H8" s="355"/>
      <c r="I8" s="357"/>
    </row>
    <row r="9" spans="1:10">
      <c r="A9" s="358" t="s">
        <v>0</v>
      </c>
      <c r="B9" s="299" t="s">
        <v>144</v>
      </c>
      <c r="C9" s="359"/>
      <c r="D9" s="360"/>
      <c r="E9" s="361"/>
      <c r="F9" s="362"/>
      <c r="G9" s="361"/>
      <c r="H9" s="361"/>
      <c r="I9" s="363"/>
    </row>
    <row r="10" spans="1:10" ht="59.4" customHeight="1">
      <c r="A10" s="364">
        <v>1</v>
      </c>
      <c r="B10" s="365" t="s">
        <v>145</v>
      </c>
      <c r="C10" s="366">
        <v>12000</v>
      </c>
      <c r="D10" s="367" t="s">
        <v>193</v>
      </c>
      <c r="E10" s="368">
        <v>0</v>
      </c>
      <c r="F10" s="369">
        <f>'[1]Carpark Detailed calculation'!G16</f>
        <v>2097.0099999999998</v>
      </c>
      <c r="G10" s="370">
        <f>'CARPARK Detailed calculation'!G39</f>
        <v>4518.9399999999996</v>
      </c>
      <c r="H10" s="370">
        <f>3196.75*90%</f>
        <v>2877.0750000000003</v>
      </c>
      <c r="I10" s="371">
        <f>H10+G10+F10</f>
        <v>9493.0249999999996</v>
      </c>
    </row>
    <row r="11" spans="1:10" ht="59.4" customHeight="1">
      <c r="A11" s="372">
        <v>2</v>
      </c>
      <c r="B11" s="373" t="s">
        <v>146</v>
      </c>
      <c r="C11" s="374">
        <v>1530</v>
      </c>
      <c r="D11" s="367" t="s">
        <v>193</v>
      </c>
      <c r="E11" s="368">
        <v>0</v>
      </c>
      <c r="F11" s="375">
        <v>0</v>
      </c>
      <c r="G11" s="376"/>
      <c r="H11" s="376"/>
      <c r="I11" s="371">
        <f t="shared" ref="I11:I17" si="0">H11+G11+F11</f>
        <v>0</v>
      </c>
    </row>
    <row r="12" spans="1:10" ht="59.4" customHeight="1">
      <c r="A12" s="372">
        <v>3</v>
      </c>
      <c r="B12" s="373" t="s">
        <v>147</v>
      </c>
      <c r="C12" s="374">
        <v>8000</v>
      </c>
      <c r="D12" s="367" t="s">
        <v>193</v>
      </c>
      <c r="E12" s="368">
        <v>0</v>
      </c>
      <c r="F12" s="375">
        <f>'[1]Carpark Detailed calculation'!G8+'[1]Carpark Detailed calculation'!G12</f>
        <v>1160.76</v>
      </c>
      <c r="G12" s="376">
        <f>'CARPARK Detailed calculation'!G7+'CARPARK Detailed calculation'!G11+'CARPARK Detailed calculation'!G15</f>
        <v>865.94</v>
      </c>
      <c r="H12" s="376">
        <v>1970.4999999999998</v>
      </c>
      <c r="I12" s="371">
        <f t="shared" si="0"/>
        <v>3997.2</v>
      </c>
      <c r="J12" t="s">
        <v>777</v>
      </c>
    </row>
    <row r="13" spans="1:10" ht="59.4" customHeight="1">
      <c r="A13" s="372">
        <v>4</v>
      </c>
      <c r="B13" s="373" t="s">
        <v>148</v>
      </c>
      <c r="C13" s="374">
        <v>10000</v>
      </c>
      <c r="D13" s="367" t="s">
        <v>193</v>
      </c>
      <c r="E13" s="368">
        <v>0</v>
      </c>
      <c r="F13" s="375">
        <f>'[1]Carpark Detailed calculation'!G9+'[1]Carpark Detailed calculation'!G13</f>
        <v>936.25</v>
      </c>
      <c r="G13" s="376">
        <f>'CARPARK Detailed calculation'!G12+'CARPARK Detailed calculation'!G8</f>
        <v>456.25</v>
      </c>
      <c r="H13" s="376">
        <v>1226.25</v>
      </c>
      <c r="I13" s="371">
        <f t="shared" si="0"/>
        <v>2618.75</v>
      </c>
      <c r="J13" t="s">
        <v>777</v>
      </c>
    </row>
    <row r="14" spans="1:10" ht="59.4" customHeight="1">
      <c r="A14" s="372">
        <v>5</v>
      </c>
      <c r="B14" s="373" t="s">
        <v>149</v>
      </c>
      <c r="C14" s="374">
        <v>532</v>
      </c>
      <c r="D14" s="367" t="s">
        <v>193</v>
      </c>
      <c r="E14" s="368">
        <v>0</v>
      </c>
      <c r="F14" s="375">
        <v>0</v>
      </c>
      <c r="G14" s="376"/>
      <c r="H14" s="376"/>
      <c r="I14" s="371">
        <f t="shared" si="0"/>
        <v>0</v>
      </c>
    </row>
    <row r="15" spans="1:10" ht="59.4" customHeight="1">
      <c r="A15" s="372">
        <v>6</v>
      </c>
      <c r="B15" s="373" t="s">
        <v>150</v>
      </c>
      <c r="C15" s="374">
        <v>1050</v>
      </c>
      <c r="D15" s="367" t="s">
        <v>193</v>
      </c>
      <c r="E15" s="368">
        <v>0</v>
      </c>
      <c r="F15" s="375">
        <v>0</v>
      </c>
      <c r="G15" s="376"/>
      <c r="H15" s="376"/>
      <c r="I15" s="371">
        <f t="shared" si="0"/>
        <v>0</v>
      </c>
    </row>
    <row r="16" spans="1:10" ht="59.4" customHeight="1" thickBot="1">
      <c r="A16" s="377">
        <v>7</v>
      </c>
      <c r="B16" s="378" t="s">
        <v>151</v>
      </c>
      <c r="C16" s="379">
        <v>1</v>
      </c>
      <c r="D16" s="380" t="s">
        <v>135</v>
      </c>
      <c r="E16" s="381">
        <v>0</v>
      </c>
      <c r="F16" s="382">
        <v>0.1</v>
      </c>
      <c r="G16" s="383">
        <v>0.1</v>
      </c>
      <c r="H16" s="383">
        <v>0.25</v>
      </c>
      <c r="I16" s="384">
        <f t="shared" ref="I16" si="1">H16+G16+F16</f>
        <v>0.44999999999999996</v>
      </c>
      <c r="J16" t="s">
        <v>778</v>
      </c>
    </row>
    <row r="17" spans="1:10" ht="59.4" customHeight="1" thickBot="1">
      <c r="A17" s="377">
        <v>8</v>
      </c>
      <c r="B17" s="378" t="s">
        <v>736</v>
      </c>
      <c r="C17" s="379">
        <v>400</v>
      </c>
      <c r="D17" s="380" t="s">
        <v>737</v>
      </c>
      <c r="E17" s="381">
        <v>0</v>
      </c>
      <c r="F17" s="382">
        <v>0</v>
      </c>
      <c r="G17" s="383">
        <v>0</v>
      </c>
      <c r="H17" s="383">
        <v>178</v>
      </c>
      <c r="I17" s="384">
        <f t="shared" si="0"/>
        <v>178</v>
      </c>
      <c r="J17" t="s">
        <v>779</v>
      </c>
    </row>
  </sheetData>
  <mergeCells count="5">
    <mergeCell ref="A5:A7"/>
    <mergeCell ref="B5:B7"/>
    <mergeCell ref="C5:D5"/>
    <mergeCell ref="E5:I5"/>
    <mergeCell ref="E6:I6"/>
  </mergeCells>
  <pageMargins left="0.7" right="0.7" top="0.75" bottom="0.75" header="0.3" footer="0.3"/>
  <pageSetup paperSize="9" scale="4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1589-925B-43D4-B056-D4D264BAC49E}">
  <sheetPr>
    <pageSetUpPr fitToPage="1"/>
  </sheetPr>
  <dimension ref="A1:R47"/>
  <sheetViews>
    <sheetView view="pageBreakPreview" topLeftCell="A34" zoomScale="75" zoomScaleNormal="70" zoomScaleSheetLayoutView="75" workbookViewId="0">
      <selection activeCell="M41" sqref="M41"/>
    </sheetView>
  </sheetViews>
  <sheetFormatPr defaultRowHeight="14.4" outlineLevelCol="1"/>
  <cols>
    <col min="1" max="1" width="5.44140625" customWidth="1"/>
    <col min="2" max="2" width="25.88671875" style="341" customWidth="1"/>
    <col min="3" max="3" width="16.88671875" customWidth="1"/>
    <col min="4" max="4" width="65.5546875" style="340" customWidth="1"/>
    <col min="5" max="6" width="12.6640625" style="308" hidden="1" customWidth="1" outlineLevel="1"/>
    <col min="7" max="7" width="14.33203125" customWidth="1" collapsed="1"/>
    <col min="8" max="8" width="14.33203125" customWidth="1"/>
    <col min="9" max="9" width="12.33203125" customWidth="1"/>
    <col min="18" max="18" width="21.6640625" bestFit="1" customWidth="1"/>
  </cols>
  <sheetData>
    <row r="1" spans="1:12" s="302" customFormat="1" ht="28.8" customHeight="1">
      <c r="A1" s="302" t="s">
        <v>161</v>
      </c>
      <c r="B1" s="303"/>
      <c r="D1" s="304"/>
      <c r="E1" s="305"/>
      <c r="F1" s="305"/>
    </row>
    <row r="2" spans="1:12" s="302" customFormat="1" ht="28.8" customHeight="1">
      <c r="A2" s="302" t="s">
        <v>162</v>
      </c>
      <c r="B2" s="303"/>
      <c r="D2" s="304"/>
      <c r="E2" s="305"/>
      <c r="F2" s="305"/>
    </row>
    <row r="3" spans="1:12" s="302" customFormat="1" ht="28.8" customHeight="1">
      <c r="A3" s="302" t="s">
        <v>163</v>
      </c>
      <c r="B3" s="303"/>
      <c r="D3" s="304"/>
      <c r="E3" s="305"/>
      <c r="F3" s="305"/>
    </row>
    <row r="4" spans="1:12" s="302" customFormat="1" ht="28.8" customHeight="1" thickBot="1">
      <c r="A4" s="302" t="s">
        <v>164</v>
      </c>
      <c r="B4" s="303"/>
      <c r="D4" s="304"/>
      <c r="E4" s="305"/>
      <c r="F4" s="305"/>
    </row>
    <row r="5" spans="1:12" s="308" customFormat="1" ht="38.4" customHeight="1" thickBot="1">
      <c r="A5" s="1031" t="s">
        <v>165</v>
      </c>
      <c r="B5" s="1032"/>
      <c r="C5" s="1032"/>
      <c r="D5" s="1032"/>
      <c r="E5" s="306"/>
      <c r="F5" s="307"/>
      <c r="G5" s="1033" t="s">
        <v>166</v>
      </c>
      <c r="H5" s="1034"/>
    </row>
    <row r="6" spans="1:12" s="308" customFormat="1" ht="26.25" customHeight="1" thickBot="1">
      <c r="A6" s="309" t="s">
        <v>167</v>
      </c>
      <c r="B6" s="309" t="s">
        <v>168</v>
      </c>
      <c r="C6" s="310" t="s">
        <v>169</v>
      </c>
      <c r="D6" s="309" t="s">
        <v>170</v>
      </c>
      <c r="E6" s="311" t="s">
        <v>171</v>
      </c>
      <c r="F6" s="312" t="s">
        <v>172</v>
      </c>
      <c r="G6" s="313" t="s">
        <v>173</v>
      </c>
      <c r="H6" s="314"/>
    </row>
    <row r="7" spans="1:12" s="308" customFormat="1" ht="26.25" customHeight="1">
      <c r="A7" s="315">
        <v>1</v>
      </c>
      <c r="B7" s="315" t="s">
        <v>174</v>
      </c>
      <c r="C7" s="316" t="s">
        <v>175</v>
      </c>
      <c r="D7" s="315" t="s">
        <v>176</v>
      </c>
      <c r="E7" s="317"/>
      <c r="F7" s="318"/>
      <c r="G7" s="319">
        <v>276.79000000000002</v>
      </c>
      <c r="H7" s="320"/>
      <c r="J7" s="308">
        <v>306.89999999999998</v>
      </c>
      <c r="K7" s="845">
        <v>0.9</v>
      </c>
      <c r="L7" s="308">
        <f>K7*J7</f>
        <v>276.20999999999998</v>
      </c>
    </row>
    <row r="8" spans="1:12" s="308" customFormat="1" ht="26.25" customHeight="1">
      <c r="A8" s="321">
        <v>2</v>
      </c>
      <c r="B8" s="315" t="s">
        <v>174</v>
      </c>
      <c r="C8" s="322" t="s">
        <v>175</v>
      </c>
      <c r="D8" s="321" t="s">
        <v>177</v>
      </c>
      <c r="E8" s="323"/>
      <c r="F8" s="324"/>
      <c r="G8" s="325">
        <v>330</v>
      </c>
      <c r="H8" s="326"/>
      <c r="I8" s="327"/>
      <c r="J8" s="308">
        <v>316.25</v>
      </c>
      <c r="K8" s="845">
        <v>0.9</v>
      </c>
      <c r="L8" s="308">
        <f>K8*J8</f>
        <v>284.625</v>
      </c>
    </row>
    <row r="9" spans="1:12" s="308" customFormat="1" ht="26.25" customHeight="1">
      <c r="A9" s="321">
        <v>3</v>
      </c>
      <c r="B9" s="315" t="s">
        <v>174</v>
      </c>
      <c r="C9" s="322" t="s">
        <v>175</v>
      </c>
      <c r="D9" s="321" t="s">
        <v>178</v>
      </c>
      <c r="E9" s="323"/>
      <c r="F9" s="324"/>
      <c r="G9" s="325"/>
      <c r="H9" s="326" t="s">
        <v>179</v>
      </c>
      <c r="I9" s="327"/>
    </row>
    <row r="10" spans="1:12" s="308" customFormat="1" ht="26.25" customHeight="1">
      <c r="A10" s="321">
        <v>4</v>
      </c>
      <c r="B10" s="315" t="s">
        <v>174</v>
      </c>
      <c r="C10" s="322" t="s">
        <v>175</v>
      </c>
      <c r="D10" s="321" t="s">
        <v>180</v>
      </c>
      <c r="E10" s="323"/>
      <c r="F10" s="324"/>
      <c r="G10" s="325"/>
      <c r="H10" s="326" t="s">
        <v>179</v>
      </c>
    </row>
    <row r="11" spans="1:12" s="308" customFormat="1" ht="26.25" customHeight="1">
      <c r="A11" s="321">
        <v>5</v>
      </c>
      <c r="B11" s="315" t="s">
        <v>181</v>
      </c>
      <c r="C11" s="322" t="s">
        <v>175</v>
      </c>
      <c r="D11" s="315" t="s">
        <v>176</v>
      </c>
      <c r="E11" s="323"/>
      <c r="F11" s="324"/>
      <c r="G11" s="325">
        <v>285.81</v>
      </c>
      <c r="H11" s="326"/>
      <c r="I11" s="327"/>
    </row>
    <row r="12" spans="1:12" s="308" customFormat="1" ht="26.25" customHeight="1">
      <c r="A12" s="321">
        <v>6</v>
      </c>
      <c r="B12" s="315" t="s">
        <v>181</v>
      </c>
      <c r="C12" s="322" t="s">
        <v>175</v>
      </c>
      <c r="D12" s="321" t="s">
        <v>177</v>
      </c>
      <c r="E12" s="323"/>
      <c r="F12" s="324"/>
      <c r="G12" s="325">
        <v>126.25</v>
      </c>
      <c r="H12" s="326"/>
      <c r="I12" s="327"/>
    </row>
    <row r="13" spans="1:12" s="308" customFormat="1" ht="26.25" customHeight="1">
      <c r="A13" s="321">
        <v>7</v>
      </c>
      <c r="B13" s="315" t="s">
        <v>181</v>
      </c>
      <c r="C13" s="322" t="s">
        <v>175</v>
      </c>
      <c r="D13" s="321" t="s">
        <v>178</v>
      </c>
      <c r="E13" s="323"/>
      <c r="F13" s="324"/>
      <c r="G13" s="325"/>
      <c r="H13" s="326" t="s">
        <v>179</v>
      </c>
      <c r="I13" s="327"/>
    </row>
    <row r="14" spans="1:12" s="308" customFormat="1" ht="26.25" customHeight="1">
      <c r="A14" s="321">
        <v>8</v>
      </c>
      <c r="B14" s="315" t="s">
        <v>181</v>
      </c>
      <c r="C14" s="322" t="s">
        <v>175</v>
      </c>
      <c r="D14" s="321" t="s">
        <v>180</v>
      </c>
      <c r="E14" s="323"/>
      <c r="F14" s="324"/>
      <c r="G14" s="325"/>
      <c r="H14" s="326" t="s">
        <v>179</v>
      </c>
      <c r="I14" s="327"/>
    </row>
    <row r="15" spans="1:12" s="308" customFormat="1" ht="31.8" customHeight="1">
      <c r="A15" s="321">
        <v>9</v>
      </c>
      <c r="B15" s="315" t="s">
        <v>182</v>
      </c>
      <c r="C15" s="322" t="s">
        <v>175</v>
      </c>
      <c r="D15" s="328" t="s">
        <v>183</v>
      </c>
      <c r="E15" s="323"/>
      <c r="F15" s="324"/>
      <c r="G15" s="325">
        <v>303.33999999999997</v>
      </c>
      <c r="H15" s="326"/>
      <c r="I15" s="327"/>
    </row>
    <row r="16" spans="1:12" s="870" customFormat="1" ht="31.8" customHeight="1">
      <c r="A16" s="871"/>
      <c r="B16" s="871"/>
      <c r="C16" s="872"/>
      <c r="D16" s="328"/>
      <c r="E16" s="849"/>
      <c r="F16" s="848"/>
      <c r="G16" s="875"/>
      <c r="H16" s="876"/>
      <c r="I16" s="883"/>
    </row>
    <row r="17" spans="1:18" s="854" customFormat="1" ht="31.8" customHeight="1">
      <c r="A17" s="871">
        <v>1</v>
      </c>
      <c r="B17" s="871" t="s">
        <v>739</v>
      </c>
      <c r="C17" s="872" t="s">
        <v>175</v>
      </c>
      <c r="D17" s="871" t="s">
        <v>176</v>
      </c>
      <c r="E17" s="873"/>
      <c r="F17" s="874"/>
      <c r="G17" s="875">
        <v>661.49</v>
      </c>
      <c r="H17" s="876"/>
      <c r="I17" s="870"/>
    </row>
    <row r="18" spans="1:18" s="854" customFormat="1" ht="31.8" customHeight="1">
      <c r="A18" s="877">
        <v>2</v>
      </c>
      <c r="B18" s="871" t="s">
        <v>739</v>
      </c>
      <c r="C18" s="878" t="s">
        <v>175</v>
      </c>
      <c r="D18" s="877" t="s">
        <v>177</v>
      </c>
      <c r="E18" s="879"/>
      <c r="F18" s="880"/>
      <c r="G18" s="881">
        <v>290</v>
      </c>
      <c r="H18" s="882"/>
      <c r="I18" s="883"/>
    </row>
    <row r="19" spans="1:18" s="854" customFormat="1" ht="31.8" customHeight="1">
      <c r="A19" s="877">
        <v>3</v>
      </c>
      <c r="B19" s="871" t="s">
        <v>739</v>
      </c>
      <c r="C19" s="878" t="s">
        <v>175</v>
      </c>
      <c r="D19" s="877" t="s">
        <v>178</v>
      </c>
      <c r="E19" s="879"/>
      <c r="F19" s="880"/>
      <c r="G19" s="881"/>
      <c r="H19" s="882" t="s">
        <v>179</v>
      </c>
      <c r="I19" s="883"/>
    </row>
    <row r="20" spans="1:18" s="854" customFormat="1" ht="31.8" customHeight="1">
      <c r="A20" s="877">
        <v>4</v>
      </c>
      <c r="B20" s="871" t="s">
        <v>739</v>
      </c>
      <c r="C20" s="878" t="s">
        <v>175</v>
      </c>
      <c r="D20" s="877" t="s">
        <v>180</v>
      </c>
      <c r="E20" s="879"/>
      <c r="F20" s="880"/>
      <c r="G20" s="881"/>
      <c r="H20" s="882" t="s">
        <v>179</v>
      </c>
      <c r="I20" s="870"/>
    </row>
    <row r="21" spans="1:18" s="854" customFormat="1" ht="31.8" customHeight="1">
      <c r="A21" s="877">
        <v>5</v>
      </c>
      <c r="B21" s="871" t="s">
        <v>740</v>
      </c>
      <c r="C21" s="878" t="s">
        <v>175</v>
      </c>
      <c r="D21" s="871" t="s">
        <v>176</v>
      </c>
      <c r="E21" s="879"/>
      <c r="F21" s="880"/>
      <c r="G21" s="881">
        <v>675.94</v>
      </c>
      <c r="H21" s="882"/>
      <c r="I21" s="883"/>
    </row>
    <row r="22" spans="1:18" s="854" customFormat="1" ht="31.8" customHeight="1">
      <c r="A22" s="877">
        <v>6</v>
      </c>
      <c r="B22" s="871" t="s">
        <v>740</v>
      </c>
      <c r="C22" s="878" t="s">
        <v>175</v>
      </c>
      <c r="D22" s="877" t="s">
        <v>177</v>
      </c>
      <c r="E22" s="879"/>
      <c r="F22" s="880"/>
      <c r="G22" s="881">
        <v>412.5</v>
      </c>
      <c r="H22" s="882"/>
      <c r="I22" s="883"/>
    </row>
    <row r="23" spans="1:18" s="854" customFormat="1" ht="31.8" customHeight="1">
      <c r="A23" s="877">
        <v>7</v>
      </c>
      <c r="B23" s="871" t="s">
        <v>741</v>
      </c>
      <c r="C23" s="878" t="s">
        <v>175</v>
      </c>
      <c r="D23" s="877" t="s">
        <v>742</v>
      </c>
      <c r="E23" s="879"/>
      <c r="F23" s="880"/>
      <c r="G23" s="881">
        <v>27.5</v>
      </c>
      <c r="H23" s="882"/>
      <c r="I23" s="883"/>
    </row>
    <row r="24" spans="1:18" s="854" customFormat="1" ht="31.8" customHeight="1">
      <c r="A24" s="877">
        <v>8</v>
      </c>
      <c r="B24" s="871" t="s">
        <v>740</v>
      </c>
      <c r="C24" s="878" t="s">
        <v>175</v>
      </c>
      <c r="D24" s="877" t="s">
        <v>178</v>
      </c>
      <c r="E24" s="879"/>
      <c r="F24" s="880"/>
      <c r="G24" s="881"/>
      <c r="H24" s="882" t="s">
        <v>179</v>
      </c>
      <c r="I24" s="883"/>
    </row>
    <row r="25" spans="1:18" s="854" customFormat="1" ht="31.8" customHeight="1">
      <c r="A25" s="877">
        <v>9</v>
      </c>
      <c r="B25" s="871" t="s">
        <v>740</v>
      </c>
      <c r="C25" s="878" t="s">
        <v>175</v>
      </c>
      <c r="D25" s="877" t="s">
        <v>180</v>
      </c>
      <c r="E25" s="879"/>
      <c r="F25" s="880"/>
      <c r="G25" s="881"/>
      <c r="H25" s="882" t="s">
        <v>179</v>
      </c>
      <c r="I25" s="883"/>
    </row>
    <row r="26" spans="1:18" s="854" customFormat="1" ht="31.8" customHeight="1">
      <c r="A26" s="877">
        <v>10</v>
      </c>
      <c r="B26" s="871" t="s">
        <v>743</v>
      </c>
      <c r="C26" s="878" t="s">
        <v>175</v>
      </c>
      <c r="D26" s="871" t="s">
        <v>176</v>
      </c>
      <c r="E26" s="879"/>
      <c r="F26" s="880"/>
      <c r="G26" s="881">
        <v>306.89999999999998</v>
      </c>
      <c r="H26" s="882"/>
      <c r="I26" s="883"/>
    </row>
    <row r="27" spans="1:18" s="854" customFormat="1" ht="31.8" customHeight="1">
      <c r="A27" s="877">
        <v>11</v>
      </c>
      <c r="B27" s="871" t="s">
        <v>743</v>
      </c>
      <c r="C27" s="878" t="s">
        <v>175</v>
      </c>
      <c r="D27" s="877" t="s">
        <v>177</v>
      </c>
      <c r="E27" s="879"/>
      <c r="F27" s="880"/>
      <c r="G27" s="881">
        <v>316.25</v>
      </c>
      <c r="H27" s="882"/>
      <c r="I27" s="883"/>
      <c r="J27" s="870"/>
      <c r="K27" s="870"/>
      <c r="L27" s="870"/>
      <c r="M27" s="870"/>
      <c r="N27" s="870"/>
      <c r="O27" s="870"/>
      <c r="P27" s="870"/>
      <c r="Q27" s="870"/>
      <c r="R27" s="870"/>
    </row>
    <row r="28" spans="1:18" s="854" customFormat="1" ht="31.8" customHeight="1">
      <c r="A28" s="877">
        <v>12</v>
      </c>
      <c r="B28" s="871" t="s">
        <v>743</v>
      </c>
      <c r="C28" s="878" t="s">
        <v>175</v>
      </c>
      <c r="D28" s="877" t="s">
        <v>178</v>
      </c>
      <c r="E28" s="879"/>
      <c r="F28" s="880"/>
      <c r="G28" s="881"/>
      <c r="H28" s="882" t="s">
        <v>179</v>
      </c>
      <c r="I28" s="883"/>
      <c r="J28" s="870"/>
      <c r="K28" s="870"/>
      <c r="L28" s="870"/>
      <c r="M28" s="870"/>
      <c r="N28" s="870"/>
      <c r="O28" s="870"/>
      <c r="P28" s="870"/>
      <c r="Q28" s="870"/>
      <c r="R28" s="870"/>
    </row>
    <row r="29" spans="1:18" s="854" customFormat="1" ht="31.8" customHeight="1">
      <c r="A29" s="877">
        <v>13</v>
      </c>
      <c r="B29" s="871" t="s">
        <v>743</v>
      </c>
      <c r="C29" s="878" t="s">
        <v>175</v>
      </c>
      <c r="D29" s="877" t="s">
        <v>180</v>
      </c>
      <c r="E29" s="879"/>
      <c r="F29" s="880"/>
      <c r="G29" s="881"/>
      <c r="H29" s="882" t="s">
        <v>179</v>
      </c>
      <c r="I29" s="883"/>
      <c r="J29" s="870"/>
      <c r="K29" s="870"/>
      <c r="L29" s="870"/>
      <c r="M29" s="870"/>
      <c r="N29" s="870"/>
      <c r="O29" s="870"/>
      <c r="P29" s="870"/>
      <c r="Q29" s="870"/>
      <c r="R29" s="870"/>
    </row>
    <row r="30" spans="1:18" s="854" customFormat="1" ht="31.8" customHeight="1">
      <c r="A30" s="877">
        <v>14</v>
      </c>
      <c r="B30" s="871" t="s">
        <v>744</v>
      </c>
      <c r="C30" s="878" t="s">
        <v>175</v>
      </c>
      <c r="D30" s="871" t="s">
        <v>176</v>
      </c>
      <c r="E30" s="879"/>
      <c r="F30" s="880"/>
      <c r="G30" s="881">
        <v>211.59</v>
      </c>
      <c r="H30" s="882"/>
      <c r="I30" s="883"/>
      <c r="J30" s="870"/>
      <c r="K30" s="870"/>
      <c r="L30" s="870"/>
      <c r="M30" s="870"/>
      <c r="N30" s="870"/>
      <c r="O30" s="870"/>
      <c r="P30" s="870"/>
      <c r="Q30" s="870"/>
      <c r="R30" s="870"/>
    </row>
    <row r="31" spans="1:18" s="854" customFormat="1" ht="31.8" customHeight="1">
      <c r="A31" s="877">
        <v>15</v>
      </c>
      <c r="B31" s="871" t="s">
        <v>744</v>
      </c>
      <c r="C31" s="878" t="s">
        <v>175</v>
      </c>
      <c r="D31" s="877" t="s">
        <v>177</v>
      </c>
      <c r="E31" s="879"/>
      <c r="F31" s="880"/>
      <c r="G31" s="881">
        <v>125</v>
      </c>
      <c r="H31" s="882"/>
      <c r="I31" s="883"/>
      <c r="J31" s="870"/>
      <c r="K31" s="870"/>
      <c r="L31" s="870"/>
      <c r="M31" s="870"/>
      <c r="N31" s="870"/>
      <c r="O31" s="870"/>
      <c r="P31" s="870"/>
      <c r="Q31" s="870"/>
      <c r="R31" s="870"/>
    </row>
    <row r="32" spans="1:18" s="854" customFormat="1" ht="31.8" customHeight="1">
      <c r="A32" s="877">
        <v>16</v>
      </c>
      <c r="B32" s="871" t="s">
        <v>744</v>
      </c>
      <c r="C32" s="878" t="s">
        <v>175</v>
      </c>
      <c r="D32" s="877" t="s">
        <v>178</v>
      </c>
      <c r="E32" s="879"/>
      <c r="F32" s="880"/>
      <c r="G32" s="881"/>
      <c r="H32" s="882" t="s">
        <v>179</v>
      </c>
      <c r="I32" s="883"/>
      <c r="J32" s="870"/>
      <c r="K32" s="870"/>
      <c r="L32" s="870"/>
      <c r="M32" s="870"/>
      <c r="N32" s="870"/>
      <c r="O32" s="870"/>
      <c r="P32" s="870"/>
      <c r="Q32" s="870"/>
      <c r="R32" s="870"/>
    </row>
    <row r="33" spans="1:18" s="854" customFormat="1" ht="31.8" customHeight="1">
      <c r="A33" s="877">
        <v>17</v>
      </c>
      <c r="B33" s="871" t="s">
        <v>744</v>
      </c>
      <c r="C33" s="878" t="s">
        <v>175</v>
      </c>
      <c r="D33" s="877" t="s">
        <v>180</v>
      </c>
      <c r="E33" s="879"/>
      <c r="F33" s="880"/>
      <c r="G33" s="881"/>
      <c r="H33" s="882" t="s">
        <v>179</v>
      </c>
      <c r="I33" s="883"/>
      <c r="J33" s="870"/>
      <c r="K33" s="870"/>
      <c r="L33" s="870"/>
      <c r="M33" s="870"/>
      <c r="N33" s="870"/>
      <c r="O33" s="870"/>
      <c r="P33" s="870"/>
      <c r="Q33" s="870"/>
      <c r="R33" s="870"/>
    </row>
    <row r="34" spans="1:18" s="854" customFormat="1" ht="31.8" customHeight="1">
      <c r="A34" s="877">
        <v>18</v>
      </c>
      <c r="B34" s="871" t="s">
        <v>745</v>
      </c>
      <c r="C34" s="878" t="s">
        <v>175</v>
      </c>
      <c r="D34" s="871" t="s">
        <v>176</v>
      </c>
      <c r="E34" s="879"/>
      <c r="F34" s="880"/>
      <c r="G34" s="881">
        <v>114.58</v>
      </c>
      <c r="H34" s="882"/>
      <c r="I34" s="883"/>
      <c r="J34" s="870"/>
      <c r="K34" s="870"/>
      <c r="L34" s="870"/>
      <c r="M34" s="870"/>
      <c r="N34" s="870"/>
      <c r="O34" s="870"/>
      <c r="P34" s="870"/>
      <c r="Q34" s="870"/>
      <c r="R34" s="870"/>
    </row>
    <row r="35" spans="1:18" s="854" customFormat="1" ht="31.8" customHeight="1">
      <c r="A35" s="877">
        <v>19</v>
      </c>
      <c r="B35" s="871" t="s">
        <v>745</v>
      </c>
      <c r="C35" s="878" t="s">
        <v>175</v>
      </c>
      <c r="D35" s="877" t="s">
        <v>177</v>
      </c>
      <c r="E35" s="879"/>
      <c r="F35" s="880"/>
      <c r="G35" s="881">
        <v>55</v>
      </c>
      <c r="H35" s="882"/>
      <c r="I35" s="883"/>
      <c r="J35" s="870"/>
      <c r="K35" s="870"/>
      <c r="L35" s="870"/>
      <c r="M35" s="870"/>
      <c r="N35" s="870"/>
      <c r="O35" s="870"/>
      <c r="P35" s="870"/>
      <c r="Q35" s="870"/>
      <c r="R35" s="870"/>
    </row>
    <row r="36" spans="1:18" s="854" customFormat="1" ht="31.8" customHeight="1">
      <c r="A36" s="877">
        <v>20</v>
      </c>
      <c r="B36" s="871" t="s">
        <v>745</v>
      </c>
      <c r="C36" s="878" t="s">
        <v>175</v>
      </c>
      <c r="D36" s="877" t="s">
        <v>178</v>
      </c>
      <c r="E36" s="879"/>
      <c r="F36" s="880"/>
      <c r="G36" s="881"/>
      <c r="H36" s="882" t="s">
        <v>179</v>
      </c>
      <c r="I36" s="883"/>
      <c r="J36" s="870"/>
      <c r="K36" s="870"/>
      <c r="L36" s="870"/>
      <c r="M36" s="870"/>
      <c r="N36" s="870"/>
      <c r="O36" s="870"/>
      <c r="P36" s="870"/>
      <c r="Q36" s="870"/>
      <c r="R36" s="870"/>
    </row>
    <row r="37" spans="1:18" s="854" customFormat="1" ht="31.8" customHeight="1">
      <c r="A37" s="877">
        <v>21</v>
      </c>
      <c r="B37" s="871" t="s">
        <v>745</v>
      </c>
      <c r="C37" s="878" t="s">
        <v>175</v>
      </c>
      <c r="D37" s="877" t="s">
        <v>180</v>
      </c>
      <c r="E37" s="879"/>
      <c r="F37" s="880"/>
      <c r="G37" s="881"/>
      <c r="H37" s="882" t="s">
        <v>179</v>
      </c>
      <c r="I37" s="883"/>
      <c r="J37" s="870"/>
      <c r="K37" s="870"/>
      <c r="L37" s="870"/>
      <c r="M37" s="870"/>
      <c r="N37" s="870"/>
      <c r="O37" s="870"/>
      <c r="P37" s="870"/>
      <c r="Q37" s="870"/>
      <c r="R37" s="870"/>
    </row>
    <row r="38" spans="1:18" s="854" customFormat="1" ht="31.8" customHeight="1" thickBot="1">
      <c r="A38" s="877">
        <v>22</v>
      </c>
      <c r="B38" s="871"/>
      <c r="C38" s="878" t="s">
        <v>175</v>
      </c>
      <c r="D38" s="877" t="s">
        <v>746</v>
      </c>
      <c r="E38" s="879"/>
      <c r="F38" s="880"/>
      <c r="G38" s="881"/>
      <c r="H38" s="882" t="s">
        <v>747</v>
      </c>
      <c r="I38" s="883"/>
      <c r="J38" s="870"/>
      <c r="K38" s="870"/>
      <c r="L38" s="870"/>
      <c r="M38" s="870"/>
      <c r="N38" s="870"/>
      <c r="O38" s="870"/>
      <c r="P38" s="870"/>
      <c r="Q38" s="870"/>
      <c r="R38" s="870"/>
    </row>
    <row r="39" spans="1:18" s="308" customFormat="1" ht="39.6" customHeight="1" thickBot="1">
      <c r="A39" s="1035" t="s">
        <v>184</v>
      </c>
      <c r="B39" s="1036"/>
      <c r="C39" s="1036"/>
      <c r="D39" s="1037"/>
      <c r="E39" s="329"/>
      <c r="F39" s="330"/>
      <c r="G39" s="331">
        <f>SUM(G7:G38)</f>
        <v>4518.9399999999996</v>
      </c>
      <c r="H39" s="332" t="s">
        <v>0</v>
      </c>
      <c r="I39" s="333"/>
    </row>
    <row r="40" spans="1:18" s="308" customFormat="1" ht="26.25" customHeight="1">
      <c r="A40" s="334"/>
      <c r="B40" s="335"/>
      <c r="C40" s="334"/>
      <c r="D40" s="336"/>
      <c r="E40" s="334"/>
      <c r="F40" s="334"/>
      <c r="G40" s="334"/>
      <c r="H40" s="334"/>
      <c r="R40" s="337"/>
    </row>
    <row r="41" spans="1:18" ht="34.5" customHeight="1">
      <c r="A41" s="27"/>
      <c r="B41" s="338"/>
      <c r="C41" s="27"/>
      <c r="D41" s="339"/>
      <c r="E41" s="334"/>
      <c r="F41" s="334"/>
      <c r="G41" s="27"/>
      <c r="H41" s="27"/>
    </row>
    <row r="42" spans="1:18">
      <c r="B42" s="338"/>
    </row>
    <row r="43" spans="1:18">
      <c r="B43" s="338"/>
    </row>
    <row r="44" spans="1:18">
      <c r="B44" s="338"/>
    </row>
    <row r="45" spans="1:18">
      <c r="B45" s="338"/>
    </row>
    <row r="46" spans="1:18">
      <c r="B46" s="338"/>
    </row>
    <row r="47" spans="1:18">
      <c r="B47" s="338"/>
    </row>
  </sheetData>
  <mergeCells count="3">
    <mergeCell ref="A5:D5"/>
    <mergeCell ref="G5:H5"/>
    <mergeCell ref="A39:D39"/>
  </mergeCells>
  <pageMargins left="0.25" right="0.25" top="0.75" bottom="0.75" header="0.3" footer="0.3"/>
  <pageSetup scale="93" fitToHeight="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FEA7-01EF-4118-99CE-5C24504F2F19}">
  <sheetPr>
    <pageSetUpPr fitToPage="1"/>
  </sheetPr>
  <dimension ref="A1:K48"/>
  <sheetViews>
    <sheetView view="pageBreakPreview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G47" sqref="G47"/>
    </sheetView>
  </sheetViews>
  <sheetFormatPr defaultColWidth="8.88671875" defaultRowHeight="14.4"/>
  <cols>
    <col min="1" max="1" width="5.33203125" customWidth="1"/>
    <col min="2" max="2" width="20.6640625" customWidth="1"/>
    <col min="3" max="3" width="14.109375" customWidth="1"/>
    <col min="4" max="6" width="16.33203125" customWidth="1"/>
    <col min="7" max="7" width="15.44140625" customWidth="1"/>
    <col min="9" max="9" width="9.5546875" customWidth="1"/>
  </cols>
  <sheetData>
    <row r="1" spans="1:8" s="302" customFormat="1" ht="20.100000000000001" customHeight="1">
      <c r="A1" s="302" t="s">
        <v>161</v>
      </c>
      <c r="B1" s="303"/>
      <c r="D1" s="304"/>
    </row>
    <row r="2" spans="1:8" s="302" customFormat="1" ht="20.100000000000001" customHeight="1">
      <c r="A2" s="302" t="s">
        <v>162</v>
      </c>
      <c r="B2" s="303"/>
      <c r="D2" s="304"/>
    </row>
    <row r="3" spans="1:8" s="302" customFormat="1" ht="20.100000000000001" customHeight="1">
      <c r="A3" s="302" t="s">
        <v>163</v>
      </c>
      <c r="B3" s="303"/>
      <c r="D3" s="304"/>
    </row>
    <row r="4" spans="1:8" s="302" customFormat="1" ht="20.100000000000001" customHeight="1">
      <c r="A4" s="302" t="s">
        <v>290</v>
      </c>
      <c r="B4" s="303"/>
      <c r="D4" s="304"/>
    </row>
    <row r="5" spans="1:8" ht="15" thickBot="1"/>
    <row r="6" spans="1:8" ht="30" customHeight="1">
      <c r="A6" s="1038" t="s">
        <v>291</v>
      </c>
      <c r="B6" s="1043" t="s">
        <v>292</v>
      </c>
      <c r="C6" s="1038" t="s">
        <v>293</v>
      </c>
      <c r="D6" s="1045" t="s">
        <v>294</v>
      </c>
      <c r="E6" s="1046"/>
      <c r="F6" s="1047"/>
      <c r="G6" s="1038" t="s">
        <v>295</v>
      </c>
    </row>
    <row r="7" spans="1:8" ht="43.8" thickBot="1">
      <c r="A7" s="1039"/>
      <c r="B7" s="1044"/>
      <c r="C7" s="1039"/>
      <c r="D7" s="499" t="s">
        <v>296</v>
      </c>
      <c r="E7" s="500" t="s">
        <v>297</v>
      </c>
      <c r="F7" s="501" t="s">
        <v>298</v>
      </c>
      <c r="G7" s="1039"/>
    </row>
    <row r="8" spans="1:8" ht="24" customHeight="1">
      <c r="A8" s="502">
        <v>1</v>
      </c>
      <c r="B8" s="503" t="s">
        <v>299</v>
      </c>
      <c r="C8" s="504" t="s">
        <v>300</v>
      </c>
      <c r="D8" s="505">
        <v>7.08</v>
      </c>
      <c r="E8" s="506">
        <v>6.38</v>
      </c>
      <c r="F8" s="507">
        <v>21.63</v>
      </c>
      <c r="G8" s="508">
        <f t="shared" ref="G8:G28" si="0">D8+E8+F8</f>
        <v>35.090000000000003</v>
      </c>
      <c r="H8" t="s">
        <v>301</v>
      </c>
    </row>
    <row r="9" spans="1:8" ht="24" customHeight="1">
      <c r="A9" s="503">
        <v>2</v>
      </c>
      <c r="B9" s="503" t="s">
        <v>302</v>
      </c>
      <c r="C9" s="504" t="s">
        <v>300</v>
      </c>
      <c r="D9" s="505">
        <v>4.95</v>
      </c>
      <c r="E9" s="506">
        <v>7.13</v>
      </c>
      <c r="F9" s="507">
        <v>11.53</v>
      </c>
      <c r="G9" s="509">
        <f t="shared" si="0"/>
        <v>23.61</v>
      </c>
      <c r="H9" t="s">
        <v>301</v>
      </c>
    </row>
    <row r="10" spans="1:8" ht="24" customHeight="1">
      <c r="A10" s="510">
        <v>3</v>
      </c>
      <c r="B10" s="503" t="s">
        <v>303</v>
      </c>
      <c r="C10" s="504" t="s">
        <v>300</v>
      </c>
      <c r="D10" s="505">
        <v>4.95</v>
      </c>
      <c r="E10" s="506">
        <v>7.13</v>
      </c>
      <c r="F10" s="507">
        <v>11.53</v>
      </c>
      <c r="G10" s="509">
        <f t="shared" si="0"/>
        <v>23.61</v>
      </c>
      <c r="H10" t="s">
        <v>301</v>
      </c>
    </row>
    <row r="11" spans="1:8" ht="24" customHeight="1">
      <c r="A11" s="503">
        <v>4</v>
      </c>
      <c r="B11" s="503" t="s">
        <v>304</v>
      </c>
      <c r="C11" s="504" t="s">
        <v>300</v>
      </c>
      <c r="D11" s="505">
        <v>3.54</v>
      </c>
      <c r="E11" s="506">
        <v>4.88</v>
      </c>
      <c r="F11" s="507">
        <v>13.98</v>
      </c>
      <c r="G11" s="509">
        <f t="shared" si="0"/>
        <v>22.4</v>
      </c>
      <c r="H11" t="s">
        <v>301</v>
      </c>
    </row>
    <row r="12" spans="1:8" ht="24" customHeight="1">
      <c r="A12" s="510">
        <v>5</v>
      </c>
      <c r="B12" s="503" t="s">
        <v>305</v>
      </c>
      <c r="C12" s="504" t="s">
        <v>300</v>
      </c>
      <c r="D12" s="505">
        <v>5.42</v>
      </c>
      <c r="E12" s="506">
        <v>7.88</v>
      </c>
      <c r="F12" s="507">
        <v>5.63</v>
      </c>
      <c r="G12" s="509">
        <f t="shared" si="0"/>
        <v>18.93</v>
      </c>
      <c r="H12" t="s">
        <v>301</v>
      </c>
    </row>
    <row r="13" spans="1:8" ht="24" customHeight="1">
      <c r="A13" s="503">
        <v>6</v>
      </c>
      <c r="B13" s="503" t="s">
        <v>306</v>
      </c>
      <c r="C13" s="504" t="s">
        <v>307</v>
      </c>
      <c r="D13" s="505">
        <v>5.19</v>
      </c>
      <c r="E13" s="506">
        <v>7.5</v>
      </c>
      <c r="F13" s="507">
        <v>12.66</v>
      </c>
      <c r="G13" s="508">
        <f t="shared" si="0"/>
        <v>25.35</v>
      </c>
      <c r="H13" t="s">
        <v>301</v>
      </c>
    </row>
    <row r="14" spans="1:8" ht="24" customHeight="1">
      <c r="A14" s="510">
        <v>7</v>
      </c>
      <c r="B14" s="503" t="s">
        <v>308</v>
      </c>
      <c r="C14" s="504" t="s">
        <v>307</v>
      </c>
      <c r="D14" s="505">
        <v>5.19</v>
      </c>
      <c r="E14" s="506">
        <v>7.5</v>
      </c>
      <c r="F14" s="507">
        <v>12.66</v>
      </c>
      <c r="G14" s="509">
        <f>D14+E14+F14</f>
        <v>25.35</v>
      </c>
      <c r="H14" t="s">
        <v>301</v>
      </c>
    </row>
    <row r="15" spans="1:8" ht="24" customHeight="1">
      <c r="A15" s="503">
        <v>8</v>
      </c>
      <c r="B15" s="503" t="s">
        <v>309</v>
      </c>
      <c r="C15" s="504" t="s">
        <v>307</v>
      </c>
      <c r="D15" s="505">
        <v>5.19</v>
      </c>
      <c r="E15" s="506">
        <v>7.5</v>
      </c>
      <c r="F15" s="507">
        <v>12.66</v>
      </c>
      <c r="G15" s="509">
        <f>D15+E15+F15</f>
        <v>25.35</v>
      </c>
      <c r="H15" t="s">
        <v>301</v>
      </c>
    </row>
    <row r="16" spans="1:8" ht="24" customHeight="1">
      <c r="A16" s="510">
        <v>9</v>
      </c>
      <c r="B16" s="503" t="s">
        <v>310</v>
      </c>
      <c r="C16" s="504" t="s">
        <v>307</v>
      </c>
      <c r="D16" s="505">
        <v>5.19</v>
      </c>
      <c r="E16" s="506">
        <v>7.5</v>
      </c>
      <c r="F16" s="507">
        <v>12.66</v>
      </c>
      <c r="G16" s="509">
        <f>D16+E16+F16</f>
        <v>25.35</v>
      </c>
      <c r="H16" t="s">
        <v>301</v>
      </c>
    </row>
    <row r="17" spans="1:10" ht="24" customHeight="1">
      <c r="A17" s="503">
        <v>10</v>
      </c>
      <c r="B17" s="503" t="s">
        <v>311</v>
      </c>
      <c r="C17" s="504" t="s">
        <v>307</v>
      </c>
      <c r="D17" s="505">
        <v>5.19</v>
      </c>
      <c r="E17" s="506">
        <v>7.5</v>
      </c>
      <c r="F17" s="507">
        <v>12.66</v>
      </c>
      <c r="G17" s="509">
        <f>D17+E17+F17</f>
        <v>25.35</v>
      </c>
      <c r="H17" t="s">
        <v>301</v>
      </c>
    </row>
    <row r="18" spans="1:10" ht="24" customHeight="1">
      <c r="A18" s="510">
        <v>11</v>
      </c>
      <c r="B18" s="503" t="s">
        <v>312</v>
      </c>
      <c r="C18" s="504" t="s">
        <v>307</v>
      </c>
      <c r="D18" s="505">
        <v>5.19</v>
      </c>
      <c r="E18" s="506">
        <v>7.5</v>
      </c>
      <c r="F18" s="507">
        <v>12.66</v>
      </c>
      <c r="G18" s="509">
        <f t="shared" si="0"/>
        <v>25.35</v>
      </c>
      <c r="H18" t="s">
        <v>301</v>
      </c>
    </row>
    <row r="19" spans="1:10" ht="24" customHeight="1">
      <c r="A19" s="503">
        <v>12</v>
      </c>
      <c r="B19" s="503" t="s">
        <v>313</v>
      </c>
      <c r="C19" s="504" t="s">
        <v>307</v>
      </c>
      <c r="D19" s="505">
        <v>5.19</v>
      </c>
      <c r="E19" s="506">
        <v>7.5</v>
      </c>
      <c r="F19" s="507">
        <v>12.66</v>
      </c>
      <c r="G19" s="509">
        <f t="shared" si="0"/>
        <v>25.35</v>
      </c>
      <c r="H19" t="s">
        <v>301</v>
      </c>
    </row>
    <row r="20" spans="1:10" ht="24" customHeight="1">
      <c r="A20" s="510">
        <v>13</v>
      </c>
      <c r="B20" s="503" t="s">
        <v>314</v>
      </c>
      <c r="C20" s="504" t="s">
        <v>307</v>
      </c>
      <c r="D20" s="505">
        <v>5.19</v>
      </c>
      <c r="E20" s="506">
        <v>7.5</v>
      </c>
      <c r="F20" s="507">
        <v>12.66</v>
      </c>
      <c r="G20" s="509">
        <f t="shared" si="0"/>
        <v>25.35</v>
      </c>
      <c r="H20" t="s">
        <v>301</v>
      </c>
    </row>
    <row r="21" spans="1:10" ht="24" customHeight="1">
      <c r="A21" s="503">
        <v>14</v>
      </c>
      <c r="B21" s="503" t="s">
        <v>315</v>
      </c>
      <c r="C21" s="504" t="s">
        <v>307</v>
      </c>
      <c r="D21" s="505">
        <v>5.19</v>
      </c>
      <c r="E21" s="506">
        <v>7.5</v>
      </c>
      <c r="F21" s="507">
        <v>12.66</v>
      </c>
      <c r="G21" s="509">
        <f>D21+E21+F21</f>
        <v>25.35</v>
      </c>
      <c r="H21" t="s">
        <v>301</v>
      </c>
    </row>
    <row r="22" spans="1:10" ht="24" customHeight="1">
      <c r="A22" s="510">
        <v>15</v>
      </c>
      <c r="B22" s="503" t="s">
        <v>316</v>
      </c>
      <c r="C22" s="504" t="s">
        <v>307</v>
      </c>
      <c r="D22" s="505">
        <v>4.95</v>
      </c>
      <c r="E22" s="506">
        <v>7.13</v>
      </c>
      <c r="F22" s="507">
        <v>12.96</v>
      </c>
      <c r="G22" s="509">
        <f t="shared" si="0"/>
        <v>25.04</v>
      </c>
      <c r="H22" t="s">
        <v>301</v>
      </c>
    </row>
    <row r="23" spans="1:10" ht="24" customHeight="1">
      <c r="A23" s="503">
        <v>16</v>
      </c>
      <c r="B23" s="503" t="s">
        <v>317</v>
      </c>
      <c r="C23" s="504" t="s">
        <v>307</v>
      </c>
      <c r="D23" s="505">
        <v>4.95</v>
      </c>
      <c r="E23" s="506">
        <v>7.13</v>
      </c>
      <c r="F23" s="507">
        <v>12.96</v>
      </c>
      <c r="G23" s="509">
        <f>D23+E23+F23</f>
        <v>25.04</v>
      </c>
      <c r="H23" t="s">
        <v>301</v>
      </c>
    </row>
    <row r="24" spans="1:10" ht="24" customHeight="1">
      <c r="A24" s="510">
        <v>17</v>
      </c>
      <c r="B24" s="503" t="s">
        <v>318</v>
      </c>
      <c r="C24" s="504" t="s">
        <v>307</v>
      </c>
      <c r="D24" s="505">
        <v>5.19</v>
      </c>
      <c r="E24" s="506">
        <v>7.5</v>
      </c>
      <c r="F24" s="507">
        <v>12.86</v>
      </c>
      <c r="G24" s="509">
        <f t="shared" si="0"/>
        <v>25.55</v>
      </c>
      <c r="H24" t="s">
        <v>301</v>
      </c>
    </row>
    <row r="25" spans="1:10" ht="24" customHeight="1">
      <c r="A25" s="503">
        <v>18</v>
      </c>
      <c r="B25" s="503" t="s">
        <v>319</v>
      </c>
      <c r="C25" s="504" t="s">
        <v>307</v>
      </c>
      <c r="D25" s="505">
        <v>5.19</v>
      </c>
      <c r="E25" s="506">
        <v>7.5</v>
      </c>
      <c r="F25" s="507">
        <v>12.86</v>
      </c>
      <c r="G25" s="509">
        <f>D25+E25+F25</f>
        <v>25.55</v>
      </c>
      <c r="H25" t="s">
        <v>301</v>
      </c>
    </row>
    <row r="26" spans="1:10" ht="24" customHeight="1">
      <c r="A26" s="510">
        <v>19</v>
      </c>
      <c r="B26" s="503" t="s">
        <v>320</v>
      </c>
      <c r="C26" s="504" t="s">
        <v>307</v>
      </c>
      <c r="D26" s="505">
        <v>5.19</v>
      </c>
      <c r="E26" s="506">
        <v>7.5</v>
      </c>
      <c r="F26" s="507">
        <v>12.86</v>
      </c>
      <c r="G26" s="509">
        <f t="shared" si="0"/>
        <v>25.55</v>
      </c>
      <c r="H26" t="s">
        <v>301</v>
      </c>
    </row>
    <row r="27" spans="1:10" ht="24" customHeight="1">
      <c r="A27" s="503">
        <v>20</v>
      </c>
      <c r="B27" s="503" t="s">
        <v>321</v>
      </c>
      <c r="C27" s="504" t="s">
        <v>307</v>
      </c>
      <c r="D27" s="505">
        <v>4.95</v>
      </c>
      <c r="E27" s="506">
        <v>7.13</v>
      </c>
      <c r="F27" s="507">
        <v>12.96</v>
      </c>
      <c r="G27" s="509">
        <f>D27+E27+F27</f>
        <v>25.04</v>
      </c>
      <c r="H27" t="s">
        <v>301</v>
      </c>
    </row>
    <row r="28" spans="1:10" ht="24" customHeight="1">
      <c r="A28" s="510">
        <v>21</v>
      </c>
      <c r="B28" s="503" t="s">
        <v>322</v>
      </c>
      <c r="C28" s="504" t="s">
        <v>307</v>
      </c>
      <c r="D28" s="505">
        <v>5.19</v>
      </c>
      <c r="E28" s="506">
        <v>7.5</v>
      </c>
      <c r="F28" s="507">
        <v>12.86</v>
      </c>
      <c r="G28" s="509">
        <f t="shared" si="0"/>
        <v>25.55</v>
      </c>
      <c r="H28" t="s">
        <v>301</v>
      </c>
    </row>
    <row r="29" spans="1:10" ht="24" customHeight="1">
      <c r="A29" s="503">
        <v>22</v>
      </c>
      <c r="B29" s="503" t="s">
        <v>323</v>
      </c>
      <c r="C29" s="504" t="s">
        <v>307</v>
      </c>
      <c r="D29" s="505">
        <v>7.78</v>
      </c>
      <c r="E29" s="506">
        <v>11.26</v>
      </c>
      <c r="F29" s="507">
        <v>25.42</v>
      </c>
      <c r="G29" s="509">
        <f>D29+E29+F29</f>
        <v>44.46</v>
      </c>
      <c r="H29" t="s">
        <v>301</v>
      </c>
    </row>
    <row r="30" spans="1:10" ht="24" customHeight="1">
      <c r="A30" s="510">
        <v>23</v>
      </c>
      <c r="B30" s="503" t="s">
        <v>324</v>
      </c>
      <c r="C30" s="504" t="s">
        <v>307</v>
      </c>
      <c r="D30" s="505">
        <v>6.13</v>
      </c>
      <c r="E30" s="506">
        <v>9</v>
      </c>
      <c r="F30" s="507">
        <v>21.32</v>
      </c>
      <c r="G30" s="509">
        <f>D30+E30+F30</f>
        <v>36.450000000000003</v>
      </c>
      <c r="H30" t="s">
        <v>301</v>
      </c>
    </row>
    <row r="31" spans="1:10" s="869" customFormat="1" ht="24" customHeight="1" thickBot="1">
      <c r="A31" s="868"/>
      <c r="B31" s="867"/>
      <c r="C31" s="866"/>
      <c r="D31" s="865"/>
      <c r="E31" s="865"/>
      <c r="F31" s="864"/>
      <c r="G31" s="863"/>
    </row>
    <row r="32" spans="1:10" s="869" customFormat="1" ht="24" customHeight="1">
      <c r="A32" s="885">
        <v>1</v>
      </c>
      <c r="B32" s="891" t="s">
        <v>315</v>
      </c>
      <c r="C32" s="897" t="s">
        <v>748</v>
      </c>
      <c r="D32" s="892">
        <v>5.42</v>
      </c>
      <c r="E32" s="893">
        <v>7.88</v>
      </c>
      <c r="F32" s="894">
        <v>12.66</v>
      </c>
      <c r="G32" s="895">
        <v>25.96</v>
      </c>
      <c r="H32" s="884" t="s">
        <v>301</v>
      </c>
      <c r="I32" s="898" t="s">
        <v>749</v>
      </c>
      <c r="J32" s="898"/>
    </row>
    <row r="33" spans="1:11" s="869" customFormat="1" ht="24" customHeight="1">
      <c r="A33" s="886">
        <v>2</v>
      </c>
      <c r="B33" s="891" t="s">
        <v>316</v>
      </c>
      <c r="C33" s="897" t="s">
        <v>748</v>
      </c>
      <c r="D33" s="887">
        <v>4.95</v>
      </c>
      <c r="E33" s="888">
        <v>7.13</v>
      </c>
      <c r="F33" s="889">
        <v>13.26</v>
      </c>
      <c r="G33" s="895">
        <v>25.34</v>
      </c>
      <c r="H33" s="884" t="s">
        <v>301</v>
      </c>
      <c r="I33" s="898" t="s">
        <v>749</v>
      </c>
      <c r="J33" s="898"/>
    </row>
    <row r="34" spans="1:11" s="869" customFormat="1" ht="24" customHeight="1">
      <c r="A34" s="890">
        <v>3</v>
      </c>
      <c r="B34" s="891" t="s">
        <v>317</v>
      </c>
      <c r="C34" s="897" t="s">
        <v>748</v>
      </c>
      <c r="D34" s="887">
        <v>4.95</v>
      </c>
      <c r="E34" s="888">
        <v>7.13</v>
      </c>
      <c r="F34" s="889">
        <v>13.26</v>
      </c>
      <c r="G34" s="895">
        <v>25.34</v>
      </c>
      <c r="H34" s="884" t="s">
        <v>301</v>
      </c>
      <c r="I34" s="898" t="s">
        <v>749</v>
      </c>
      <c r="J34" s="898"/>
    </row>
    <row r="35" spans="1:11" s="869" customFormat="1" ht="24" customHeight="1">
      <c r="A35" s="886">
        <v>4</v>
      </c>
      <c r="B35" s="891" t="s">
        <v>318</v>
      </c>
      <c r="C35" s="897" t="s">
        <v>748</v>
      </c>
      <c r="D35" s="887">
        <v>8.25</v>
      </c>
      <c r="E35" s="888">
        <v>11.63</v>
      </c>
      <c r="F35" s="889">
        <v>26.52</v>
      </c>
      <c r="G35" s="895">
        <v>46.400000000000006</v>
      </c>
      <c r="H35" s="884" t="s">
        <v>301</v>
      </c>
      <c r="I35" s="898" t="s">
        <v>749</v>
      </c>
      <c r="J35" s="898"/>
    </row>
    <row r="36" spans="1:11" s="869" customFormat="1" ht="24" customHeight="1">
      <c r="A36" s="890">
        <v>5</v>
      </c>
      <c r="B36" s="891" t="s">
        <v>319</v>
      </c>
      <c r="C36" s="897" t="s">
        <v>748</v>
      </c>
      <c r="D36" s="887">
        <v>5.19</v>
      </c>
      <c r="E36" s="888">
        <v>7.5</v>
      </c>
      <c r="F36" s="889">
        <v>12.66</v>
      </c>
      <c r="G36" s="895">
        <v>25.35</v>
      </c>
      <c r="H36" s="884" t="s">
        <v>301</v>
      </c>
      <c r="I36" s="898" t="s">
        <v>750</v>
      </c>
      <c r="J36" s="898"/>
    </row>
    <row r="37" spans="1:11" s="869" customFormat="1" ht="24" customHeight="1">
      <c r="A37" s="886">
        <v>6</v>
      </c>
      <c r="B37" s="891" t="s">
        <v>320</v>
      </c>
      <c r="C37" s="897" t="s">
        <v>748</v>
      </c>
      <c r="D37" s="892">
        <v>5.42</v>
      </c>
      <c r="E37" s="893">
        <v>7.88</v>
      </c>
      <c r="F37" s="894">
        <v>12.66</v>
      </c>
      <c r="G37" s="895">
        <v>25.96</v>
      </c>
      <c r="H37" s="884" t="s">
        <v>301</v>
      </c>
      <c r="I37" s="898" t="s">
        <v>750</v>
      </c>
      <c r="J37" s="898"/>
    </row>
    <row r="38" spans="1:11" s="869" customFormat="1" ht="24" customHeight="1">
      <c r="A38" s="890">
        <v>7</v>
      </c>
      <c r="B38" s="891" t="s">
        <v>321</v>
      </c>
      <c r="C38" s="897" t="s">
        <v>748</v>
      </c>
      <c r="D38" s="892">
        <v>5.42</v>
      </c>
      <c r="E38" s="893">
        <v>7.88</v>
      </c>
      <c r="F38" s="894">
        <v>12.66</v>
      </c>
      <c r="G38" s="895">
        <v>25.96</v>
      </c>
      <c r="H38" s="884" t="s">
        <v>301</v>
      </c>
      <c r="I38" s="898" t="s">
        <v>750</v>
      </c>
      <c r="J38" s="898"/>
    </row>
    <row r="39" spans="1:11" s="869" customFormat="1" ht="24" customHeight="1">
      <c r="A39" s="886">
        <v>8</v>
      </c>
      <c r="B39" s="891" t="s">
        <v>322</v>
      </c>
      <c r="C39" s="897" t="s">
        <v>748</v>
      </c>
      <c r="D39" s="887">
        <v>4.95</v>
      </c>
      <c r="E39" s="888">
        <v>7.13</v>
      </c>
      <c r="F39" s="889">
        <v>13.26</v>
      </c>
      <c r="G39" s="895">
        <v>25.34</v>
      </c>
      <c r="H39" s="884" t="s">
        <v>301</v>
      </c>
      <c r="I39" s="898" t="s">
        <v>750</v>
      </c>
      <c r="J39" s="898"/>
    </row>
    <row r="40" spans="1:11" s="869" customFormat="1" ht="24" customHeight="1">
      <c r="A40" s="890">
        <v>9</v>
      </c>
      <c r="B40" s="891" t="s">
        <v>323</v>
      </c>
      <c r="C40" s="897" t="s">
        <v>748</v>
      </c>
      <c r="D40" s="887">
        <v>4.95</v>
      </c>
      <c r="E40" s="888">
        <v>7.13</v>
      </c>
      <c r="F40" s="889">
        <v>13.26</v>
      </c>
      <c r="G40" s="895">
        <v>25.34</v>
      </c>
      <c r="H40" s="884" t="s">
        <v>301</v>
      </c>
      <c r="I40" s="898" t="s">
        <v>750</v>
      </c>
      <c r="J40" s="898"/>
    </row>
    <row r="41" spans="1:11" s="869" customFormat="1" ht="24" customHeight="1">
      <c r="A41" s="886">
        <v>10</v>
      </c>
      <c r="B41" s="891" t="s">
        <v>324</v>
      </c>
      <c r="C41" s="897" t="s">
        <v>748</v>
      </c>
      <c r="D41" s="892">
        <v>5.42</v>
      </c>
      <c r="E41" s="893">
        <v>7.88</v>
      </c>
      <c r="F41" s="894">
        <v>12.66</v>
      </c>
      <c r="G41" s="895">
        <v>25.96</v>
      </c>
      <c r="H41" s="884" t="s">
        <v>301</v>
      </c>
      <c r="I41" s="898" t="s">
        <v>751</v>
      </c>
      <c r="J41" s="898"/>
    </row>
    <row r="42" spans="1:11" s="869" customFormat="1" ht="24" customHeight="1">
      <c r="A42" s="890">
        <v>11</v>
      </c>
      <c r="B42" s="891" t="s">
        <v>752</v>
      </c>
      <c r="C42" s="897" t="s">
        <v>748</v>
      </c>
      <c r="D42" s="892">
        <v>5.42</v>
      </c>
      <c r="E42" s="893">
        <v>7.88</v>
      </c>
      <c r="F42" s="894">
        <v>12.66</v>
      </c>
      <c r="G42" s="895">
        <v>25.96</v>
      </c>
      <c r="H42" s="884" t="s">
        <v>301</v>
      </c>
      <c r="I42" s="898" t="s">
        <v>751</v>
      </c>
      <c r="J42" s="898"/>
    </row>
    <row r="43" spans="1:11" s="869" customFormat="1" ht="24" customHeight="1">
      <c r="A43" s="886">
        <v>12</v>
      </c>
      <c r="B43" s="891" t="s">
        <v>753</v>
      </c>
      <c r="C43" s="897" t="s">
        <v>748</v>
      </c>
      <c r="D43" s="892">
        <v>5.42</v>
      </c>
      <c r="E43" s="893">
        <v>7.88</v>
      </c>
      <c r="F43" s="894">
        <v>12.66</v>
      </c>
      <c r="G43" s="895">
        <v>25.96</v>
      </c>
      <c r="H43" s="884" t="s">
        <v>301</v>
      </c>
      <c r="I43" s="898" t="s">
        <v>751</v>
      </c>
      <c r="J43" s="898"/>
    </row>
    <row r="44" spans="1:11" s="869" customFormat="1" ht="24" customHeight="1">
      <c r="A44" s="890">
        <v>13</v>
      </c>
      <c r="B44" s="891" t="s">
        <v>754</v>
      </c>
      <c r="C44" s="897" t="s">
        <v>748</v>
      </c>
      <c r="D44" s="896">
        <v>4.95</v>
      </c>
      <c r="E44" s="893">
        <v>7.13</v>
      </c>
      <c r="F44" s="894">
        <v>13.26</v>
      </c>
      <c r="G44" s="895">
        <v>25.34</v>
      </c>
      <c r="H44" s="884" t="s">
        <v>301</v>
      </c>
      <c r="I44" s="898" t="s">
        <v>751</v>
      </c>
      <c r="J44" s="898"/>
    </row>
    <row r="45" spans="1:11" s="869" customFormat="1" ht="24" customHeight="1">
      <c r="A45" s="886">
        <v>14</v>
      </c>
      <c r="B45" s="891" t="s">
        <v>755</v>
      </c>
      <c r="C45" s="897" t="s">
        <v>748</v>
      </c>
      <c r="D45" s="896">
        <v>9.91</v>
      </c>
      <c r="E45" s="893">
        <v>14.26</v>
      </c>
      <c r="F45" s="894">
        <v>26.12</v>
      </c>
      <c r="G45" s="895">
        <v>50.290000000000006</v>
      </c>
      <c r="H45" s="884" t="s">
        <v>301</v>
      </c>
      <c r="I45" s="898" t="s">
        <v>751</v>
      </c>
      <c r="J45" s="898"/>
    </row>
    <row r="46" spans="1:11" s="869" customFormat="1" ht="24" customHeight="1" thickBot="1">
      <c r="A46" s="890">
        <v>15</v>
      </c>
      <c r="B46" s="891" t="s">
        <v>756</v>
      </c>
      <c r="C46" s="897" t="s">
        <v>748</v>
      </c>
      <c r="D46" s="896">
        <v>5.66</v>
      </c>
      <c r="E46" s="893">
        <v>8.25</v>
      </c>
      <c r="F46" s="894">
        <v>12.16</v>
      </c>
      <c r="G46" s="895">
        <v>26.07</v>
      </c>
      <c r="H46" s="884" t="s">
        <v>301</v>
      </c>
      <c r="I46" s="898" t="s">
        <v>751</v>
      </c>
      <c r="J46" s="898"/>
    </row>
    <row r="47" spans="1:11" ht="30.75" customHeight="1" thickBot="1">
      <c r="A47" s="1040" t="s">
        <v>325</v>
      </c>
      <c r="B47" s="1041"/>
      <c r="C47" s="1041"/>
      <c r="D47" s="1041"/>
      <c r="E47" s="1041"/>
      <c r="F47" s="1042"/>
      <c r="G47" s="511">
        <f>SUM(G8:G46)</f>
        <v>1040.5900000000006</v>
      </c>
      <c r="H47" s="333" t="s">
        <v>326</v>
      </c>
      <c r="I47" s="308"/>
      <c r="J47" s="308"/>
      <c r="K47" s="308"/>
    </row>
    <row r="48" spans="1:11" ht="30.75" customHeight="1">
      <c r="H48" s="333"/>
      <c r="I48" s="308"/>
      <c r="J48" s="308"/>
      <c r="K48" s="308"/>
    </row>
  </sheetData>
  <mergeCells count="6">
    <mergeCell ref="G6:G7"/>
    <mergeCell ref="A47:F47"/>
    <mergeCell ref="A6:A7"/>
    <mergeCell ref="B6:B7"/>
    <mergeCell ref="C6:C7"/>
    <mergeCell ref="D6:F6"/>
  </mergeCells>
  <pageMargins left="0.64685039370078745" right="0.25" top="0.75000000000000011" bottom="0.75000000000000011" header="0.30000000000000004" footer="0.30000000000000004"/>
  <pageSetup paperSize="9" scale="56" orientation="portrait" horizontalDpi="4294967293" verticalDpi="4294967293" r:id="rId1"/>
  <rowBreaks count="1" manualBreakCount="1">
    <brk id="56" max="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7EB27-0522-499A-AD33-75449777C8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6C406A-8D34-45C8-97CD-178E580441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TAX_INVOICE</vt:lpstr>
      <vt:lpstr>Summary</vt:lpstr>
      <vt:lpstr>BOQ March 2023</vt:lpstr>
      <vt:lpstr>CUMULATIVE EPOXY TO BOH ROOMS</vt:lpstr>
      <vt:lpstr>Cumulative UCRETE Flooring</vt:lpstr>
      <vt:lpstr>Carpark coating</vt:lpstr>
      <vt:lpstr>CARPARK Detailed calculation</vt:lpstr>
      <vt:lpstr>Stairs</vt:lpstr>
      <vt:lpstr>'BOQ March 2023'!Print_Area</vt:lpstr>
      <vt:lpstr>'CARPARK Detailed calculation'!Print_Area</vt:lpstr>
      <vt:lpstr>'CUMULATIVE EPOXY TO BOH ROOMS'!Print_Area</vt:lpstr>
      <vt:lpstr>'Cumulative UCRETE Flooring'!Print_Area</vt:lpstr>
      <vt:lpstr>Summary!Print_Area</vt:lpstr>
      <vt:lpstr>TAX_INVOICE!Print_Area</vt:lpstr>
      <vt:lpstr>'BOQ March 2023'!Print_Titles</vt:lpstr>
      <vt:lpstr>'Cumulative UCRETE Flooring'!Print_Titles</vt:lpstr>
      <vt:lpstr>Stairs!Print_Titles</vt:lpstr>
    </vt:vector>
  </TitlesOfParts>
  <Company>privtae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user</dc:creator>
  <cp:lastModifiedBy>Tharaka Rathnayaka</cp:lastModifiedBy>
  <cp:lastPrinted>2023-02-25T12:39:37Z</cp:lastPrinted>
  <dcterms:created xsi:type="dcterms:W3CDTF">2020-09-23T17:03:34Z</dcterms:created>
  <dcterms:modified xsi:type="dcterms:W3CDTF">2023-04-18T13:33:02Z</dcterms:modified>
</cp:coreProperties>
</file>