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a. Subcontractor Cost &amp; Backup\1. Provisional Sum SC's\P16. Arabian Profile\"/>
    </mc:Choice>
  </mc:AlternateContent>
  <xr:revisionPtr revIDLastSave="0" documentId="13_ncr:1_{78A9AAC3-0740-4BC6-8354-964E846DF50F}" xr6:coauthVersionLast="47" xr6:coauthVersionMax="47" xr10:uidLastSave="{00000000-0000-0000-0000-000000000000}"/>
  <bookViews>
    <workbookView xWindow="-108" yWindow="-108" windowWidth="23256" windowHeight="12456" tabRatio="965" xr2:uid="{00000000-000D-0000-FFFF-FFFF00000000}"/>
  </bookViews>
  <sheets>
    <sheet name="Summary" sheetId="110" r:id="rId1"/>
    <sheet name="BOQ (KCE)" sheetId="111" r:id="rId2"/>
    <sheet name="Res &amp; Hotel - 800mm(Qty)" sheetId="94" r:id="rId3"/>
    <sheet name="Residential - 600mm(Qty)" sheetId="89" r:id="rId4"/>
    <sheet name="Residential - 900mm(Qty)" sheetId="90" r:id="rId5"/>
    <sheet name="Hotel - 600mm(Qty)" sheetId="87" r:id="rId6"/>
    <sheet name="Hotel - 900mm(Qty)" sheetId="88" state="hidden" r:id="rId7"/>
    <sheet name="Breakdown - Divider" sheetId="84" r:id="rId8"/>
    <sheet name="SI 130 - Progress" sheetId="114" state="hidden" r:id="rId9"/>
    <sheet name="SI 400 - Progress" sheetId="115" state="hidden" r:id="rId10"/>
    <sheet name="ERI-056" sheetId="118" r:id="rId11"/>
    <sheet name="VO" sheetId="81" r:id="rId12"/>
    <sheet name="SI-000079" sheetId="98" state="hidden" r:id="rId13"/>
    <sheet name="SI-000110" sheetId="96" state="hidden" r:id="rId14"/>
    <sheet name="SI-000130" sheetId="97" state="hidden" r:id="rId15"/>
    <sheet name="SI-000296" sheetId="100" state="hidden" r:id="rId16"/>
    <sheet name="SI-000365" sheetId="101" state="hidden" r:id="rId17"/>
    <sheet name="KCE-SI-278" sheetId="117" r:id="rId18"/>
    <sheet name="KCE-SI-364" sheetId="116" r:id="rId19"/>
    <sheet name="MOS" sheetId="75" r:id="rId20"/>
    <sheet name="KCE-SI-398 R1" sheetId="119" r:id="rId21"/>
    <sheet name="SI-364" sheetId="120" r:id="rId22"/>
  </sheets>
  <externalReferences>
    <externalReference r:id="rId23"/>
    <externalReference r:id="rId24"/>
    <externalReference r:id="rId25"/>
    <externalReference r:id="rId26"/>
    <externalReference r:id="rId27"/>
    <externalReference r:id="rId28"/>
    <externalReference r:id="rId29"/>
  </externalReferences>
  <definedNames>
    <definedName name="\B" localSheetId="9">#N/A</definedName>
    <definedName name="\B" localSheetId="15">#N/A</definedName>
    <definedName name="\B" localSheetId="16">#N/A</definedName>
    <definedName name="\D" localSheetId="9">#N/A</definedName>
    <definedName name="\D" localSheetId="15">#N/A</definedName>
    <definedName name="\D" localSheetId="16">#N/A</definedName>
    <definedName name="\P" localSheetId="9">#N/A</definedName>
    <definedName name="\P" localSheetId="15">#N/A</definedName>
    <definedName name="\P" localSheetId="16">#N/A</definedName>
    <definedName name="\r" localSheetId="9">#N/A</definedName>
    <definedName name="\r" localSheetId="15">#N/A</definedName>
    <definedName name="\r" localSheetId="16">#N/A</definedName>
    <definedName name="\s" localSheetId="9">#N/A</definedName>
    <definedName name="\s" localSheetId="15">#N/A</definedName>
    <definedName name="\s" localSheetId="16">#N/A</definedName>
    <definedName name="\T" localSheetId="9">#N/A</definedName>
    <definedName name="\T" localSheetId="15">#N/A</definedName>
    <definedName name="\T" localSheetId="16">#N/A</definedName>
    <definedName name="\U" localSheetId="9">#N/A</definedName>
    <definedName name="\U" localSheetId="15">#N/A</definedName>
    <definedName name="\U" localSheetId="16">#N/A</definedName>
    <definedName name="\X" localSheetId="9">#N/A</definedName>
    <definedName name="\X" localSheetId="15">#N/A</definedName>
    <definedName name="\X" localSheetId="16">#N/A</definedName>
    <definedName name="\Z" localSheetId="9">#N/A</definedName>
    <definedName name="\Z" localSheetId="15">#N/A</definedName>
    <definedName name="\Z" localSheetId="16">#N/A</definedName>
    <definedName name="_Fill" localSheetId="1" hidden="1">'[1]LTR-2'!#REF!</definedName>
    <definedName name="_Fill" localSheetId="8" hidden="1">'[2]LTR-2'!#REF!</definedName>
    <definedName name="_Fill" hidden="1">'[1]LTR-2'!#REF!</definedName>
    <definedName name="_xlnm._FilterDatabase" localSheetId="8" hidden="1">'SI 130 - Progress'!$A$1:$R$41</definedName>
    <definedName name="_Key1" localSheetId="1" hidden="1">'[1]LTR-2'!#REF!</definedName>
    <definedName name="_Key1" localSheetId="8" hidden="1">'[2]LTR-2'!#REF!</definedName>
    <definedName name="_Key1" hidden="1">'[1]LTR-2'!#REF!</definedName>
    <definedName name="_Key2" localSheetId="1" hidden="1">'[1]LTR-2'!#REF!</definedName>
    <definedName name="_Key2" localSheetId="8" hidden="1">'[2]LTR-2'!#REF!</definedName>
    <definedName name="_Key2" hidden="1">'[1]LTR-2'!#REF!</definedName>
    <definedName name="_Order1" hidden="1">255</definedName>
    <definedName name="_Order2" hidden="1">0</definedName>
    <definedName name="_Sort" localSheetId="1" hidden="1">'[1]LTR-2'!#REF!</definedName>
    <definedName name="_Sort" localSheetId="8" hidden="1">'[2]LTR-2'!#REF!</definedName>
    <definedName name="_Sort" hidden="1">'[1]LTR-2'!#REF!</definedName>
    <definedName name="A" localSheetId="1" hidden="1">'[2]LTR-2'!#REF!</definedName>
    <definedName name="a" localSheetId="8">[3]Summary!#REF!</definedName>
    <definedName name="A" hidden="1">'[2]LTR-2'!#REF!</definedName>
    <definedName name="A1BON" localSheetId="9">#N/A</definedName>
    <definedName name="A1BON" localSheetId="15">#N/A</definedName>
    <definedName name="A1BON" localSheetId="16">#N/A</definedName>
    <definedName name="A1SAL" localSheetId="9">#N/A</definedName>
    <definedName name="A1SAL" localSheetId="15">#N/A</definedName>
    <definedName name="A1SAL" localSheetId="16">#N/A</definedName>
    <definedName name="A2LA" localSheetId="9">#N/A</definedName>
    <definedName name="A2LA" localSheetId="15">#N/A</definedName>
    <definedName name="A2LA" localSheetId="16">#N/A</definedName>
    <definedName name="A3INIT" localSheetId="9">#N/A</definedName>
    <definedName name="A3INIT" localSheetId="15">#N/A</definedName>
    <definedName name="A3INIT" localSheetId="16">#N/A</definedName>
    <definedName name="A4RECUR" localSheetId="9">#N/A</definedName>
    <definedName name="A4RECUR" localSheetId="15">#N/A</definedName>
    <definedName name="A4RECUR" localSheetId="16">#N/A</definedName>
    <definedName name="A5FARES" localSheetId="9">#N/A</definedName>
    <definedName name="A5FARES" localSheetId="15">#N/A</definedName>
    <definedName name="A5FARES" localSheetId="16">#N/A</definedName>
    <definedName name="A5LEAVE" localSheetId="9">#N/A</definedName>
    <definedName name="A5LEAVE" localSheetId="15">#N/A</definedName>
    <definedName name="A5LEAVE" localSheetId="16">#N/A</definedName>
    <definedName name="A5RETURN" localSheetId="9">#N/A</definedName>
    <definedName name="A5RETURN" localSheetId="15">#N/A</definedName>
    <definedName name="A5RETURN" localSheetId="16">#N/A</definedName>
    <definedName name="A6SUND" localSheetId="9">#N/A</definedName>
    <definedName name="A6SUND" localSheetId="15">#N/A</definedName>
    <definedName name="A6SUND" localSheetId="16">#N/A</definedName>
    <definedName name="A7_TAX" localSheetId="9">#N/A</definedName>
    <definedName name="A7_TAX" localSheetId="15">#N/A</definedName>
    <definedName name="A7_TAX" localSheetId="16">#N/A</definedName>
    <definedName name="A7HTAX" localSheetId="9">#N/A</definedName>
    <definedName name="A7HTAX" localSheetId="15">#N/A</definedName>
    <definedName name="A7HTAX" localSheetId="16">#N/A</definedName>
    <definedName name="A7NINS" localSheetId="9">#N/A</definedName>
    <definedName name="A7NINS" localSheetId="15">#N/A</definedName>
    <definedName name="A7NINS" localSheetId="16">#N/A</definedName>
    <definedName name="A7TAX" localSheetId="9">#N/A</definedName>
    <definedName name="A7TAX" localSheetId="15">#N/A</definedName>
    <definedName name="A7TAX" localSheetId="16">#N/A</definedName>
    <definedName name="AA" localSheetId="9">#N/A</definedName>
    <definedName name="AA" localSheetId="15">#N/A</definedName>
    <definedName name="AA" localSheetId="16">#N/A</definedName>
    <definedName name="aaaaa" localSheetId="15">#REF!</definedName>
    <definedName name="aaaaa" localSheetId="16">#REF!</definedName>
    <definedName name="aaaaaaaaaaaaaaaaaaa" localSheetId="15">#REF!</definedName>
    <definedName name="aaaaaaaaaaaaaaaaaaa" localSheetId="16">#REF!</definedName>
    <definedName name="aaaaaaaaaaaaaaaaaaaaa" localSheetId="15">#REF!</definedName>
    <definedName name="aaaaaaaaaaaaaaaaaaaaa" localSheetId="16">#REF!</definedName>
    <definedName name="aaaaaaaaaaaaaaaaaaaaaa" localSheetId="15">#REF!</definedName>
    <definedName name="aaaaaaaaaaaaaaaaaaaaaa" localSheetId="16">#REF!</definedName>
    <definedName name="aaaaaaaaaaaaaaaaaaaaaaaa" localSheetId="15">#REF!</definedName>
    <definedName name="aaaaaaaaaaaaaaaaaaaaaaaa" localSheetId="16">#REF!</definedName>
    <definedName name="aaaaaaaaaaaaaaaaaaaaaaaaa" localSheetId="15">[4]Summary!#REF!</definedName>
    <definedName name="aaaaaaaaaaaaaaaaaaaaaaaaa" localSheetId="16">[4]Summary!#REF!</definedName>
    <definedName name="aaaaaaaaaaaaaaaaaaaaaaaaaaaaa" localSheetId="15">#REF!</definedName>
    <definedName name="aaaaaaaaaaaaaaaaaaaaaaaaaaaaa" localSheetId="16">#REF!</definedName>
    <definedName name="aaaaaaaaaaaaaaaaaaaaaaaaaaaaaa" localSheetId="15">[4]Summary!#REF!</definedName>
    <definedName name="aaaaaaaaaaaaaaaaaaaaaaaaaaaaaa" localSheetId="16">[4]Summary!#REF!</definedName>
    <definedName name="aaaaaaaaaaaaaaaaaaaaaaaaaaaaaaaaaaaaaa" localSheetId="15">[4]Summary!#REF!</definedName>
    <definedName name="aaaaaaaaaaaaaaaaaaaaaaaaaaaaaaaaaaaaaa" localSheetId="16">[4]Summary!#REF!</definedName>
    <definedName name="AccessDatabase" hidden="1">"C:\123R4W\GILBERT\CS\MCS8299.mdb"</definedName>
    <definedName name="ACCOM" localSheetId="9">#N/A</definedName>
    <definedName name="ACCOM" localSheetId="15">#N/A</definedName>
    <definedName name="ACCOM" localSheetId="16">#N/A</definedName>
    <definedName name="ADD" localSheetId="9">#N/A</definedName>
    <definedName name="ADD" localSheetId="15">#N/A</definedName>
    <definedName name="ADD" localSheetId="16">#N/A</definedName>
    <definedName name="adjustment" localSheetId="9">#N/A</definedName>
    <definedName name="adjustment" localSheetId="15">#N/A</definedName>
    <definedName name="adjustment" localSheetId="16">#N/A</definedName>
    <definedName name="alban" localSheetId="15">[5]Summary!#REF!</definedName>
    <definedName name="alban" localSheetId="16">[5]Summary!#REF!</definedName>
    <definedName name="ALLOW" localSheetId="9">#N/A</definedName>
    <definedName name="ALLOW" localSheetId="15">#N/A</definedName>
    <definedName name="ALLOW" localSheetId="16">#N/A</definedName>
    <definedName name="are" localSheetId="8">[6]Summary!#REF!</definedName>
    <definedName name="aris" localSheetId="8">[5]Summary!#REF!</definedName>
    <definedName name="ASUMF" localSheetId="9">#N/A</definedName>
    <definedName name="ASUMF" localSheetId="15">#N/A</definedName>
    <definedName name="ASUMF" localSheetId="16">#N/A</definedName>
    <definedName name="ATT" localSheetId="9">#N/A</definedName>
    <definedName name="ATT" localSheetId="15">#N/A</definedName>
    <definedName name="ATT" localSheetId="16">#N/A</definedName>
    <definedName name="ATTSC" localSheetId="9">#N/A</definedName>
    <definedName name="ATTSC" localSheetId="15">#N/A</definedName>
    <definedName name="ATTSC" localSheetId="16">#N/A</definedName>
    <definedName name="B" localSheetId="1" hidden="1">'[2]LTR-2'!#REF!</definedName>
    <definedName name="B" hidden="1">'[2]LTR-2'!#REF!</definedName>
    <definedName name="ban" localSheetId="15">#REF!</definedName>
    <definedName name="ban" localSheetId="16">#REF!</definedName>
    <definedName name="BB" localSheetId="9">#N/A</definedName>
    <definedName name="BB" localSheetId="15">#N/A</definedName>
    <definedName name="BB" localSheetId="16">#N/A</definedName>
    <definedName name="bbbbbbbbbbbbbbbbbbbbbb" localSheetId="15">#REF!</definedName>
    <definedName name="bbbbbbbbbbbbbbbbbbbbbb" localSheetId="16">#REF!</definedName>
    <definedName name="BOOK" localSheetId="9">#N/A</definedName>
    <definedName name="BOOK" localSheetId="15">#N/A</definedName>
    <definedName name="BOOK" localSheetId="16">#N/A</definedName>
    <definedName name="BOQ" localSheetId="8">#REF!</definedName>
    <definedName name="BOQOYIP" localSheetId="8">#REF!</definedName>
    <definedName name="BSUMF" localSheetId="9">#N/A</definedName>
    <definedName name="BSUMF" localSheetId="15">#N/A</definedName>
    <definedName name="BSUMF" localSheetId="16">#N/A</definedName>
    <definedName name="CAMP" localSheetId="9">#N/A</definedName>
    <definedName name="CAMP" localSheetId="15">#N/A</definedName>
    <definedName name="CAMP" localSheetId="16">#N/A</definedName>
    <definedName name="CAMPX" localSheetId="9">#N/A</definedName>
    <definedName name="CAMPX" localSheetId="15">#N/A</definedName>
    <definedName name="CAMPX" localSheetId="16">#N/A</definedName>
    <definedName name="CATER" localSheetId="9">#N/A</definedName>
    <definedName name="CATER" localSheetId="15">#N/A</definedName>
    <definedName name="CATER" localSheetId="16">#N/A</definedName>
    <definedName name="cc" localSheetId="1" hidden="1">{#N/A,#N/A,FALSE,"J-cladding";#N/A,#N/A,FALSE,"L-DT-Cladding";#N/A,#N/A,FALSE,"L-DF-Cladding";#N/A,#N/A,FALSE,"P-Cladding";#N/A,#N/A,FALSE,"N-Cladding";#N/A,#N/A,FALSE,"O-Cladding";#N/A,#N/A,FALSE,"G-Cladding"}</definedName>
    <definedName name="cc" localSheetId="10" hidden="1">{#N/A,#N/A,FALSE,"J-cladding";#N/A,#N/A,FALSE,"L-DT-Cladding";#N/A,#N/A,FALSE,"L-DF-Cladding";#N/A,#N/A,FALSE,"P-Cladding";#N/A,#N/A,FALSE,"N-Cladding";#N/A,#N/A,FALSE,"O-Cladding";#N/A,#N/A,FALSE,"G-Cladding"}</definedName>
    <definedName name="cc" localSheetId="17" hidden="1">{#N/A,#N/A,FALSE,"J-cladding";#N/A,#N/A,FALSE,"L-DT-Cladding";#N/A,#N/A,FALSE,"L-DF-Cladding";#N/A,#N/A,FALSE,"P-Cladding";#N/A,#N/A,FALSE,"N-Cladding";#N/A,#N/A,FALSE,"O-Cladding";#N/A,#N/A,FALSE,"G-Cladding"}</definedName>
    <definedName name="cc" localSheetId="18" hidden="1">{#N/A,#N/A,FALSE,"J-cladding";#N/A,#N/A,FALSE,"L-DT-Cladding";#N/A,#N/A,FALSE,"L-DF-Cladding";#N/A,#N/A,FALSE,"P-Cladding";#N/A,#N/A,FALSE,"N-Cladding";#N/A,#N/A,FALSE,"O-Cladding";#N/A,#N/A,FALSE,"G-Cladding"}</definedName>
    <definedName name="cc" localSheetId="20" hidden="1">{#N/A,#N/A,FALSE,"J-cladding";#N/A,#N/A,FALSE,"L-DT-Cladding";#N/A,#N/A,FALSE,"L-DF-Cladding";#N/A,#N/A,FALSE,"P-Cladding";#N/A,#N/A,FALSE,"N-Cladding";#N/A,#N/A,FALSE,"O-Cladding";#N/A,#N/A,FALSE,"G-Cladding"}</definedName>
    <definedName name="cc" localSheetId="19" hidden="1">{#N/A,#N/A,FALSE,"J-cladding";#N/A,#N/A,FALSE,"L-DT-Cladding";#N/A,#N/A,FALSE,"L-DF-Cladding";#N/A,#N/A,FALSE,"P-Cladding";#N/A,#N/A,FALSE,"N-Cladding";#N/A,#N/A,FALSE,"O-Cladding";#N/A,#N/A,FALSE,"G-Cladding"}</definedName>
    <definedName name="cc" localSheetId="8" hidden="1">{#N/A,#N/A,FALSE,"J-cladding";#N/A,#N/A,FALSE,"L-DT-Cladding";#N/A,#N/A,FALSE,"L-DF-Cladding";#N/A,#N/A,FALSE,"P-Cladding";#N/A,#N/A,FALSE,"N-Cladding";#N/A,#N/A,FALSE,"O-Cladding";#N/A,#N/A,FALSE,"G-Cladding"}</definedName>
    <definedName name="cc" localSheetId="9" hidden="1">{#N/A,#N/A,FALSE,"J-cladding";#N/A,#N/A,FALSE,"L-DT-Cladding";#N/A,#N/A,FALSE,"L-DF-Cladding";#N/A,#N/A,FALSE,"P-Cladding";#N/A,#N/A,FALSE,"N-Cladding";#N/A,#N/A,FALSE,"O-Cladding";#N/A,#N/A,FALSE,"G-Cladding"}</definedName>
    <definedName name="cc" localSheetId="15" hidden="1">{#N/A,#N/A,FALSE,"J-cladding";#N/A,#N/A,FALSE,"L-DT-Cladding";#N/A,#N/A,FALSE,"L-DF-Cladding";#N/A,#N/A,FALSE,"P-Cladding";#N/A,#N/A,FALSE,"N-Cladding";#N/A,#N/A,FALSE,"O-Cladding";#N/A,#N/A,FALSE,"G-Cladding"}</definedName>
    <definedName name="cc" localSheetId="16" hidden="1">{#N/A,#N/A,FALSE,"J-cladding";#N/A,#N/A,FALSE,"L-DT-Cladding";#N/A,#N/A,FALSE,"L-DF-Cladding";#N/A,#N/A,FALSE,"P-Cladding";#N/A,#N/A,FALSE,"N-Cladding";#N/A,#N/A,FALSE,"O-Cladding";#N/A,#N/A,FALSE,"G-Cladding"}</definedName>
    <definedName name="cc" localSheetId="21" hidden="1">{#N/A,#N/A,FALSE,"J-cladding";#N/A,#N/A,FALSE,"L-DT-Cladding";#N/A,#N/A,FALSE,"L-DF-Cladding";#N/A,#N/A,FALSE,"P-Cladding";#N/A,#N/A,FALSE,"N-Cladding";#N/A,#N/A,FALSE,"O-Cladding";#N/A,#N/A,FALSE,"G-Cladding"}</definedName>
    <definedName name="cc" localSheetId="0" hidden="1">{#N/A,#N/A,FALSE,"J-cladding";#N/A,#N/A,FALSE,"L-DT-Cladding";#N/A,#N/A,FALSE,"L-DF-Cladding";#N/A,#N/A,FALSE,"P-Cladding";#N/A,#N/A,FALSE,"N-Cladding";#N/A,#N/A,FALSE,"O-Cladding";#N/A,#N/A,FALSE,"G-Cladding"}</definedName>
    <definedName name="cc" localSheetId="11" hidden="1">{#N/A,#N/A,FALSE,"J-cladding";#N/A,#N/A,FALSE,"L-DT-Cladding";#N/A,#N/A,FALSE,"L-DF-Cladding";#N/A,#N/A,FALSE,"P-Cladding";#N/A,#N/A,FALSE,"N-Cladding";#N/A,#N/A,FALSE,"O-Cladding";#N/A,#N/A,FALSE,"G-Cladding"}</definedName>
    <definedName name="cc" hidden="1">{#N/A,#N/A,FALSE,"J-cladding";#N/A,#N/A,FALSE,"L-DT-Cladding";#N/A,#N/A,FALSE,"L-DF-Cladding";#N/A,#N/A,FALSE,"P-Cladding";#N/A,#N/A,FALSE,"N-Cladding";#N/A,#N/A,FALSE,"O-Cladding";#N/A,#N/A,FALSE,"G-Cladding"}</definedName>
    <definedName name="CFAC" localSheetId="9">#N/A</definedName>
    <definedName name="CFAC" localSheetId="15">#N/A</definedName>
    <definedName name="CFAC" localSheetId="16">#N/A</definedName>
    <definedName name="Code" localSheetId="9">#N/A</definedName>
    <definedName name="Code" localSheetId="15">#N/A</definedName>
    <definedName name="Code" localSheetId="16">#N/A</definedName>
    <definedName name="COLOR" localSheetId="9">#N/A</definedName>
    <definedName name="COLOR" localSheetId="15">#N/A</definedName>
    <definedName name="COLOR" localSheetId="16">#N/A</definedName>
    <definedName name="COMPANY" localSheetId="9">#N/A</definedName>
    <definedName name="COMPANY" localSheetId="15">#N/A</definedName>
    <definedName name="COMPANY" localSheetId="16">#N/A</definedName>
    <definedName name="con" localSheetId="15">#REF!</definedName>
    <definedName name="con" localSheetId="16">#REF!</definedName>
    <definedName name="COVERA" localSheetId="9">#N/A</definedName>
    <definedName name="COVERA" localSheetId="15">#N/A</definedName>
    <definedName name="COVERA" localSheetId="16">#N/A</definedName>
    <definedName name="COVERB" localSheetId="9">#N/A</definedName>
    <definedName name="COVERB" localSheetId="15">#N/A</definedName>
    <definedName name="COVERB" localSheetId="16">#N/A</definedName>
    <definedName name="COVERC" localSheetId="9">#N/A</definedName>
    <definedName name="COVERC" localSheetId="15">#N/A</definedName>
    <definedName name="COVERC" localSheetId="16">#N/A</definedName>
    <definedName name="COVERD" localSheetId="9">#N/A</definedName>
    <definedName name="COVERD" localSheetId="15">#N/A</definedName>
    <definedName name="COVERD" localSheetId="16">#N/A</definedName>
    <definedName name="COVERE" localSheetId="9">#N/A</definedName>
    <definedName name="COVERE" localSheetId="15">#N/A</definedName>
    <definedName name="COVERE" localSheetId="16">#N/A</definedName>
    <definedName name="COVERS" localSheetId="9">#N/A</definedName>
    <definedName name="COVERS" localSheetId="15">#N/A</definedName>
    <definedName name="COVERS" localSheetId="16">#N/A</definedName>
    <definedName name="CSUMF" localSheetId="9">#N/A</definedName>
    <definedName name="CSUMF" localSheetId="15">#N/A</definedName>
    <definedName name="CSUMF" localSheetId="16">#N/A</definedName>
    <definedName name="CURRENCY" localSheetId="9">#N/A</definedName>
    <definedName name="CURRENCY" localSheetId="15">#N/A</definedName>
    <definedName name="CURRENCY" localSheetId="16">#N/A</definedName>
    <definedName name="D" localSheetId="9">#N/A</definedName>
    <definedName name="D" localSheetId="15">#N/A</definedName>
    <definedName name="D" localSheetId="16">#N/A</definedName>
    <definedName name="DATA" localSheetId="9">#N/A</definedName>
    <definedName name="DATA" localSheetId="15">#N/A</definedName>
    <definedName name="DATA" localSheetId="16">#N/A</definedName>
    <definedName name="_xlnm.Database" localSheetId="9">#N/A</definedName>
    <definedName name="_xlnm.Database" localSheetId="15">#N/A</definedName>
    <definedName name="_xlnm.Database" localSheetId="16">#N/A</definedName>
    <definedName name="DATE" localSheetId="9">#N/A</definedName>
    <definedName name="DATE" localSheetId="15">#N/A</definedName>
    <definedName name="DATE" localSheetId="16">#N/A</definedName>
    <definedName name="DD" localSheetId="9">#N/A</definedName>
    <definedName name="DD" localSheetId="15">#N/A</definedName>
    <definedName name="DD" localSheetId="16">#N/A</definedName>
    <definedName name="DELfeb09" hidden="1">#REF!</definedName>
    <definedName name="DSUMF" localSheetId="9">#N/A</definedName>
    <definedName name="DSUMF" localSheetId="15">#N/A</definedName>
    <definedName name="DSUMF" localSheetId="16">#N/A</definedName>
    <definedName name="E" localSheetId="9">#N/A</definedName>
    <definedName name="E" localSheetId="15">#N/A</definedName>
    <definedName name="E" localSheetId="16">#N/A</definedName>
    <definedName name="EE" localSheetId="9">#N/A</definedName>
    <definedName name="EE" localSheetId="15">#N/A</definedName>
    <definedName name="EE" localSheetId="16">#N/A</definedName>
    <definedName name="efrdefd" localSheetId="1" hidden="1">{#N/A,#N/A,FALSE,"BS-lead";#N/A,#N/A,FALSE,"BS- cladding";#N/A,#N/A,FALSE,"BS-GRC";#N/A,#N/A,FALSE,"P&amp;L-Lead";#N/A,#N/A,FALSE,"P&amp;L-Cladding";#N/A,#N/A,FALSE,"P&amp;L-GRC"}</definedName>
    <definedName name="efrdefd" localSheetId="10" hidden="1">{#N/A,#N/A,FALSE,"BS-lead";#N/A,#N/A,FALSE,"BS- cladding";#N/A,#N/A,FALSE,"BS-GRC";#N/A,#N/A,FALSE,"P&amp;L-Lead";#N/A,#N/A,FALSE,"P&amp;L-Cladding";#N/A,#N/A,FALSE,"P&amp;L-GRC"}</definedName>
    <definedName name="efrdefd" localSheetId="17" hidden="1">{#N/A,#N/A,FALSE,"BS-lead";#N/A,#N/A,FALSE,"BS- cladding";#N/A,#N/A,FALSE,"BS-GRC";#N/A,#N/A,FALSE,"P&amp;L-Lead";#N/A,#N/A,FALSE,"P&amp;L-Cladding";#N/A,#N/A,FALSE,"P&amp;L-GRC"}</definedName>
    <definedName name="efrdefd" localSheetId="18" hidden="1">{#N/A,#N/A,FALSE,"BS-lead";#N/A,#N/A,FALSE,"BS- cladding";#N/A,#N/A,FALSE,"BS-GRC";#N/A,#N/A,FALSE,"P&amp;L-Lead";#N/A,#N/A,FALSE,"P&amp;L-Cladding";#N/A,#N/A,FALSE,"P&amp;L-GRC"}</definedName>
    <definedName name="efrdefd" localSheetId="20" hidden="1">{#N/A,#N/A,FALSE,"BS-lead";#N/A,#N/A,FALSE,"BS- cladding";#N/A,#N/A,FALSE,"BS-GRC";#N/A,#N/A,FALSE,"P&amp;L-Lead";#N/A,#N/A,FALSE,"P&amp;L-Cladding";#N/A,#N/A,FALSE,"P&amp;L-GRC"}</definedName>
    <definedName name="efrdefd" localSheetId="19" hidden="1">{#N/A,#N/A,FALSE,"BS-lead";#N/A,#N/A,FALSE,"BS- cladding";#N/A,#N/A,FALSE,"BS-GRC";#N/A,#N/A,FALSE,"P&amp;L-Lead";#N/A,#N/A,FALSE,"P&amp;L-Cladding";#N/A,#N/A,FALSE,"P&amp;L-GRC"}</definedName>
    <definedName name="efrdefd" localSheetId="8" hidden="1">{#N/A,#N/A,FALSE,"BS-lead";#N/A,#N/A,FALSE,"BS- cladding";#N/A,#N/A,FALSE,"BS-GRC";#N/A,#N/A,FALSE,"P&amp;L-Lead";#N/A,#N/A,FALSE,"P&amp;L-Cladding";#N/A,#N/A,FALSE,"P&amp;L-GRC"}</definedName>
    <definedName name="efrdefd" localSheetId="9" hidden="1">{#N/A,#N/A,FALSE,"BS-lead";#N/A,#N/A,FALSE,"BS- cladding";#N/A,#N/A,FALSE,"BS-GRC";#N/A,#N/A,FALSE,"P&amp;L-Lead";#N/A,#N/A,FALSE,"P&amp;L-Cladding";#N/A,#N/A,FALSE,"P&amp;L-GRC"}</definedName>
    <definedName name="efrdefd" localSheetId="15" hidden="1">{#N/A,#N/A,FALSE,"BS-lead";#N/A,#N/A,FALSE,"BS- cladding";#N/A,#N/A,FALSE,"BS-GRC";#N/A,#N/A,FALSE,"P&amp;L-Lead";#N/A,#N/A,FALSE,"P&amp;L-Cladding";#N/A,#N/A,FALSE,"P&amp;L-GRC"}</definedName>
    <definedName name="efrdefd" localSheetId="16" hidden="1">{#N/A,#N/A,FALSE,"BS-lead";#N/A,#N/A,FALSE,"BS- cladding";#N/A,#N/A,FALSE,"BS-GRC";#N/A,#N/A,FALSE,"P&amp;L-Lead";#N/A,#N/A,FALSE,"P&amp;L-Cladding";#N/A,#N/A,FALSE,"P&amp;L-GRC"}</definedName>
    <definedName name="efrdefd" localSheetId="21" hidden="1">{#N/A,#N/A,FALSE,"BS-lead";#N/A,#N/A,FALSE,"BS- cladding";#N/A,#N/A,FALSE,"BS-GRC";#N/A,#N/A,FALSE,"P&amp;L-Lead";#N/A,#N/A,FALSE,"P&amp;L-Cladding";#N/A,#N/A,FALSE,"P&amp;L-GRC"}</definedName>
    <definedName name="efrdefd" localSheetId="0" hidden="1">{#N/A,#N/A,FALSE,"BS-lead";#N/A,#N/A,FALSE,"BS- cladding";#N/A,#N/A,FALSE,"BS-GRC";#N/A,#N/A,FALSE,"P&amp;L-Lead";#N/A,#N/A,FALSE,"P&amp;L-Cladding";#N/A,#N/A,FALSE,"P&amp;L-GRC"}</definedName>
    <definedName name="efrdefd" localSheetId="11"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LCON" localSheetId="9">#N/A</definedName>
    <definedName name="ELCON" localSheetId="15">#N/A</definedName>
    <definedName name="ELCON" localSheetId="16">#N/A</definedName>
    <definedName name="ELINS" localSheetId="9">#N/A</definedName>
    <definedName name="ELINS" localSheetId="15">#N/A</definedName>
    <definedName name="ELINS" localSheetId="16">#N/A</definedName>
    <definedName name="EQUIP" localSheetId="9">#N/A</definedName>
    <definedName name="EQUIP" localSheetId="15">#N/A</definedName>
    <definedName name="EQUIP" localSheetId="16">#N/A</definedName>
    <definedName name="ERROR" localSheetId="9">#N/A</definedName>
    <definedName name="ERROR" localSheetId="15">#N/A</definedName>
    <definedName name="ERROR" localSheetId="16">#N/A</definedName>
    <definedName name="ESTAB" localSheetId="9">#N/A</definedName>
    <definedName name="ESTAB" localSheetId="15">#N/A</definedName>
    <definedName name="ESTAB" localSheetId="16">#N/A</definedName>
    <definedName name="ESTABX" localSheetId="9">#N/A</definedName>
    <definedName name="ESTABX" localSheetId="15">#N/A</definedName>
    <definedName name="ESTABX" localSheetId="16">#N/A</definedName>
    <definedName name="ESUMF" localSheetId="9">#N/A</definedName>
    <definedName name="ESUMF" localSheetId="15">#N/A</definedName>
    <definedName name="ESUMF" localSheetId="16">#N/A</definedName>
    <definedName name="F" localSheetId="9">#N/A</definedName>
    <definedName name="F" localSheetId="15">#N/A</definedName>
    <definedName name="F" localSheetId="16">#N/A</definedName>
    <definedName name="FARES" localSheetId="9">#N/A</definedName>
    <definedName name="FARES" localSheetId="15">#N/A</definedName>
    <definedName name="FARES" localSheetId="16">#N/A</definedName>
    <definedName name="FF" localSheetId="9">#N/A</definedName>
    <definedName name="FF" localSheetId="15">#N/A</definedName>
    <definedName name="FF" localSheetId="16">#N/A</definedName>
    <definedName name="FILENAME" localSheetId="9">#N/A</definedName>
    <definedName name="FILENAME" localSheetId="15">#N/A</definedName>
    <definedName name="FILENAME" localSheetId="16">#N/A</definedName>
    <definedName name="FUEL" localSheetId="9">#N/A</definedName>
    <definedName name="FUEL" localSheetId="15">#N/A</definedName>
    <definedName name="FUEL" localSheetId="16">#N/A</definedName>
    <definedName name="G" localSheetId="9">#N/A</definedName>
    <definedName name="G" localSheetId="15">#N/A</definedName>
    <definedName name="G" localSheetId="16">#N/A</definedName>
    <definedName name="GEN" localSheetId="9">#N/A</definedName>
    <definedName name="GEN" localSheetId="15">#N/A</definedName>
    <definedName name="GEN" localSheetId="16">#N/A</definedName>
    <definedName name="GENX" localSheetId="9">#N/A</definedName>
    <definedName name="GENX" localSheetId="15">#N/A</definedName>
    <definedName name="GENX" localSheetId="16">#N/A</definedName>
    <definedName name="H" localSheetId="9">#N/A</definedName>
    <definedName name="H" localSheetId="15">#N/A</definedName>
    <definedName name="H" localSheetId="16">#N/A</definedName>
    <definedName name="HEADER" localSheetId="9">#N/A</definedName>
    <definedName name="HEADER" localSheetId="15">#N/A</definedName>
    <definedName name="HEADER" localSheetId="16">#N/A</definedName>
    <definedName name="HEADERA" localSheetId="9">#N/A</definedName>
    <definedName name="HEADERA" localSheetId="15">#N/A</definedName>
    <definedName name="HEADERA" localSheetId="16">#N/A</definedName>
    <definedName name="HEADERB" localSheetId="9">#N/A</definedName>
    <definedName name="HEADERB" localSheetId="15">#N/A</definedName>
    <definedName name="HEADERB" localSheetId="16">#N/A</definedName>
    <definedName name="HEADERC" localSheetId="9">#N/A</definedName>
    <definedName name="HEADERC" localSheetId="15">#N/A</definedName>
    <definedName name="HEADERC" localSheetId="16">#N/A</definedName>
    <definedName name="HEADERD" localSheetId="9">#N/A</definedName>
    <definedName name="HEADERD" localSheetId="15">#N/A</definedName>
    <definedName name="HEADERD" localSheetId="16">#N/A</definedName>
    <definedName name="HEADERE" localSheetId="9">#N/A</definedName>
    <definedName name="HEADERE" localSheetId="15">#N/A</definedName>
    <definedName name="HEADERE" localSheetId="16">#N/A</definedName>
    <definedName name="HEADERS" localSheetId="9">#N/A</definedName>
    <definedName name="HEADERS" localSheetId="15">#N/A</definedName>
    <definedName name="HEADERS" localSheetId="16">#N/A</definedName>
    <definedName name="HH" localSheetId="9">#N/A</definedName>
    <definedName name="HH" localSheetId="15">#N/A</definedName>
    <definedName name="HH" localSheetId="16">#N/A</definedName>
    <definedName name="HIRED" localSheetId="9">#N/A</definedName>
    <definedName name="HIRED" localSheetId="15">#N/A</definedName>
    <definedName name="HIRED" localSheetId="16">#N/A</definedName>
    <definedName name="HOC" localSheetId="9">#N/A</definedName>
    <definedName name="HOC" localSheetId="15">#N/A</definedName>
    <definedName name="HOC" localSheetId="16">#N/A</definedName>
    <definedName name="HOV" localSheetId="9">#N/A</definedName>
    <definedName name="HOV" localSheetId="15">#N/A</definedName>
    <definedName name="HOV" localSheetId="16">#N/A</definedName>
    <definedName name="iiiiiiiiiiiiiiiiiiiiiiiiiiiiiiiiii" localSheetId="15">#REF!</definedName>
    <definedName name="iiiiiiiiiiiiiiiiiiiiiiiiiiiiiiiiii" localSheetId="16">#REF!</definedName>
    <definedName name="INF" localSheetId="9">#N/A</definedName>
    <definedName name="INF" localSheetId="15">#N/A</definedName>
    <definedName name="INF" localSheetId="16">#N/A</definedName>
    <definedName name="INSTAL" localSheetId="9">#N/A</definedName>
    <definedName name="INSTAL" localSheetId="15">#N/A</definedName>
    <definedName name="INSTAL" localSheetId="16">#N/A</definedName>
    <definedName name="ITEM_CODE" localSheetId="9">#N/A</definedName>
    <definedName name="ITEM_CODE" localSheetId="15">#N/A</definedName>
    <definedName name="ITEM_CODE" localSheetId="16">#N/A</definedName>
    <definedName name="J" localSheetId="9">#N/A</definedName>
    <definedName name="J" localSheetId="15">#N/A</definedName>
    <definedName name="J" localSheetId="16">#N/A</definedName>
    <definedName name="K" localSheetId="9">#N/A</definedName>
    <definedName name="K" localSheetId="15">#N/A</definedName>
    <definedName name="K" localSheetId="16">#N/A</definedName>
    <definedName name="kinaAUD" localSheetId="9">#N/A</definedName>
    <definedName name="kinaAUD" localSheetId="15">#N/A</definedName>
    <definedName name="kinaAUD" localSheetId="16">#N/A</definedName>
    <definedName name="L" localSheetId="9">#N/A</definedName>
    <definedName name="L" localSheetId="15">#N/A</definedName>
    <definedName name="L" localSheetId="16">#N/A</definedName>
    <definedName name="LCM" localSheetId="9">#N/A</definedName>
    <definedName name="LCM" localSheetId="15">#N/A</definedName>
    <definedName name="LCM" localSheetId="16">#N/A</definedName>
    <definedName name="LCS" localSheetId="9">#N/A</definedName>
    <definedName name="LCS" localSheetId="15">#N/A</definedName>
    <definedName name="LCS" localSheetId="16">#N/A</definedName>
    <definedName name="LIBRARY" localSheetId="9">#N/A</definedName>
    <definedName name="LIBRARY" localSheetId="15">#N/A</definedName>
    <definedName name="LIBRARY" localSheetId="16">#N/A</definedName>
    <definedName name="LL" localSheetId="9">#N/A</definedName>
    <definedName name="LL" localSheetId="15">#N/A</definedName>
    <definedName name="LL" localSheetId="16">#N/A</definedName>
    <definedName name="LOCAL" localSheetId="9">#N/A</definedName>
    <definedName name="LOCAL" localSheetId="15">#N/A</definedName>
    <definedName name="LOCAL" localSheetId="16">#N/A</definedName>
    <definedName name="LOCATION" localSheetId="9">#N/A</definedName>
    <definedName name="LOCATION" localSheetId="15">#N/A</definedName>
    <definedName name="LOCATION" localSheetId="16">#N/A</definedName>
    <definedName name="LocFactorGoroka" localSheetId="9">#N/A</definedName>
    <definedName name="LocFactorGoroka" localSheetId="15">#N/A</definedName>
    <definedName name="LocFactorGoroka" localSheetId="16">#N/A</definedName>
    <definedName name="LocFactorHagen" localSheetId="9">#N/A</definedName>
    <definedName name="LocFactorHagen" localSheetId="15">#N/A</definedName>
    <definedName name="LocFactorHagen" localSheetId="16">#N/A</definedName>
    <definedName name="LocFactorKokopo" localSheetId="9">#N/A</definedName>
    <definedName name="LocFactorKokopo" localSheetId="15">#N/A</definedName>
    <definedName name="LocFactorKokopo" localSheetId="16">#N/A</definedName>
    <definedName name="LocFactorLae" localSheetId="9">#N/A</definedName>
    <definedName name="LocFactorLae" localSheetId="15">#N/A</definedName>
    <definedName name="LocFactorLae" localSheetId="16">#N/A</definedName>
    <definedName name="LocFactorMadang" localSheetId="9">#N/A</definedName>
    <definedName name="LocFactorMadang" localSheetId="15">#N/A</definedName>
    <definedName name="LocFactorMadang" localSheetId="16">#N/A</definedName>
    <definedName name="LocFactorWewak" localSheetId="8">#REF!</definedName>
    <definedName name="M" localSheetId="9">#N/A</definedName>
    <definedName name="M" localSheetId="15">#N/A</definedName>
    <definedName name="M" localSheetId="16">#N/A</definedName>
    <definedName name="MAINT" localSheetId="9">#N/A</definedName>
    <definedName name="MAINT" localSheetId="15">#N/A</definedName>
    <definedName name="MAINT" localSheetId="16">#N/A</definedName>
    <definedName name="MCS" hidden="1">#REF!</definedName>
    <definedName name="mmmmmmmmmmmmmmmmmmmmmmm" localSheetId="15">#REF!</definedName>
    <definedName name="mmmmmmmmmmmmmmmmmmmmmmm" localSheetId="16">#REF!</definedName>
    <definedName name="N" localSheetId="9">#N/A</definedName>
    <definedName name="N" localSheetId="15">#N/A</definedName>
    <definedName name="N" localSheetId="16">#N/A</definedName>
    <definedName name="NAME" localSheetId="9">#N/A</definedName>
    <definedName name="NAME" localSheetId="15">#N/A</definedName>
    <definedName name="NAME" localSheetId="16">#N/A</definedName>
    <definedName name="none" localSheetId="1" hidden="1">{#N/A,#N/A,FALSE,"BS-lead";#N/A,#N/A,FALSE,"BS- cladding";#N/A,#N/A,FALSE,"BS-GRC";#N/A,#N/A,FALSE,"P&amp;L-Lead";#N/A,#N/A,FALSE,"P&amp;L-Cladding";#N/A,#N/A,FALSE,"P&amp;L-GRC"}</definedName>
    <definedName name="none" localSheetId="10" hidden="1">{#N/A,#N/A,FALSE,"BS-lead";#N/A,#N/A,FALSE,"BS- cladding";#N/A,#N/A,FALSE,"BS-GRC";#N/A,#N/A,FALSE,"P&amp;L-Lead";#N/A,#N/A,FALSE,"P&amp;L-Cladding";#N/A,#N/A,FALSE,"P&amp;L-GRC"}</definedName>
    <definedName name="none" localSheetId="17" hidden="1">{#N/A,#N/A,FALSE,"BS-lead";#N/A,#N/A,FALSE,"BS- cladding";#N/A,#N/A,FALSE,"BS-GRC";#N/A,#N/A,FALSE,"P&amp;L-Lead";#N/A,#N/A,FALSE,"P&amp;L-Cladding";#N/A,#N/A,FALSE,"P&amp;L-GRC"}</definedName>
    <definedName name="none" localSheetId="18" hidden="1">{#N/A,#N/A,FALSE,"BS-lead";#N/A,#N/A,FALSE,"BS- cladding";#N/A,#N/A,FALSE,"BS-GRC";#N/A,#N/A,FALSE,"P&amp;L-Lead";#N/A,#N/A,FALSE,"P&amp;L-Cladding";#N/A,#N/A,FALSE,"P&amp;L-GRC"}</definedName>
    <definedName name="none" localSheetId="20" hidden="1">{#N/A,#N/A,FALSE,"BS-lead";#N/A,#N/A,FALSE,"BS- cladding";#N/A,#N/A,FALSE,"BS-GRC";#N/A,#N/A,FALSE,"P&amp;L-Lead";#N/A,#N/A,FALSE,"P&amp;L-Cladding";#N/A,#N/A,FALSE,"P&amp;L-GRC"}</definedName>
    <definedName name="none" localSheetId="19" hidden="1">{#N/A,#N/A,FALSE,"BS-lead";#N/A,#N/A,FALSE,"BS- cladding";#N/A,#N/A,FALSE,"BS-GRC";#N/A,#N/A,FALSE,"P&amp;L-Lead";#N/A,#N/A,FALSE,"P&amp;L-Cladding";#N/A,#N/A,FALSE,"P&amp;L-GRC"}</definedName>
    <definedName name="none" localSheetId="8" hidden="1">{#N/A,#N/A,FALSE,"BS-lead";#N/A,#N/A,FALSE,"BS- cladding";#N/A,#N/A,FALSE,"BS-GRC";#N/A,#N/A,FALSE,"P&amp;L-Lead";#N/A,#N/A,FALSE,"P&amp;L-Cladding";#N/A,#N/A,FALSE,"P&amp;L-GRC"}</definedName>
    <definedName name="none" localSheetId="9" hidden="1">{#N/A,#N/A,FALSE,"BS-lead";#N/A,#N/A,FALSE,"BS- cladding";#N/A,#N/A,FALSE,"BS-GRC";#N/A,#N/A,FALSE,"P&amp;L-Lead";#N/A,#N/A,FALSE,"P&amp;L-Cladding";#N/A,#N/A,FALSE,"P&amp;L-GRC"}</definedName>
    <definedName name="none" localSheetId="15" hidden="1">{#N/A,#N/A,FALSE,"BS-lead";#N/A,#N/A,FALSE,"BS- cladding";#N/A,#N/A,FALSE,"BS-GRC";#N/A,#N/A,FALSE,"P&amp;L-Lead";#N/A,#N/A,FALSE,"P&amp;L-Cladding";#N/A,#N/A,FALSE,"P&amp;L-GRC"}</definedName>
    <definedName name="none" localSheetId="16" hidden="1">{#N/A,#N/A,FALSE,"BS-lead";#N/A,#N/A,FALSE,"BS- cladding";#N/A,#N/A,FALSE,"BS-GRC";#N/A,#N/A,FALSE,"P&amp;L-Lead";#N/A,#N/A,FALSE,"P&amp;L-Cladding";#N/A,#N/A,FALSE,"P&amp;L-GRC"}</definedName>
    <definedName name="none" localSheetId="21" hidden="1">{#N/A,#N/A,FALSE,"BS-lead";#N/A,#N/A,FALSE,"BS- cladding";#N/A,#N/A,FALSE,"BS-GRC";#N/A,#N/A,FALSE,"P&amp;L-Lead";#N/A,#N/A,FALSE,"P&amp;L-Cladding";#N/A,#N/A,FALSE,"P&amp;L-GRC"}</definedName>
    <definedName name="none" localSheetId="0" hidden="1">{#N/A,#N/A,FALSE,"BS-lead";#N/A,#N/A,FALSE,"BS- cladding";#N/A,#N/A,FALSE,"BS-GRC";#N/A,#N/A,FALSE,"P&amp;L-Lead";#N/A,#N/A,FALSE,"P&amp;L-Cladding";#N/A,#N/A,FALSE,"P&amp;L-GRC"}</definedName>
    <definedName name="none" localSheetId="11" hidden="1">{#N/A,#N/A,FALSE,"BS-lead";#N/A,#N/A,FALSE,"BS- cladding";#N/A,#N/A,FALSE,"BS-GRC";#N/A,#N/A,FALSE,"P&amp;L-Lead";#N/A,#N/A,FALSE,"P&amp;L-Cladding";#N/A,#N/A,FALSE,"P&amp;L-GRC"}</definedName>
    <definedName name="none" hidden="1">{#N/A,#N/A,FALSE,"BS-lead";#N/A,#N/A,FALSE,"BS- cladding";#N/A,#N/A,FALSE,"BS-GRC";#N/A,#N/A,FALSE,"P&amp;L-Lead";#N/A,#N/A,FALSE,"P&amp;L-Cladding";#N/A,#N/A,FALSE,"P&amp;L-GRC"}</definedName>
    <definedName name="OFFICE" localSheetId="9">#N/A</definedName>
    <definedName name="OFFICE" localSheetId="15">#N/A</definedName>
    <definedName name="OFFICE" localSheetId="16">#N/A</definedName>
    <definedName name="OMI" localSheetId="9">#N/A</definedName>
    <definedName name="OMI" localSheetId="15">#N/A</definedName>
    <definedName name="OMI" localSheetId="16">#N/A</definedName>
    <definedName name="orgcode" localSheetId="9">#N/A</definedName>
    <definedName name="orgcode" localSheetId="15">#N/A</definedName>
    <definedName name="orgcode" localSheetId="16">#N/A</definedName>
    <definedName name="OTHER" localSheetId="9">#N/A</definedName>
    <definedName name="OTHER" localSheetId="15">#N/A</definedName>
    <definedName name="OTHER" localSheetId="16">#N/A</definedName>
    <definedName name="OWNPLANT" localSheetId="9">#N/A</definedName>
    <definedName name="OWNPLANT" localSheetId="15">#N/A</definedName>
    <definedName name="OWNPLANT" localSheetId="16">#N/A</definedName>
    <definedName name="P" localSheetId="9">#N/A</definedName>
    <definedName name="P" localSheetId="15">#N/A</definedName>
    <definedName name="P" localSheetId="16">#N/A</definedName>
    <definedName name="PLANT" localSheetId="9">#N/A</definedName>
    <definedName name="PLANT" localSheetId="15">#N/A</definedName>
    <definedName name="PLANT" localSheetId="16">#N/A</definedName>
    <definedName name="PLANTX" localSheetId="9">#N/A</definedName>
    <definedName name="PLANTX" localSheetId="15">#N/A</definedName>
    <definedName name="PLANTX" localSheetId="16">#N/A</definedName>
    <definedName name="PRELIMS" localSheetId="9">#N/A</definedName>
    <definedName name="PRELIMS" localSheetId="15">#N/A</definedName>
    <definedName name="PRELIMS" localSheetId="16">#N/A</definedName>
    <definedName name="PRINT" localSheetId="9">#N/A</definedName>
    <definedName name="PRINT" localSheetId="15">#N/A</definedName>
    <definedName name="PRINT" localSheetId="16">#N/A</definedName>
    <definedName name="_xlnm.Print_Area" localSheetId="5">'Hotel - 600mm(Qty)'!$A$1:$T$977</definedName>
    <definedName name="_xlnm.Print_Area" localSheetId="6">'Hotel - 900mm(Qty)'!$A$1:$S$119</definedName>
    <definedName name="_xlnm.Print_Area" localSheetId="3">'Residential - 600mm(Qty)'!$A$1:$T$1034</definedName>
    <definedName name="_xlnm.Print_Area" localSheetId="8">'SI 130 - Progress'!$A$1:$Q$71</definedName>
    <definedName name="_xlnm.Print_Area" localSheetId="9">'SI 400 - Progress'!$A$1:$N$42</definedName>
    <definedName name="_xlnm.Print_Area" localSheetId="12">'SI-000079'!$A$1:$H$22</definedName>
    <definedName name="_xlnm.Print_Area" localSheetId="13">'SI-000110'!$A$1:$I$20</definedName>
    <definedName name="_xlnm.Print_Area" localSheetId="14">'SI-000130'!$A$1:$H$53</definedName>
    <definedName name="_xlnm.Print_Area" localSheetId="15">'SI-000296'!$A$1:$I$15</definedName>
    <definedName name="_xlnm.Print_Area" localSheetId="16">'SI-000365'!$A$1:$L$19</definedName>
    <definedName name="_xlnm.Print_Area" localSheetId="0">Summary!$A$1:$F$26</definedName>
    <definedName name="PRINT_AREA_MI" localSheetId="9">#N/A</definedName>
    <definedName name="PRINT_AREA_MI" localSheetId="15">#N/A</definedName>
    <definedName name="PRINT_AREA_MI" localSheetId="16">#N/A</definedName>
    <definedName name="_xlnm.Print_Titles" localSheetId="6">'Hotel - 900mm(Qty)'!$3:$4</definedName>
    <definedName name="_xlnm.Print_Titles" localSheetId="8">'SI 130 - Progress'!$5:$7</definedName>
    <definedName name="PRINT1" localSheetId="9">#N/A</definedName>
    <definedName name="PRINT1" localSheetId="15">#N/A</definedName>
    <definedName name="PRINT1" localSheetId="16">#N/A</definedName>
    <definedName name="PRINT2" localSheetId="9">#N/A</definedName>
    <definedName name="PRINT2" localSheetId="15">#N/A</definedName>
    <definedName name="PRINT2" localSheetId="16">#N/A</definedName>
    <definedName name="PRINTA" localSheetId="9">#N/A</definedName>
    <definedName name="PRINTA" localSheetId="15">#N/A</definedName>
    <definedName name="PRINTA" localSheetId="16">#N/A</definedName>
    <definedName name="PRINTA_E" localSheetId="9">#N/A</definedName>
    <definedName name="PRINTA_E" localSheetId="15">#N/A</definedName>
    <definedName name="PRINTA_E" localSheetId="16">#N/A</definedName>
    <definedName name="PRINTA_S" localSheetId="9">#N/A</definedName>
    <definedName name="PRINTA_S" localSheetId="15">#N/A</definedName>
    <definedName name="PRINTA_S" localSheetId="16">#N/A</definedName>
    <definedName name="PRINTB" localSheetId="9">#N/A</definedName>
    <definedName name="PRINTB" localSheetId="15">#N/A</definedName>
    <definedName name="PRINTB" localSheetId="16">#N/A</definedName>
    <definedName name="PRINTC" localSheetId="9">#N/A</definedName>
    <definedName name="PRINTC" localSheetId="15">#N/A</definedName>
    <definedName name="PRINTC" localSheetId="16">#N/A</definedName>
    <definedName name="PRINTD" localSheetId="9">#N/A</definedName>
    <definedName name="PRINTD" localSheetId="15">#N/A</definedName>
    <definedName name="PRINTD" localSheetId="16">#N/A</definedName>
    <definedName name="PRINTE" localSheetId="9">#N/A</definedName>
    <definedName name="PRINTE" localSheetId="15">#N/A</definedName>
    <definedName name="PRINTE" localSheetId="16">#N/A</definedName>
    <definedName name="PRINTS" localSheetId="9">#N/A</definedName>
    <definedName name="PRINTS" localSheetId="15">#N/A</definedName>
    <definedName name="PRINTS" localSheetId="16">#N/A</definedName>
    <definedName name="PROT" localSheetId="9">#N/A</definedName>
    <definedName name="PROT" localSheetId="15">#N/A</definedName>
    <definedName name="PROT" localSheetId="16">#N/A</definedName>
    <definedName name="Prov" localSheetId="1" hidden="1">{#N/A,#N/A,FALSE,"Tower &amp; Car Park"}</definedName>
    <definedName name="Prov" localSheetId="10" hidden="1">{#N/A,#N/A,FALSE,"Tower &amp; Car Park"}</definedName>
    <definedName name="Prov" localSheetId="17" hidden="1">{#N/A,#N/A,FALSE,"Tower &amp; Car Park"}</definedName>
    <definedName name="Prov" localSheetId="18" hidden="1">{#N/A,#N/A,FALSE,"Tower &amp; Car Park"}</definedName>
    <definedName name="Prov" localSheetId="20" hidden="1">{#N/A,#N/A,FALSE,"Tower &amp; Car Park"}</definedName>
    <definedName name="Prov" localSheetId="19" hidden="1">{#N/A,#N/A,FALSE,"Tower &amp; Car Park"}</definedName>
    <definedName name="Prov" localSheetId="8" hidden="1">{#N/A,#N/A,FALSE,"Tower &amp; Car Park"}</definedName>
    <definedName name="Prov" localSheetId="9" hidden="1">{#N/A,#N/A,FALSE,"Tower &amp; Car Park"}</definedName>
    <definedName name="Prov" localSheetId="15" hidden="1">{#N/A,#N/A,FALSE,"Tower &amp; Car Park"}</definedName>
    <definedName name="Prov" localSheetId="16" hidden="1">{#N/A,#N/A,FALSE,"Tower &amp; Car Park"}</definedName>
    <definedName name="Prov" localSheetId="21" hidden="1">{#N/A,#N/A,FALSE,"Tower &amp; Car Park"}</definedName>
    <definedName name="Prov" localSheetId="0" hidden="1">{#N/A,#N/A,FALSE,"Tower &amp; Car Park"}</definedName>
    <definedName name="Prov" localSheetId="11" hidden="1">{#N/A,#N/A,FALSE,"Tower &amp; Car Park"}</definedName>
    <definedName name="Prov" hidden="1">{#N/A,#N/A,FALSE,"Tower &amp; Car Park"}</definedName>
    <definedName name="Q" localSheetId="9">#N/A</definedName>
    <definedName name="Q" localSheetId="15">#N/A</definedName>
    <definedName name="Q" localSheetId="16">#N/A</definedName>
    <definedName name="qqqqqqqqqqqqqqqqqqqqqqqqqqqqqqqqqqqq" localSheetId="15">#REF!</definedName>
    <definedName name="qqqqqqqqqqqqqqqqqqqqqqqqqqqqqqqqqqqq" localSheetId="16">#REF!</definedName>
    <definedName name="QTY" localSheetId="9">#N/A</definedName>
    <definedName name="QTY" localSheetId="15">#N/A</definedName>
    <definedName name="QTY" localSheetId="16">#N/A</definedName>
    <definedName name="Rate" localSheetId="9">#N/A</definedName>
    <definedName name="Rate" localSheetId="15">#N/A</definedName>
    <definedName name="Rate" localSheetId="16">#N/A</definedName>
    <definedName name="RUNNING" localSheetId="9">#N/A</definedName>
    <definedName name="RUNNING" localSheetId="15">#N/A</definedName>
    <definedName name="RUNNING" localSheetId="16">#N/A</definedName>
    <definedName name="S" localSheetId="9">#N/A</definedName>
    <definedName name="S" localSheetId="15">#N/A</definedName>
    <definedName name="S" localSheetId="16">#N/A</definedName>
    <definedName name="SALARIES" localSheetId="9">#N/A</definedName>
    <definedName name="SALARIES" localSheetId="15">#N/A</definedName>
    <definedName name="SALARIES" localSheetId="16">#N/A</definedName>
    <definedName name="sANAA" localSheetId="8">#REF!</definedName>
    <definedName name="sang" localSheetId="9">#N/A</definedName>
    <definedName name="sang" localSheetId="15">#N/A</definedName>
    <definedName name="sang" localSheetId="16">#N/A</definedName>
    <definedName name="SAVE" localSheetId="9">#N/A</definedName>
    <definedName name="SAVE" localSheetId="15">#N/A</definedName>
    <definedName name="SAVE" localSheetId="16">#N/A</definedName>
    <definedName name="SCAFF" localSheetId="9">#N/A</definedName>
    <definedName name="SCAFF" localSheetId="15">#N/A</definedName>
    <definedName name="SCAFF" localSheetId="16">#N/A</definedName>
    <definedName name="sdfasdf" localSheetId="1" hidden="1">{#N/A,#N/A,FALSE,"J-cladding";#N/A,#N/A,FALSE,"L-DT-Cladding";#N/A,#N/A,FALSE,"L-DF-Cladding";#N/A,#N/A,FALSE,"P-Cladding";#N/A,#N/A,FALSE,"N-Cladding";#N/A,#N/A,FALSE,"O-Cladding";#N/A,#N/A,FALSE,"G-Cladding"}</definedName>
    <definedName name="sdfasdf" localSheetId="10" hidden="1">{#N/A,#N/A,FALSE,"J-cladding";#N/A,#N/A,FALSE,"L-DT-Cladding";#N/A,#N/A,FALSE,"L-DF-Cladding";#N/A,#N/A,FALSE,"P-Cladding";#N/A,#N/A,FALSE,"N-Cladding";#N/A,#N/A,FALSE,"O-Cladding";#N/A,#N/A,FALSE,"G-Cladding"}</definedName>
    <definedName name="sdfasdf" localSheetId="17" hidden="1">{#N/A,#N/A,FALSE,"J-cladding";#N/A,#N/A,FALSE,"L-DT-Cladding";#N/A,#N/A,FALSE,"L-DF-Cladding";#N/A,#N/A,FALSE,"P-Cladding";#N/A,#N/A,FALSE,"N-Cladding";#N/A,#N/A,FALSE,"O-Cladding";#N/A,#N/A,FALSE,"G-Cladding"}</definedName>
    <definedName name="sdfasdf" localSheetId="18" hidden="1">{#N/A,#N/A,FALSE,"J-cladding";#N/A,#N/A,FALSE,"L-DT-Cladding";#N/A,#N/A,FALSE,"L-DF-Cladding";#N/A,#N/A,FALSE,"P-Cladding";#N/A,#N/A,FALSE,"N-Cladding";#N/A,#N/A,FALSE,"O-Cladding";#N/A,#N/A,FALSE,"G-Cladding"}</definedName>
    <definedName name="sdfasdf" localSheetId="20" hidden="1">{#N/A,#N/A,FALSE,"J-cladding";#N/A,#N/A,FALSE,"L-DT-Cladding";#N/A,#N/A,FALSE,"L-DF-Cladding";#N/A,#N/A,FALSE,"P-Cladding";#N/A,#N/A,FALSE,"N-Cladding";#N/A,#N/A,FALSE,"O-Cladding";#N/A,#N/A,FALSE,"G-Cladding"}</definedName>
    <definedName name="sdfasdf" localSheetId="19" hidden="1">{#N/A,#N/A,FALSE,"J-cladding";#N/A,#N/A,FALSE,"L-DT-Cladding";#N/A,#N/A,FALSE,"L-DF-Cladding";#N/A,#N/A,FALSE,"P-Cladding";#N/A,#N/A,FALSE,"N-Cladding";#N/A,#N/A,FALSE,"O-Cladding";#N/A,#N/A,FALSE,"G-Cladding"}</definedName>
    <definedName name="sdfasdf" localSheetId="8" hidden="1">{#N/A,#N/A,FALSE,"J-cladding";#N/A,#N/A,FALSE,"L-DT-Cladding";#N/A,#N/A,FALSE,"L-DF-Cladding";#N/A,#N/A,FALSE,"P-Cladding";#N/A,#N/A,FALSE,"N-Cladding";#N/A,#N/A,FALSE,"O-Cladding";#N/A,#N/A,FALSE,"G-Cladding"}</definedName>
    <definedName name="sdfasdf" localSheetId="9" hidden="1">{#N/A,#N/A,FALSE,"J-cladding";#N/A,#N/A,FALSE,"L-DT-Cladding";#N/A,#N/A,FALSE,"L-DF-Cladding";#N/A,#N/A,FALSE,"P-Cladding";#N/A,#N/A,FALSE,"N-Cladding";#N/A,#N/A,FALSE,"O-Cladding";#N/A,#N/A,FALSE,"G-Cladding"}</definedName>
    <definedName name="sdfasdf" localSheetId="15" hidden="1">{#N/A,#N/A,FALSE,"J-cladding";#N/A,#N/A,FALSE,"L-DT-Cladding";#N/A,#N/A,FALSE,"L-DF-Cladding";#N/A,#N/A,FALSE,"P-Cladding";#N/A,#N/A,FALSE,"N-Cladding";#N/A,#N/A,FALSE,"O-Cladding";#N/A,#N/A,FALSE,"G-Cladding"}</definedName>
    <definedName name="sdfasdf" localSheetId="16" hidden="1">{#N/A,#N/A,FALSE,"J-cladding";#N/A,#N/A,FALSE,"L-DT-Cladding";#N/A,#N/A,FALSE,"L-DF-Cladding";#N/A,#N/A,FALSE,"P-Cladding";#N/A,#N/A,FALSE,"N-Cladding";#N/A,#N/A,FALSE,"O-Cladding";#N/A,#N/A,FALSE,"G-Cladding"}</definedName>
    <definedName name="sdfasdf" localSheetId="21" hidden="1">{#N/A,#N/A,FALSE,"J-cladding";#N/A,#N/A,FALSE,"L-DT-Cladding";#N/A,#N/A,FALSE,"L-DF-Cladding";#N/A,#N/A,FALSE,"P-Cladding";#N/A,#N/A,FALSE,"N-Cladding";#N/A,#N/A,FALSE,"O-Cladding";#N/A,#N/A,FALSE,"G-Cladding"}</definedName>
    <definedName name="sdfasdf" localSheetId="0" hidden="1">{#N/A,#N/A,FALSE,"J-cladding";#N/A,#N/A,FALSE,"L-DT-Cladding";#N/A,#N/A,FALSE,"L-DF-Cladding";#N/A,#N/A,FALSE,"P-Cladding";#N/A,#N/A,FALSE,"N-Cladding";#N/A,#N/A,FALSE,"O-Cladding";#N/A,#N/A,FALSE,"G-Cladding"}</definedName>
    <definedName name="sdfasdf" localSheetId="11"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elling_Price" localSheetId="8">'[7]5'!$AN$1</definedName>
    <definedName name="SERV" localSheetId="9">#N/A</definedName>
    <definedName name="SERV" localSheetId="15">#N/A</definedName>
    <definedName name="SERV" localSheetId="16">#N/A</definedName>
    <definedName name="sh" localSheetId="9">#N/A</definedName>
    <definedName name="sh" localSheetId="15">#N/A</definedName>
    <definedName name="sh" localSheetId="16">#N/A</definedName>
    <definedName name="ShortDesc" localSheetId="9">#N/A</definedName>
    <definedName name="ShortDesc" localSheetId="15">#N/A</definedName>
    <definedName name="ShortDesc" localSheetId="16">#N/A</definedName>
    <definedName name="sil" localSheetId="15">#REF!</definedName>
    <definedName name="sil" localSheetId="16">#REF!</definedName>
    <definedName name="Spec" localSheetId="9">#N/A</definedName>
    <definedName name="Spec" localSheetId="15">#N/A</definedName>
    <definedName name="Spec" localSheetId="16">#N/A</definedName>
    <definedName name="STAFF" localSheetId="9">#N/A</definedName>
    <definedName name="STAFF" localSheetId="15">#N/A</definedName>
    <definedName name="STAFF" localSheetId="16">#N/A</definedName>
    <definedName name="STAFFLIB" localSheetId="9">#N/A</definedName>
    <definedName name="STAFFLIB" localSheetId="15">#N/A</definedName>
    <definedName name="STAFFLIB" localSheetId="16">#N/A</definedName>
    <definedName name="STAFFLIST" localSheetId="9">#N/A</definedName>
    <definedName name="STAFFLIST" localSheetId="15">#N/A</definedName>
    <definedName name="STAFFLIST" localSheetId="16">#N/A</definedName>
    <definedName name="STAFFX" localSheetId="9">#N/A</definedName>
    <definedName name="STAFFX" localSheetId="15">#N/A</definedName>
    <definedName name="STAFFX" localSheetId="16">#N/A</definedName>
    <definedName name="STW" localSheetId="9">#N/A</definedName>
    <definedName name="STW" localSheetId="15">#N/A</definedName>
    <definedName name="STW" localSheetId="16">#N/A</definedName>
    <definedName name="SUBR1" localSheetId="9">#N/A</definedName>
    <definedName name="SUBR1" localSheetId="15">#N/A</definedName>
    <definedName name="SUBR1" localSheetId="16">#N/A</definedName>
    <definedName name="SUBR2" localSheetId="9">#N/A</definedName>
    <definedName name="SUBR2" localSheetId="15">#N/A</definedName>
    <definedName name="SUBR2" localSheetId="16">#N/A</definedName>
    <definedName name="SUBR3" localSheetId="9">#N/A</definedName>
    <definedName name="SUBR3" localSheetId="15">#N/A</definedName>
    <definedName name="SUBR3" localSheetId="16">#N/A</definedName>
    <definedName name="SUBR4" localSheetId="9">#N/A</definedName>
    <definedName name="SUBR4" localSheetId="15">#N/A</definedName>
    <definedName name="SUBR4" localSheetId="16">#N/A</definedName>
    <definedName name="SUBR5" localSheetId="9">#N/A</definedName>
    <definedName name="SUBR5" localSheetId="15">#N/A</definedName>
    <definedName name="SUBR5" localSheetId="16">#N/A</definedName>
    <definedName name="SUBR6" localSheetId="9">#N/A</definedName>
    <definedName name="SUBR6" localSheetId="15">#N/A</definedName>
    <definedName name="SUBR6" localSheetId="16">#N/A</definedName>
    <definedName name="SUBR7" localSheetId="9">#N/A</definedName>
    <definedName name="SUBR7" localSheetId="15">#N/A</definedName>
    <definedName name="SUBR7" localSheetId="16">#N/A</definedName>
    <definedName name="SUBRA" localSheetId="9">#N/A</definedName>
    <definedName name="SUBRA" localSheetId="15">#N/A</definedName>
    <definedName name="SUBRA" localSheetId="16">#N/A</definedName>
    <definedName name="SUBRB" localSheetId="9">#N/A</definedName>
    <definedName name="SUBRB" localSheetId="15">#N/A</definedName>
    <definedName name="SUBRB" localSheetId="16">#N/A</definedName>
    <definedName name="SUBRC" localSheetId="9">#N/A</definedName>
    <definedName name="SUBRC" localSheetId="15">#N/A</definedName>
    <definedName name="SUBRC" localSheetId="16">#N/A</definedName>
    <definedName name="SUBRD" localSheetId="9">#N/A</definedName>
    <definedName name="SUBRD" localSheetId="15">#N/A</definedName>
    <definedName name="SUBRD" localSheetId="16">#N/A</definedName>
    <definedName name="SUBRE" localSheetId="9">#N/A</definedName>
    <definedName name="SUBRE" localSheetId="15">#N/A</definedName>
    <definedName name="SUBRE" localSheetId="16">#N/A</definedName>
    <definedName name="SUM" localSheetId="9">#N/A</definedName>
    <definedName name="SUM" localSheetId="15">#N/A</definedName>
    <definedName name="SUM" localSheetId="16">#N/A</definedName>
    <definedName name="SUMMARY" localSheetId="9">#N/A</definedName>
    <definedName name="SUMMARY" localSheetId="15">#N/A</definedName>
    <definedName name="SUMMARY" localSheetId="16">#N/A</definedName>
    <definedName name="T" localSheetId="9">#N/A</definedName>
    <definedName name="T" localSheetId="15">#N/A</definedName>
    <definedName name="T" localSheetId="16">#N/A</definedName>
    <definedName name="TE" localSheetId="9">#N/A</definedName>
    <definedName name="TE" localSheetId="15">#N/A</definedName>
    <definedName name="TE" localSheetId="16">#N/A</definedName>
    <definedName name="TEM" localSheetId="9">#N/A</definedName>
    <definedName name="TEM" localSheetId="15">#N/A</definedName>
    <definedName name="TEM" localSheetId="16">#N/A</definedName>
    <definedName name="TENDNO." localSheetId="9">#N/A</definedName>
    <definedName name="TENDNO." localSheetId="15">#N/A</definedName>
    <definedName name="TENDNO." localSheetId="16">#N/A</definedName>
    <definedName name="TEST" localSheetId="9">#N/A</definedName>
    <definedName name="TEST" localSheetId="15">#N/A</definedName>
    <definedName name="TEST" localSheetId="16">#N/A</definedName>
    <definedName name="TITLE" localSheetId="9">#N/A</definedName>
    <definedName name="TITLE" localSheetId="15">#N/A</definedName>
    <definedName name="TITLE" localSheetId="16">#N/A</definedName>
    <definedName name="TL" localSheetId="9">#N/A</definedName>
    <definedName name="TL" localSheetId="15">#N/A</definedName>
    <definedName name="TL" localSheetId="16">#N/A</definedName>
    <definedName name="TM" localSheetId="9">#N/A</definedName>
    <definedName name="TM" localSheetId="15">#N/A</definedName>
    <definedName name="TM" localSheetId="16">#N/A</definedName>
    <definedName name="TOOLS" localSheetId="9">#N/A</definedName>
    <definedName name="TOOLS" localSheetId="15">#N/A</definedName>
    <definedName name="TOOLS" localSheetId="16">#N/A</definedName>
    <definedName name="tower" localSheetId="1" hidden="1">{#N/A,#N/A,FALSE,"Tower &amp; Car Park"}</definedName>
    <definedName name="tower" localSheetId="10" hidden="1">{#N/A,#N/A,FALSE,"Tower &amp; Car Park"}</definedName>
    <definedName name="tower" localSheetId="17" hidden="1">{#N/A,#N/A,FALSE,"Tower &amp; Car Park"}</definedName>
    <definedName name="tower" localSheetId="18" hidden="1">{#N/A,#N/A,FALSE,"Tower &amp; Car Park"}</definedName>
    <definedName name="tower" localSheetId="20" hidden="1">{#N/A,#N/A,FALSE,"Tower &amp; Car Park"}</definedName>
    <definedName name="tower" localSheetId="19" hidden="1">{#N/A,#N/A,FALSE,"Tower &amp; Car Park"}</definedName>
    <definedName name="tower" localSheetId="8" hidden="1">{#N/A,#N/A,FALSE,"Tower &amp; Car Park"}</definedName>
    <definedName name="tower" localSheetId="9" hidden="1">{#N/A,#N/A,FALSE,"Tower &amp; Car Park"}</definedName>
    <definedName name="tower" localSheetId="15" hidden="1">{#N/A,#N/A,FALSE,"Tower &amp; Car Park"}</definedName>
    <definedName name="tower" localSheetId="16" hidden="1">{#N/A,#N/A,FALSE,"Tower &amp; Car Park"}</definedName>
    <definedName name="tower" localSheetId="21" hidden="1">{#N/A,#N/A,FALSE,"Tower &amp; Car Park"}</definedName>
    <definedName name="tower" localSheetId="0" hidden="1">{#N/A,#N/A,FALSE,"Tower &amp; Car Park"}</definedName>
    <definedName name="tower" localSheetId="11" hidden="1">{#N/A,#N/A,FALSE,"Tower &amp; Car Park"}</definedName>
    <definedName name="tower" hidden="1">{#N/A,#N/A,FALSE,"Tower &amp; Car Park"}</definedName>
    <definedName name="TSC" localSheetId="9">#N/A</definedName>
    <definedName name="TSC" localSheetId="15">#N/A</definedName>
    <definedName name="TSC" localSheetId="16">#N/A</definedName>
    <definedName name="U" localSheetId="9">#N/A</definedName>
    <definedName name="U" localSheetId="15">#N/A</definedName>
    <definedName name="U" localSheetId="16">#N/A</definedName>
    <definedName name="UDC" localSheetId="9">#N/A</definedName>
    <definedName name="UDC" localSheetId="15">#N/A</definedName>
    <definedName name="UDC" localSheetId="16">#N/A</definedName>
    <definedName name="Unit" localSheetId="9">#N/A</definedName>
    <definedName name="Unit" localSheetId="15">#N/A</definedName>
    <definedName name="Unit" localSheetId="16">#N/A</definedName>
    <definedName name="UPLIFT" localSheetId="9">#N/A</definedName>
    <definedName name="UPLIFT" localSheetId="15">#N/A</definedName>
    <definedName name="UPLIFT" localSheetId="16">#N/A</definedName>
    <definedName name="V" localSheetId="9">#N/A</definedName>
    <definedName name="V" localSheetId="15">#N/A</definedName>
    <definedName name="V" localSheetId="16">#N/A</definedName>
    <definedName name="W" localSheetId="9">#N/A</definedName>
    <definedName name="W" localSheetId="15">#N/A</definedName>
    <definedName name="W" localSheetId="16">#N/A</definedName>
    <definedName name="WATCON" localSheetId="9">#N/A</definedName>
    <definedName name="WATCON" localSheetId="15">#N/A</definedName>
    <definedName name="WATCON" localSheetId="16">#N/A</definedName>
    <definedName name="WATINS" localSheetId="9">#N/A</definedName>
    <definedName name="WATINS" localSheetId="15">#N/A</definedName>
    <definedName name="WATINS" localSheetId="16">#N/A</definedName>
    <definedName name="WORKSHT2" localSheetId="8">#REF!</definedName>
    <definedName name="WORKSHT3" localSheetId="8">#REF!</definedName>
    <definedName name="wrn.FinStats." localSheetId="1" hidden="1">{#N/A,#N/A,FALSE,"BS-lead";#N/A,#N/A,FALSE,"BS- cladding";#N/A,#N/A,FALSE,"BS-GRC";#N/A,#N/A,FALSE,"P&amp;L-Lead";#N/A,#N/A,FALSE,"P&amp;L-Cladding";#N/A,#N/A,FALSE,"P&amp;L-GRC"}</definedName>
    <definedName name="wrn.FinStats." localSheetId="10" hidden="1">{#N/A,#N/A,FALSE,"BS-lead";#N/A,#N/A,FALSE,"BS- cladding";#N/A,#N/A,FALSE,"BS-GRC";#N/A,#N/A,FALSE,"P&amp;L-Lead";#N/A,#N/A,FALSE,"P&amp;L-Cladding";#N/A,#N/A,FALSE,"P&amp;L-GRC"}</definedName>
    <definedName name="wrn.FinStats." localSheetId="17" hidden="1">{#N/A,#N/A,FALSE,"BS-lead";#N/A,#N/A,FALSE,"BS- cladding";#N/A,#N/A,FALSE,"BS-GRC";#N/A,#N/A,FALSE,"P&amp;L-Lead";#N/A,#N/A,FALSE,"P&amp;L-Cladding";#N/A,#N/A,FALSE,"P&amp;L-GRC"}</definedName>
    <definedName name="wrn.FinStats." localSheetId="18" hidden="1">{#N/A,#N/A,FALSE,"BS-lead";#N/A,#N/A,FALSE,"BS- cladding";#N/A,#N/A,FALSE,"BS-GRC";#N/A,#N/A,FALSE,"P&amp;L-Lead";#N/A,#N/A,FALSE,"P&amp;L-Cladding";#N/A,#N/A,FALSE,"P&amp;L-GRC"}</definedName>
    <definedName name="wrn.FinStats." localSheetId="20" hidden="1">{#N/A,#N/A,FALSE,"BS-lead";#N/A,#N/A,FALSE,"BS- cladding";#N/A,#N/A,FALSE,"BS-GRC";#N/A,#N/A,FALSE,"P&amp;L-Lead";#N/A,#N/A,FALSE,"P&amp;L-Cladding";#N/A,#N/A,FALSE,"P&amp;L-GRC"}</definedName>
    <definedName name="wrn.FinStats." localSheetId="19" hidden="1">{#N/A,#N/A,FALSE,"BS-lead";#N/A,#N/A,FALSE,"BS- cladding";#N/A,#N/A,FALSE,"BS-GRC";#N/A,#N/A,FALSE,"P&amp;L-Lead";#N/A,#N/A,FALSE,"P&amp;L-Cladding";#N/A,#N/A,FALSE,"P&amp;L-GRC"}</definedName>
    <definedName name="wrn.FinStats." localSheetId="8" hidden="1">{#N/A,#N/A,FALSE,"BS-lead";#N/A,#N/A,FALSE,"BS- cladding";#N/A,#N/A,FALSE,"BS-GRC";#N/A,#N/A,FALSE,"P&amp;L-Lead";#N/A,#N/A,FALSE,"P&amp;L-Cladding";#N/A,#N/A,FALSE,"P&amp;L-GRC"}</definedName>
    <definedName name="wrn.FinStats." localSheetId="9" hidden="1">{#N/A,#N/A,FALSE,"BS-lead";#N/A,#N/A,FALSE,"BS- cladding";#N/A,#N/A,FALSE,"BS-GRC";#N/A,#N/A,FALSE,"P&amp;L-Lead";#N/A,#N/A,FALSE,"P&amp;L-Cladding";#N/A,#N/A,FALSE,"P&amp;L-GRC"}</definedName>
    <definedName name="wrn.FinStats." localSheetId="15" hidden="1">{#N/A,#N/A,FALSE,"BS-lead";#N/A,#N/A,FALSE,"BS- cladding";#N/A,#N/A,FALSE,"BS-GRC";#N/A,#N/A,FALSE,"P&amp;L-Lead";#N/A,#N/A,FALSE,"P&amp;L-Cladding";#N/A,#N/A,FALSE,"P&amp;L-GRC"}</definedName>
    <definedName name="wrn.FinStats." localSheetId="16" hidden="1">{#N/A,#N/A,FALSE,"BS-lead";#N/A,#N/A,FALSE,"BS- cladding";#N/A,#N/A,FALSE,"BS-GRC";#N/A,#N/A,FALSE,"P&amp;L-Lead";#N/A,#N/A,FALSE,"P&amp;L-Cladding";#N/A,#N/A,FALSE,"P&amp;L-GRC"}</definedName>
    <definedName name="wrn.FinStats." localSheetId="21" hidden="1">{#N/A,#N/A,FALSE,"BS-lead";#N/A,#N/A,FALSE,"BS- cladding";#N/A,#N/A,FALSE,"BS-GRC";#N/A,#N/A,FALSE,"P&amp;L-Lead";#N/A,#N/A,FALSE,"P&amp;L-Cladding";#N/A,#N/A,FALSE,"P&amp;L-GRC"}</definedName>
    <definedName name="wrn.FinStats." localSheetId="0" hidden="1">{#N/A,#N/A,FALSE,"BS-lead";#N/A,#N/A,FALSE,"BS- cladding";#N/A,#N/A,FALSE,"BS-GRC";#N/A,#N/A,FALSE,"P&amp;L-Lead";#N/A,#N/A,FALSE,"P&amp;L-Cladding";#N/A,#N/A,FALSE,"P&amp;L-GRC"}</definedName>
    <definedName name="wrn.FinStats." localSheetId="11"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LeadsAPL." localSheetId="1" hidden="1">{#N/A,#N/A,FALSE,"G-Lead";#N/A,#N/A,FALSE,"LT loans";#N/A,#N/A,FALSE,"Reserves";#N/A,#N/A,FALSE,"J-lead";#N/A,#N/A,FALSE,"L-DT-lead";#N/A,#N/A,FALSE,"L-DF-lead";#N/A,#N/A,FALSE,"M associate";#N/A,#N/A,FALSE,"M subsidiary";#N/A,#N/A,FALSE,"P-Lead";#N/A,#N/A,FALSE,"N-Lead";#N/A,#N/A,FALSE,"O-Lead";#N/A,#N/A,FALSE,"G-Lead"}</definedName>
    <definedName name="wrn.LeadsAPL." localSheetId="10" hidden="1">{#N/A,#N/A,FALSE,"G-Lead";#N/A,#N/A,FALSE,"LT loans";#N/A,#N/A,FALSE,"Reserves";#N/A,#N/A,FALSE,"J-lead";#N/A,#N/A,FALSE,"L-DT-lead";#N/A,#N/A,FALSE,"L-DF-lead";#N/A,#N/A,FALSE,"M associate";#N/A,#N/A,FALSE,"M subsidiary";#N/A,#N/A,FALSE,"P-Lead";#N/A,#N/A,FALSE,"N-Lead";#N/A,#N/A,FALSE,"O-Lead";#N/A,#N/A,FALSE,"G-Lead"}</definedName>
    <definedName name="wrn.LeadsAPL." localSheetId="17" hidden="1">{#N/A,#N/A,FALSE,"G-Lead";#N/A,#N/A,FALSE,"LT loans";#N/A,#N/A,FALSE,"Reserves";#N/A,#N/A,FALSE,"J-lead";#N/A,#N/A,FALSE,"L-DT-lead";#N/A,#N/A,FALSE,"L-DF-lead";#N/A,#N/A,FALSE,"M associate";#N/A,#N/A,FALSE,"M subsidiary";#N/A,#N/A,FALSE,"P-Lead";#N/A,#N/A,FALSE,"N-Lead";#N/A,#N/A,FALSE,"O-Lead";#N/A,#N/A,FALSE,"G-Lead"}</definedName>
    <definedName name="wrn.LeadsAPL." localSheetId="18" hidden="1">{#N/A,#N/A,FALSE,"G-Lead";#N/A,#N/A,FALSE,"LT loans";#N/A,#N/A,FALSE,"Reserves";#N/A,#N/A,FALSE,"J-lead";#N/A,#N/A,FALSE,"L-DT-lead";#N/A,#N/A,FALSE,"L-DF-lead";#N/A,#N/A,FALSE,"M associate";#N/A,#N/A,FALSE,"M subsidiary";#N/A,#N/A,FALSE,"P-Lead";#N/A,#N/A,FALSE,"N-Lead";#N/A,#N/A,FALSE,"O-Lead";#N/A,#N/A,FALSE,"G-Lead"}</definedName>
    <definedName name="wrn.LeadsAPL." localSheetId="20" hidden="1">{#N/A,#N/A,FALSE,"G-Lead";#N/A,#N/A,FALSE,"LT loans";#N/A,#N/A,FALSE,"Reserves";#N/A,#N/A,FALSE,"J-lead";#N/A,#N/A,FALSE,"L-DT-lead";#N/A,#N/A,FALSE,"L-DF-lead";#N/A,#N/A,FALSE,"M associate";#N/A,#N/A,FALSE,"M subsidiary";#N/A,#N/A,FALSE,"P-Lead";#N/A,#N/A,FALSE,"N-Lead";#N/A,#N/A,FALSE,"O-Lead";#N/A,#N/A,FALSE,"G-Lead"}</definedName>
    <definedName name="wrn.LeadsAPL." localSheetId="19" hidden="1">{#N/A,#N/A,FALSE,"G-Lead";#N/A,#N/A,FALSE,"LT loans";#N/A,#N/A,FALSE,"Reserves";#N/A,#N/A,FALSE,"J-lead";#N/A,#N/A,FALSE,"L-DT-lead";#N/A,#N/A,FALSE,"L-DF-lead";#N/A,#N/A,FALSE,"M associate";#N/A,#N/A,FALSE,"M subsidiary";#N/A,#N/A,FALSE,"P-Lead";#N/A,#N/A,FALSE,"N-Lead";#N/A,#N/A,FALSE,"O-Lead";#N/A,#N/A,FALSE,"G-Lead"}</definedName>
    <definedName name="wrn.LeadsAPL." localSheetId="8" hidden="1">{#N/A,#N/A,FALSE,"G-Lead";#N/A,#N/A,FALSE,"LT loans";#N/A,#N/A,FALSE,"Reserves";#N/A,#N/A,FALSE,"J-lead";#N/A,#N/A,FALSE,"L-DT-lead";#N/A,#N/A,FALSE,"L-DF-lead";#N/A,#N/A,FALSE,"M associate";#N/A,#N/A,FALSE,"M subsidiary";#N/A,#N/A,FALSE,"P-Lead";#N/A,#N/A,FALSE,"N-Lead";#N/A,#N/A,FALSE,"O-Lead";#N/A,#N/A,FALSE,"G-Lead"}</definedName>
    <definedName name="wrn.LeadsAPL." localSheetId="9" hidden="1">{#N/A,#N/A,FALSE,"G-Lead";#N/A,#N/A,FALSE,"LT loans";#N/A,#N/A,FALSE,"Reserves";#N/A,#N/A,FALSE,"J-lead";#N/A,#N/A,FALSE,"L-DT-lead";#N/A,#N/A,FALSE,"L-DF-lead";#N/A,#N/A,FALSE,"M associate";#N/A,#N/A,FALSE,"M subsidiary";#N/A,#N/A,FALSE,"P-Lead";#N/A,#N/A,FALSE,"N-Lead";#N/A,#N/A,FALSE,"O-Lead";#N/A,#N/A,FALSE,"G-Lead"}</definedName>
    <definedName name="wrn.LeadsAPL." localSheetId="15" hidden="1">{#N/A,#N/A,FALSE,"G-Lead";#N/A,#N/A,FALSE,"LT loans";#N/A,#N/A,FALSE,"Reserves";#N/A,#N/A,FALSE,"J-lead";#N/A,#N/A,FALSE,"L-DT-lead";#N/A,#N/A,FALSE,"L-DF-lead";#N/A,#N/A,FALSE,"M associate";#N/A,#N/A,FALSE,"M subsidiary";#N/A,#N/A,FALSE,"P-Lead";#N/A,#N/A,FALSE,"N-Lead";#N/A,#N/A,FALSE,"O-Lead";#N/A,#N/A,FALSE,"G-Lead"}</definedName>
    <definedName name="wrn.LeadsAPL." localSheetId="16" hidden="1">{#N/A,#N/A,FALSE,"G-Lead";#N/A,#N/A,FALSE,"LT loans";#N/A,#N/A,FALSE,"Reserves";#N/A,#N/A,FALSE,"J-lead";#N/A,#N/A,FALSE,"L-DT-lead";#N/A,#N/A,FALSE,"L-DF-lead";#N/A,#N/A,FALSE,"M associate";#N/A,#N/A,FALSE,"M subsidiary";#N/A,#N/A,FALSE,"P-Lead";#N/A,#N/A,FALSE,"N-Lead";#N/A,#N/A,FALSE,"O-Lead";#N/A,#N/A,FALSE,"G-Lead"}</definedName>
    <definedName name="wrn.LeadsAPL." localSheetId="21" hidden="1">{#N/A,#N/A,FALSE,"G-Lead";#N/A,#N/A,FALSE,"LT loans";#N/A,#N/A,FALSE,"Reserves";#N/A,#N/A,FALSE,"J-lead";#N/A,#N/A,FALSE,"L-DT-lead";#N/A,#N/A,FALSE,"L-DF-lead";#N/A,#N/A,FALSE,"M associate";#N/A,#N/A,FALSE,"M subsidiary";#N/A,#N/A,FALSE,"P-Lead";#N/A,#N/A,FALSE,"N-Lead";#N/A,#N/A,FALSE,"O-Lead";#N/A,#N/A,FALSE,"G-Lead"}</definedName>
    <definedName name="wrn.LeadsAPL." localSheetId="0" hidden="1">{#N/A,#N/A,FALSE,"G-Lead";#N/A,#N/A,FALSE,"LT loans";#N/A,#N/A,FALSE,"Reserves";#N/A,#N/A,FALSE,"J-lead";#N/A,#N/A,FALSE,"L-DT-lead";#N/A,#N/A,FALSE,"L-DF-lead";#N/A,#N/A,FALSE,"M associate";#N/A,#N/A,FALSE,"M subsidiary";#N/A,#N/A,FALSE,"P-Lead";#N/A,#N/A,FALSE,"N-Lead";#N/A,#N/A,FALSE,"O-Lead";#N/A,#N/A,FALSE,"G-Lead"}</definedName>
    <definedName name="wrn.LeadsAPL." localSheetId="11"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1" hidden="1">{#N/A,#N/A,FALSE,"J-cladding";#N/A,#N/A,FALSE,"L-DT-Cladding";#N/A,#N/A,FALSE,"L-DF-Cladding";#N/A,#N/A,FALSE,"P-Cladding";#N/A,#N/A,FALSE,"N-Cladding";#N/A,#N/A,FALSE,"O-Cladding";#N/A,#N/A,FALSE,"G-Cladding"}</definedName>
    <definedName name="wrn.LeadsCladding." localSheetId="10" hidden="1">{#N/A,#N/A,FALSE,"J-cladding";#N/A,#N/A,FALSE,"L-DT-Cladding";#N/A,#N/A,FALSE,"L-DF-Cladding";#N/A,#N/A,FALSE,"P-Cladding";#N/A,#N/A,FALSE,"N-Cladding";#N/A,#N/A,FALSE,"O-Cladding";#N/A,#N/A,FALSE,"G-Cladding"}</definedName>
    <definedName name="wrn.LeadsCladding." localSheetId="17" hidden="1">{#N/A,#N/A,FALSE,"J-cladding";#N/A,#N/A,FALSE,"L-DT-Cladding";#N/A,#N/A,FALSE,"L-DF-Cladding";#N/A,#N/A,FALSE,"P-Cladding";#N/A,#N/A,FALSE,"N-Cladding";#N/A,#N/A,FALSE,"O-Cladding";#N/A,#N/A,FALSE,"G-Cladding"}</definedName>
    <definedName name="wrn.LeadsCladding." localSheetId="18" hidden="1">{#N/A,#N/A,FALSE,"J-cladding";#N/A,#N/A,FALSE,"L-DT-Cladding";#N/A,#N/A,FALSE,"L-DF-Cladding";#N/A,#N/A,FALSE,"P-Cladding";#N/A,#N/A,FALSE,"N-Cladding";#N/A,#N/A,FALSE,"O-Cladding";#N/A,#N/A,FALSE,"G-Cladding"}</definedName>
    <definedName name="wrn.LeadsCladding." localSheetId="20" hidden="1">{#N/A,#N/A,FALSE,"J-cladding";#N/A,#N/A,FALSE,"L-DT-Cladding";#N/A,#N/A,FALSE,"L-DF-Cladding";#N/A,#N/A,FALSE,"P-Cladding";#N/A,#N/A,FALSE,"N-Cladding";#N/A,#N/A,FALSE,"O-Cladding";#N/A,#N/A,FALSE,"G-Cladding"}</definedName>
    <definedName name="wrn.LeadsCladding." localSheetId="19" hidden="1">{#N/A,#N/A,FALSE,"J-cladding";#N/A,#N/A,FALSE,"L-DT-Cladding";#N/A,#N/A,FALSE,"L-DF-Cladding";#N/A,#N/A,FALSE,"P-Cladding";#N/A,#N/A,FALSE,"N-Cladding";#N/A,#N/A,FALSE,"O-Cladding";#N/A,#N/A,FALSE,"G-Cladding"}</definedName>
    <definedName name="wrn.LeadsCladding." localSheetId="8" hidden="1">{#N/A,#N/A,FALSE,"J-cladding";#N/A,#N/A,FALSE,"L-DT-Cladding";#N/A,#N/A,FALSE,"L-DF-Cladding";#N/A,#N/A,FALSE,"P-Cladding";#N/A,#N/A,FALSE,"N-Cladding";#N/A,#N/A,FALSE,"O-Cladding";#N/A,#N/A,FALSE,"G-Cladding"}</definedName>
    <definedName name="wrn.LeadsCladding." localSheetId="9" hidden="1">{#N/A,#N/A,FALSE,"J-cladding";#N/A,#N/A,FALSE,"L-DT-Cladding";#N/A,#N/A,FALSE,"L-DF-Cladding";#N/A,#N/A,FALSE,"P-Cladding";#N/A,#N/A,FALSE,"N-Cladding";#N/A,#N/A,FALSE,"O-Cladding";#N/A,#N/A,FALSE,"G-Cladding"}</definedName>
    <definedName name="wrn.LeadsCladding." localSheetId="15" hidden="1">{#N/A,#N/A,FALSE,"J-cladding";#N/A,#N/A,FALSE,"L-DT-Cladding";#N/A,#N/A,FALSE,"L-DF-Cladding";#N/A,#N/A,FALSE,"P-Cladding";#N/A,#N/A,FALSE,"N-Cladding";#N/A,#N/A,FALSE,"O-Cladding";#N/A,#N/A,FALSE,"G-Cladding"}</definedName>
    <definedName name="wrn.LeadsCladding." localSheetId="16" hidden="1">{#N/A,#N/A,FALSE,"J-cladding";#N/A,#N/A,FALSE,"L-DT-Cladding";#N/A,#N/A,FALSE,"L-DF-Cladding";#N/A,#N/A,FALSE,"P-Cladding";#N/A,#N/A,FALSE,"N-Cladding";#N/A,#N/A,FALSE,"O-Cladding";#N/A,#N/A,FALSE,"G-Cladding"}</definedName>
    <definedName name="wrn.LeadsCladding." localSheetId="21" hidden="1">{#N/A,#N/A,FALSE,"J-cladding";#N/A,#N/A,FALSE,"L-DT-Cladding";#N/A,#N/A,FALSE,"L-DF-Cladding";#N/A,#N/A,FALSE,"P-Cladding";#N/A,#N/A,FALSE,"N-Cladding";#N/A,#N/A,FALSE,"O-Cladding";#N/A,#N/A,FALSE,"G-Cladding"}</definedName>
    <definedName name="wrn.LeadsCladding." localSheetId="0" hidden="1">{#N/A,#N/A,FALSE,"J-cladding";#N/A,#N/A,FALSE,"L-DT-Cladding";#N/A,#N/A,FALSE,"L-DF-Cladding";#N/A,#N/A,FALSE,"P-Cladding";#N/A,#N/A,FALSE,"N-Cladding";#N/A,#N/A,FALSE,"O-Cladding";#N/A,#N/A,FALSE,"G-Cladding"}</definedName>
    <definedName name="wrn.LeadsCladding." localSheetId="11"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1" hidden="1">{#N/A,#N/A,FALSE,"J-GRC";#N/A,#N/A,FALSE,"L-DT-GRC";#N/A,#N/A,FALSE,"L-DF-GRC";#N/A,#N/A,FALSE,"P-GRC";#N/A,#N/A,FALSE,"N-GRC";#N/A,#N/A,FALSE,"O-GRC";#N/A,#N/A,FALSE,"G-GRC"}</definedName>
    <definedName name="wrn.LeadsGRC." localSheetId="10" hidden="1">{#N/A,#N/A,FALSE,"J-GRC";#N/A,#N/A,FALSE,"L-DT-GRC";#N/A,#N/A,FALSE,"L-DF-GRC";#N/A,#N/A,FALSE,"P-GRC";#N/A,#N/A,FALSE,"N-GRC";#N/A,#N/A,FALSE,"O-GRC";#N/A,#N/A,FALSE,"G-GRC"}</definedName>
    <definedName name="wrn.LeadsGRC." localSheetId="17" hidden="1">{#N/A,#N/A,FALSE,"J-GRC";#N/A,#N/A,FALSE,"L-DT-GRC";#N/A,#N/A,FALSE,"L-DF-GRC";#N/A,#N/A,FALSE,"P-GRC";#N/A,#N/A,FALSE,"N-GRC";#N/A,#N/A,FALSE,"O-GRC";#N/A,#N/A,FALSE,"G-GRC"}</definedName>
    <definedName name="wrn.LeadsGRC." localSheetId="18" hidden="1">{#N/A,#N/A,FALSE,"J-GRC";#N/A,#N/A,FALSE,"L-DT-GRC";#N/A,#N/A,FALSE,"L-DF-GRC";#N/A,#N/A,FALSE,"P-GRC";#N/A,#N/A,FALSE,"N-GRC";#N/A,#N/A,FALSE,"O-GRC";#N/A,#N/A,FALSE,"G-GRC"}</definedName>
    <definedName name="wrn.LeadsGRC." localSheetId="20" hidden="1">{#N/A,#N/A,FALSE,"J-GRC";#N/A,#N/A,FALSE,"L-DT-GRC";#N/A,#N/A,FALSE,"L-DF-GRC";#N/A,#N/A,FALSE,"P-GRC";#N/A,#N/A,FALSE,"N-GRC";#N/A,#N/A,FALSE,"O-GRC";#N/A,#N/A,FALSE,"G-GRC"}</definedName>
    <definedName name="wrn.LeadsGRC." localSheetId="19" hidden="1">{#N/A,#N/A,FALSE,"J-GRC";#N/A,#N/A,FALSE,"L-DT-GRC";#N/A,#N/A,FALSE,"L-DF-GRC";#N/A,#N/A,FALSE,"P-GRC";#N/A,#N/A,FALSE,"N-GRC";#N/A,#N/A,FALSE,"O-GRC";#N/A,#N/A,FALSE,"G-GRC"}</definedName>
    <definedName name="wrn.LeadsGRC." localSheetId="8" hidden="1">{#N/A,#N/A,FALSE,"J-GRC";#N/A,#N/A,FALSE,"L-DT-GRC";#N/A,#N/A,FALSE,"L-DF-GRC";#N/A,#N/A,FALSE,"P-GRC";#N/A,#N/A,FALSE,"N-GRC";#N/A,#N/A,FALSE,"O-GRC";#N/A,#N/A,FALSE,"G-GRC"}</definedName>
    <definedName name="wrn.LeadsGRC." localSheetId="9" hidden="1">{#N/A,#N/A,FALSE,"J-GRC";#N/A,#N/A,FALSE,"L-DT-GRC";#N/A,#N/A,FALSE,"L-DF-GRC";#N/A,#N/A,FALSE,"P-GRC";#N/A,#N/A,FALSE,"N-GRC";#N/A,#N/A,FALSE,"O-GRC";#N/A,#N/A,FALSE,"G-GRC"}</definedName>
    <definedName name="wrn.LeadsGRC." localSheetId="15" hidden="1">{#N/A,#N/A,FALSE,"J-GRC";#N/A,#N/A,FALSE,"L-DT-GRC";#N/A,#N/A,FALSE,"L-DF-GRC";#N/A,#N/A,FALSE,"P-GRC";#N/A,#N/A,FALSE,"N-GRC";#N/A,#N/A,FALSE,"O-GRC";#N/A,#N/A,FALSE,"G-GRC"}</definedName>
    <definedName name="wrn.LeadsGRC." localSheetId="16" hidden="1">{#N/A,#N/A,FALSE,"J-GRC";#N/A,#N/A,FALSE,"L-DT-GRC";#N/A,#N/A,FALSE,"L-DF-GRC";#N/A,#N/A,FALSE,"P-GRC";#N/A,#N/A,FALSE,"N-GRC";#N/A,#N/A,FALSE,"O-GRC";#N/A,#N/A,FALSE,"G-GRC"}</definedName>
    <definedName name="wrn.LeadsGRC." localSheetId="21" hidden="1">{#N/A,#N/A,FALSE,"J-GRC";#N/A,#N/A,FALSE,"L-DT-GRC";#N/A,#N/A,FALSE,"L-DF-GRC";#N/A,#N/A,FALSE,"P-GRC";#N/A,#N/A,FALSE,"N-GRC";#N/A,#N/A,FALSE,"O-GRC";#N/A,#N/A,FALSE,"G-GRC"}</definedName>
    <definedName name="wrn.LeadsGRC." localSheetId="0" hidden="1">{#N/A,#N/A,FALSE,"J-GRC";#N/A,#N/A,FALSE,"L-DT-GRC";#N/A,#N/A,FALSE,"L-DF-GRC";#N/A,#N/A,FALSE,"P-GRC";#N/A,#N/A,FALSE,"N-GRC";#N/A,#N/A,FALSE,"O-GRC";#N/A,#N/A,FALSE,"G-GRC"}</definedName>
    <definedName name="wrn.LeadsGRC." localSheetId="11" hidden="1">{#N/A,#N/A,FALSE,"J-GRC";#N/A,#N/A,FALSE,"L-DT-GRC";#N/A,#N/A,FALSE,"L-DF-GRC";#N/A,#N/A,FALSE,"P-GRC";#N/A,#N/A,FALSE,"N-GRC";#N/A,#N/A,FALSE,"O-GRC";#N/A,#N/A,FALSE,"G-GRC"}</definedName>
    <definedName name="wrn.LeadsGRC." hidden="1">{#N/A,#N/A,FALSE,"J-GRC";#N/A,#N/A,FALSE,"L-DT-GRC";#N/A,#N/A,FALSE,"L-DF-GRC";#N/A,#N/A,FALSE,"P-GRC";#N/A,#N/A,FALSE,"N-GRC";#N/A,#N/A,FALSE,"O-GRC";#N/A,#N/A,FALSE,"G-GRC"}</definedName>
    <definedName name="wrn.Others." localSheetId="1" hidden="1">{#N/A,#N/A,FALSE,"O-RDD";#N/A,#N/A,FALSE,"O-ODrs"}</definedName>
    <definedName name="wrn.Others." localSheetId="10" hidden="1">{#N/A,#N/A,FALSE,"O-RDD";#N/A,#N/A,FALSE,"O-ODrs"}</definedName>
    <definedName name="wrn.Others." localSheetId="17" hidden="1">{#N/A,#N/A,FALSE,"O-RDD";#N/A,#N/A,FALSE,"O-ODrs"}</definedName>
    <definedName name="wrn.Others." localSheetId="18" hidden="1">{#N/A,#N/A,FALSE,"O-RDD";#N/A,#N/A,FALSE,"O-ODrs"}</definedName>
    <definedName name="wrn.Others." localSheetId="20" hidden="1">{#N/A,#N/A,FALSE,"O-RDD";#N/A,#N/A,FALSE,"O-ODrs"}</definedName>
    <definedName name="wrn.Others." localSheetId="19" hidden="1">{#N/A,#N/A,FALSE,"O-RDD";#N/A,#N/A,FALSE,"O-ODrs"}</definedName>
    <definedName name="wrn.Others." localSheetId="8" hidden="1">{#N/A,#N/A,FALSE,"O-RDD";#N/A,#N/A,FALSE,"O-ODrs"}</definedName>
    <definedName name="wrn.Others." localSheetId="9" hidden="1">{#N/A,#N/A,FALSE,"O-RDD";#N/A,#N/A,FALSE,"O-ODrs"}</definedName>
    <definedName name="wrn.Others." localSheetId="15" hidden="1">{#N/A,#N/A,FALSE,"O-RDD";#N/A,#N/A,FALSE,"O-ODrs"}</definedName>
    <definedName name="wrn.Others." localSheetId="16" hidden="1">{#N/A,#N/A,FALSE,"O-RDD";#N/A,#N/A,FALSE,"O-ODrs"}</definedName>
    <definedName name="wrn.Others." localSheetId="21" hidden="1">{#N/A,#N/A,FALSE,"O-RDD";#N/A,#N/A,FALSE,"O-ODrs"}</definedName>
    <definedName name="wrn.Others." localSheetId="0" hidden="1">{#N/A,#N/A,FALSE,"O-RDD";#N/A,#N/A,FALSE,"O-ODrs"}</definedName>
    <definedName name="wrn.Others." localSheetId="11" hidden="1">{#N/A,#N/A,FALSE,"O-RDD";#N/A,#N/A,FALSE,"O-ODrs"}</definedName>
    <definedName name="wrn.Others." hidden="1">{#N/A,#N/A,FALSE,"O-RDD";#N/A,#N/A,FALSE,"O-ODrs"}</definedName>
    <definedName name="wrn.test." localSheetId="1" hidden="1">{#N/A,#N/A,FALSE,"Tower &amp; Car Park"}</definedName>
    <definedName name="wrn.test." localSheetId="10" hidden="1">{#N/A,#N/A,FALSE,"Tower &amp; Car Park"}</definedName>
    <definedName name="wrn.test." localSheetId="17" hidden="1">{#N/A,#N/A,FALSE,"Tower &amp; Car Park"}</definedName>
    <definedName name="wrn.test." localSheetId="18" hidden="1">{#N/A,#N/A,FALSE,"Tower &amp; Car Park"}</definedName>
    <definedName name="wrn.test." localSheetId="20" hidden="1">{#N/A,#N/A,FALSE,"Tower &amp; Car Park"}</definedName>
    <definedName name="wrn.test." localSheetId="19" hidden="1">{#N/A,#N/A,FALSE,"Tower &amp; Car Park"}</definedName>
    <definedName name="wrn.test." localSheetId="8" hidden="1">{#N/A,#N/A,FALSE,"Tower &amp; Car Park"}</definedName>
    <definedName name="wrn.test." localSheetId="9" hidden="1">{#N/A,#N/A,FALSE,"Tower &amp; Car Park"}</definedName>
    <definedName name="wrn.test." localSheetId="15" hidden="1">{#N/A,#N/A,FALSE,"Tower &amp; Car Park"}</definedName>
    <definedName name="wrn.test." localSheetId="16" hidden="1">{#N/A,#N/A,FALSE,"Tower &amp; Car Park"}</definedName>
    <definedName name="wrn.test." localSheetId="21" hidden="1">{#N/A,#N/A,FALSE,"Tower &amp; Car Park"}</definedName>
    <definedName name="wrn.test." localSheetId="0" hidden="1">{#N/A,#N/A,FALSE,"Tower &amp; Car Park"}</definedName>
    <definedName name="wrn.test." localSheetId="11" hidden="1">{#N/A,#N/A,FALSE,"Tower &amp; Car Park"}</definedName>
    <definedName name="wrn.test." hidden="1">{#N/A,#N/A,FALSE,"Tower &amp; Car Park"}</definedName>
    <definedName name="X" localSheetId="9">#N/A</definedName>
    <definedName name="X" localSheetId="15">#N/A</definedName>
    <definedName name="X" localSheetId="16">#N/A</definedName>
    <definedName name="xxxxxxxxxxxxxxxxxxxxxxxxxxxxxxxx" localSheetId="15">#REF!</definedName>
    <definedName name="xxxxxxxxxxxxxxxxxxxxxxxxxxxxxxxx" localSheetId="16">#REF!</definedName>
    <definedName name="Y" localSheetId="9">#N/A</definedName>
    <definedName name="Y" localSheetId="15">#N/A</definedName>
    <definedName name="Y" localSheetId="16">#N/A</definedName>
    <definedName name="Z" localSheetId="9">#N/A</definedName>
    <definedName name="Z" localSheetId="15">#N/A</definedName>
    <definedName name="Z" localSheetId="16">#N/A</definedName>
    <definedName name="zzzzzzzzzzzzzzzzzzzzzzzzzzzzzzzzz" localSheetId="15">#REF!</definedName>
    <definedName name="zzzzzzzzzzzzzzzzzzzzzzzzzzzzzzzzz" localSheetId="16">#REF!</definedName>
    <definedName name="정리용" localSheetId="1" hidden="1">{#N/A,#N/A,FALSE,"Tower &amp; Car Park"}</definedName>
    <definedName name="정리용" localSheetId="10" hidden="1">{#N/A,#N/A,FALSE,"Tower &amp; Car Park"}</definedName>
    <definedName name="정리용" localSheetId="17" hidden="1">{#N/A,#N/A,FALSE,"Tower &amp; Car Park"}</definedName>
    <definedName name="정리용" localSheetId="18" hidden="1">{#N/A,#N/A,FALSE,"Tower &amp; Car Park"}</definedName>
    <definedName name="정리용" localSheetId="20" hidden="1">{#N/A,#N/A,FALSE,"Tower &amp; Car Park"}</definedName>
    <definedName name="정리용" localSheetId="19" hidden="1">{#N/A,#N/A,FALSE,"Tower &amp; Car Park"}</definedName>
    <definedName name="정리용" localSheetId="8" hidden="1">{#N/A,#N/A,FALSE,"Tower &amp; Car Park"}</definedName>
    <definedName name="정리용" localSheetId="9" hidden="1">{#N/A,#N/A,FALSE,"Tower &amp; Car Park"}</definedName>
    <definedName name="정리용" localSheetId="15" hidden="1">{#N/A,#N/A,FALSE,"Tower &amp; Car Park"}</definedName>
    <definedName name="정리용" localSheetId="16" hidden="1">{#N/A,#N/A,FALSE,"Tower &amp; Car Park"}</definedName>
    <definedName name="정리용" localSheetId="21" hidden="1">{#N/A,#N/A,FALSE,"Tower &amp; Car Park"}</definedName>
    <definedName name="정리용" localSheetId="0" hidden="1">{#N/A,#N/A,FALSE,"Tower &amp; Car Park"}</definedName>
    <definedName name="정리용" localSheetId="11" hidden="1">{#N/A,#N/A,FALSE,"Tower &amp; Car Park"}</definedName>
    <definedName name="정리용" hidden="1">{#N/A,#N/A,FALSE,"Tower &amp; Car Park"}</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10" l="1"/>
  <c r="E30" i="110"/>
  <c r="E29" i="110"/>
  <c r="E28" i="110"/>
  <c r="O81" i="111"/>
  <c r="U44" i="81"/>
  <c r="J9" i="118"/>
  <c r="G28" i="119"/>
  <c r="H28" i="119" s="1"/>
  <c r="G26" i="119"/>
  <c r="H26" i="119" s="1"/>
  <c r="G25" i="119"/>
  <c r="H25" i="119" s="1"/>
  <c r="H19" i="119"/>
  <c r="H18" i="119"/>
  <c r="G30" i="119" s="1"/>
  <c r="H30" i="119" s="1"/>
  <c r="H16" i="119"/>
  <c r="H15" i="119"/>
  <c r="H14" i="119"/>
  <c r="U42" i="81"/>
  <c r="U41" i="81"/>
  <c r="U40" i="81"/>
  <c r="U13" i="81"/>
  <c r="K10" i="118"/>
  <c r="K11" i="118" s="1"/>
  <c r="J26" i="120"/>
  <c r="K26" i="120" s="1"/>
  <c r="J24" i="120"/>
  <c r="K24" i="120" s="1"/>
  <c r="K22" i="120"/>
  <c r="K21" i="120"/>
  <c r="K20" i="120"/>
  <c r="Q950" i="87"/>
  <c r="S950" i="87"/>
  <c r="Q951" i="87"/>
  <c r="S951" i="87"/>
  <c r="Q952" i="87"/>
  <c r="S952" i="87"/>
  <c r="Q953" i="87"/>
  <c r="S953" i="87"/>
  <c r="AC953" i="87" s="1"/>
  <c r="Q954" i="87"/>
  <c r="S954" i="87"/>
  <c r="Q955" i="87"/>
  <c r="S955" i="87"/>
  <c r="Q956" i="87"/>
  <c r="S956" i="87"/>
  <c r="AC956" i="87" s="1"/>
  <c r="Q957" i="87"/>
  <c r="S957" i="87"/>
  <c r="AC957" i="87" s="1"/>
  <c r="Q958" i="87"/>
  <c r="S958" i="87"/>
  <c r="Q959" i="87"/>
  <c r="S959" i="87"/>
  <c r="Q960" i="87"/>
  <c r="S960" i="87"/>
  <c r="Q961" i="87"/>
  <c r="S961" i="87"/>
  <c r="AC961" i="87" s="1"/>
  <c r="Q962" i="87"/>
  <c r="S962" i="87"/>
  <c r="Q963" i="87"/>
  <c r="S963" i="87"/>
  <c r="Q964" i="87"/>
  <c r="S964" i="87"/>
  <c r="AC964" i="87" s="1"/>
  <c r="Q965" i="87"/>
  <c r="S965" i="87"/>
  <c r="AC965" i="87" s="1"/>
  <c r="Q966" i="87"/>
  <c r="S966" i="87"/>
  <c r="Q967" i="87"/>
  <c r="S967" i="87"/>
  <c r="S949" i="87"/>
  <c r="Q949" i="87"/>
  <c r="Q917" i="87"/>
  <c r="S917" i="87"/>
  <c r="Q918" i="87"/>
  <c r="S918" i="87"/>
  <c r="Q919" i="87"/>
  <c r="S919" i="87"/>
  <c r="Q920" i="87"/>
  <c r="S920" i="87"/>
  <c r="Q921" i="87"/>
  <c r="S921" i="87"/>
  <c r="AC921" i="87" s="1"/>
  <c r="Q922" i="87"/>
  <c r="S922" i="87"/>
  <c r="Q923" i="87"/>
  <c r="S923" i="87"/>
  <c r="Q924" i="87"/>
  <c r="S924" i="87"/>
  <c r="Q925" i="87"/>
  <c r="S925" i="87"/>
  <c r="AC925" i="87" s="1"/>
  <c r="Q926" i="87"/>
  <c r="S926" i="87"/>
  <c r="Q927" i="87"/>
  <c r="S927" i="87"/>
  <c r="Q928" i="87"/>
  <c r="S928" i="87"/>
  <c r="Q929" i="87"/>
  <c r="S929" i="87"/>
  <c r="AC929" i="87" s="1"/>
  <c r="Q930" i="87"/>
  <c r="S930" i="87"/>
  <c r="Q931" i="87"/>
  <c r="S931" i="87"/>
  <c r="Q932" i="87"/>
  <c r="S932" i="87"/>
  <c r="Q933" i="87"/>
  <c r="S933" i="87"/>
  <c r="AC933" i="87" s="1"/>
  <c r="Q934" i="87"/>
  <c r="S934" i="87"/>
  <c r="Q935" i="87"/>
  <c r="S935" i="87"/>
  <c r="Q936" i="87"/>
  <c r="S936" i="87"/>
  <c r="AC936" i="87" s="1"/>
  <c r="Q937" i="87"/>
  <c r="S937" i="87"/>
  <c r="Q938" i="87"/>
  <c r="S938" i="87"/>
  <c r="Q939" i="87"/>
  <c r="S939" i="87"/>
  <c r="Q940" i="87"/>
  <c r="S940" i="87"/>
  <c r="Q941" i="87"/>
  <c r="S941" i="87"/>
  <c r="AC941" i="87" s="1"/>
  <c r="Q942" i="87"/>
  <c r="S942" i="87"/>
  <c r="Q943" i="87"/>
  <c r="S943" i="87"/>
  <c r="S916" i="87"/>
  <c r="Q916" i="87"/>
  <c r="Q896" i="87"/>
  <c r="S896" i="87"/>
  <c r="AC896" i="87" s="1"/>
  <c r="Q897" i="87"/>
  <c r="S897" i="87"/>
  <c r="Q898" i="87"/>
  <c r="S898" i="87"/>
  <c r="Q899" i="87"/>
  <c r="S899" i="87"/>
  <c r="Q900" i="87"/>
  <c r="S900" i="87"/>
  <c r="AC900" i="87" s="1"/>
  <c r="Q901" i="87"/>
  <c r="S901" i="87"/>
  <c r="Q902" i="87"/>
  <c r="S902" i="87"/>
  <c r="Q903" i="87"/>
  <c r="S903" i="87"/>
  <c r="AC903" i="87" s="1"/>
  <c r="Q904" i="87"/>
  <c r="S904" i="87"/>
  <c r="AC904" i="87" s="1"/>
  <c r="Q905" i="87"/>
  <c r="S905" i="87"/>
  <c r="Q906" i="87"/>
  <c r="S906" i="87"/>
  <c r="Q907" i="87"/>
  <c r="S907" i="87"/>
  <c r="Q908" i="87"/>
  <c r="S908" i="87"/>
  <c r="AC908" i="87" s="1"/>
  <c r="Q909" i="87"/>
  <c r="S909" i="87"/>
  <c r="Q910" i="87"/>
  <c r="S910" i="87"/>
  <c r="Q911" i="87"/>
  <c r="S911" i="87"/>
  <c r="AC911" i="87" s="1"/>
  <c r="Q912" i="87"/>
  <c r="S912" i="87"/>
  <c r="AC912" i="87" s="1"/>
  <c r="Q913" i="87"/>
  <c r="S913" i="87"/>
  <c r="S895" i="87"/>
  <c r="Q895" i="87"/>
  <c r="Q863" i="87"/>
  <c r="S863" i="87"/>
  <c r="Q864" i="87"/>
  <c r="S864" i="87"/>
  <c r="Q865" i="87"/>
  <c r="S865" i="87"/>
  <c r="Q866" i="87"/>
  <c r="S866" i="87"/>
  <c r="Q867" i="87"/>
  <c r="S867" i="87"/>
  <c r="AC867" i="87" s="1"/>
  <c r="Q868" i="87"/>
  <c r="S868" i="87"/>
  <c r="AC868" i="87" s="1"/>
  <c r="Q869" i="87"/>
  <c r="S869" i="87"/>
  <c r="Q870" i="87"/>
  <c r="S870" i="87"/>
  <c r="Q871" i="87"/>
  <c r="S871" i="87"/>
  <c r="Q872" i="87"/>
  <c r="S872" i="87"/>
  <c r="Q873" i="87"/>
  <c r="S873" i="87"/>
  <c r="Q874" i="87"/>
  <c r="S874" i="87"/>
  <c r="Q875" i="87"/>
  <c r="S875" i="87"/>
  <c r="Q876" i="87"/>
  <c r="S876" i="87"/>
  <c r="AC876" i="87" s="1"/>
  <c r="Q877" i="87"/>
  <c r="S877" i="87"/>
  <c r="Q878" i="87"/>
  <c r="S878" i="87"/>
  <c r="Q879" i="87"/>
  <c r="S879" i="87"/>
  <c r="Q880" i="87"/>
  <c r="S880" i="87"/>
  <c r="AC880" i="87" s="1"/>
  <c r="Q881" i="87"/>
  <c r="S881" i="87"/>
  <c r="Q882" i="87"/>
  <c r="S882" i="87"/>
  <c r="Q883" i="87"/>
  <c r="S883" i="87"/>
  <c r="AC883" i="87" s="1"/>
  <c r="Q884" i="87"/>
  <c r="S884" i="87"/>
  <c r="AC884" i="87" s="1"/>
  <c r="Q885" i="87"/>
  <c r="S885" i="87"/>
  <c r="Q886" i="87"/>
  <c r="S886" i="87"/>
  <c r="Q887" i="87"/>
  <c r="S887" i="87"/>
  <c r="Q888" i="87"/>
  <c r="S888" i="87"/>
  <c r="AC888" i="87" s="1"/>
  <c r="S862" i="87"/>
  <c r="AC862" i="87" s="1"/>
  <c r="Q862" i="87"/>
  <c r="Q857" i="87"/>
  <c r="S857" i="87"/>
  <c r="Q858" i="87"/>
  <c r="S858" i="87"/>
  <c r="Q859" i="87"/>
  <c r="S859" i="87"/>
  <c r="AC859" i="87" s="1"/>
  <c r="S856" i="87"/>
  <c r="Q856" i="87"/>
  <c r="Q824" i="87"/>
  <c r="S824" i="87"/>
  <c r="Q825" i="87"/>
  <c r="S825" i="87"/>
  <c r="Q826" i="87"/>
  <c r="S826" i="87"/>
  <c r="Q827" i="87"/>
  <c r="S827" i="87"/>
  <c r="Q828" i="87"/>
  <c r="S828" i="87"/>
  <c r="Q829" i="87"/>
  <c r="S829" i="87"/>
  <c r="AC829" i="87" s="1"/>
  <c r="Q830" i="87"/>
  <c r="S830" i="87"/>
  <c r="AC830" i="87" s="1"/>
  <c r="Q831" i="87"/>
  <c r="S831" i="87"/>
  <c r="Q832" i="87"/>
  <c r="S832" i="87"/>
  <c r="Q833" i="87"/>
  <c r="S833" i="87"/>
  <c r="Q834" i="87"/>
  <c r="S834" i="87"/>
  <c r="Q835" i="87"/>
  <c r="S835" i="87"/>
  <c r="Q836" i="87"/>
  <c r="S836" i="87"/>
  <c r="Q837" i="87"/>
  <c r="S837" i="87"/>
  <c r="Q838" i="87"/>
  <c r="S838" i="87"/>
  <c r="Q839" i="87"/>
  <c r="S839" i="87"/>
  <c r="Q840" i="87"/>
  <c r="S840" i="87"/>
  <c r="Q841" i="87"/>
  <c r="S841" i="87"/>
  <c r="Q842" i="87"/>
  <c r="S842" i="87"/>
  <c r="Q843" i="87"/>
  <c r="S843" i="87"/>
  <c r="Q844" i="87"/>
  <c r="S844" i="87"/>
  <c r="Q845" i="87"/>
  <c r="S845" i="87"/>
  <c r="AC845" i="87" s="1"/>
  <c r="Q846" i="87"/>
  <c r="S846" i="87"/>
  <c r="AC846" i="87" s="1"/>
  <c r="Q847" i="87"/>
  <c r="S847" i="87"/>
  <c r="Q848" i="87"/>
  <c r="S848" i="87"/>
  <c r="Q849" i="87"/>
  <c r="S849" i="87"/>
  <c r="Q850" i="87"/>
  <c r="S850" i="87"/>
  <c r="Q851" i="87"/>
  <c r="S851" i="87"/>
  <c r="S823" i="87"/>
  <c r="AC823" i="87" s="1"/>
  <c r="Q823" i="87"/>
  <c r="Q802" i="87"/>
  <c r="S802" i="87"/>
  <c r="AC802" i="87" s="1"/>
  <c r="Q803" i="87"/>
  <c r="S803" i="87"/>
  <c r="AC803" i="87" s="1"/>
  <c r="Q804" i="87"/>
  <c r="S804" i="87"/>
  <c r="Q805" i="87"/>
  <c r="S805" i="87"/>
  <c r="Q806" i="87"/>
  <c r="S806" i="87"/>
  <c r="Q807" i="87"/>
  <c r="S807" i="87"/>
  <c r="AC807" i="87" s="1"/>
  <c r="Q808" i="87"/>
  <c r="S808" i="87"/>
  <c r="Q809" i="87"/>
  <c r="S809" i="87"/>
  <c r="Q810" i="87"/>
  <c r="S810" i="87"/>
  <c r="AC810" i="87" s="1"/>
  <c r="Q811" i="87"/>
  <c r="S811" i="87"/>
  <c r="AC811" i="87" s="1"/>
  <c r="Q812" i="87"/>
  <c r="S812" i="87"/>
  <c r="Q813" i="87"/>
  <c r="S813" i="87"/>
  <c r="Q814" i="87"/>
  <c r="S814" i="87"/>
  <c r="Q815" i="87"/>
  <c r="S815" i="87"/>
  <c r="AC815" i="87" s="1"/>
  <c r="Q816" i="87"/>
  <c r="S816" i="87"/>
  <c r="Q817" i="87"/>
  <c r="S817" i="87"/>
  <c r="Q818" i="87"/>
  <c r="S818" i="87"/>
  <c r="AC818" i="87" s="1"/>
  <c r="Q819" i="87"/>
  <c r="S819" i="87"/>
  <c r="Q820" i="87"/>
  <c r="S820" i="87"/>
  <c r="S801" i="87"/>
  <c r="Q801" i="87"/>
  <c r="Q770" i="87"/>
  <c r="S770" i="87"/>
  <c r="Q771" i="87"/>
  <c r="S771" i="87"/>
  <c r="AC771" i="87" s="1"/>
  <c r="Q772" i="87"/>
  <c r="S772" i="87"/>
  <c r="Q773" i="87"/>
  <c r="S773" i="87"/>
  <c r="Q774" i="87"/>
  <c r="S774" i="87"/>
  <c r="Q775" i="87"/>
  <c r="S775" i="87"/>
  <c r="Q776" i="87"/>
  <c r="S776" i="87"/>
  <c r="Q777" i="87"/>
  <c r="S777" i="87"/>
  <c r="Q778" i="87"/>
  <c r="S778" i="87"/>
  <c r="Q779" i="87"/>
  <c r="S779" i="87"/>
  <c r="Q780" i="87"/>
  <c r="S780" i="87"/>
  <c r="Q781" i="87"/>
  <c r="S781" i="87"/>
  <c r="Q782" i="87"/>
  <c r="S782" i="87"/>
  <c r="AC782" i="87" s="1"/>
  <c r="Q783" i="87"/>
  <c r="S783" i="87"/>
  <c r="AC783" i="87" s="1"/>
  <c r="Q784" i="87"/>
  <c r="S784" i="87"/>
  <c r="Q785" i="87"/>
  <c r="S785" i="87"/>
  <c r="Q786" i="87"/>
  <c r="S786" i="87"/>
  <c r="Q787" i="87"/>
  <c r="S787" i="87"/>
  <c r="Q788" i="87"/>
  <c r="S788" i="87"/>
  <c r="Q789" i="87"/>
  <c r="S789" i="87"/>
  <c r="Q790" i="87"/>
  <c r="S790" i="87"/>
  <c r="Q791" i="87"/>
  <c r="S791" i="87"/>
  <c r="Q792" i="87"/>
  <c r="S792" i="87"/>
  <c r="Q793" i="87"/>
  <c r="S793" i="87"/>
  <c r="Q794" i="87"/>
  <c r="S794" i="87"/>
  <c r="Q795" i="87"/>
  <c r="S795" i="87"/>
  <c r="AC795" i="87" s="1"/>
  <c r="Q796" i="87"/>
  <c r="S796" i="87"/>
  <c r="S769" i="87"/>
  <c r="Q769" i="87"/>
  <c r="Q764" i="87"/>
  <c r="S764" i="87"/>
  <c r="AC764" i="87" s="1"/>
  <c r="Q765" i="87"/>
  <c r="S765" i="87"/>
  <c r="Q766" i="87"/>
  <c r="S766" i="87"/>
  <c r="S763" i="87"/>
  <c r="Q763" i="87"/>
  <c r="Q731" i="87"/>
  <c r="S731" i="87"/>
  <c r="Q732" i="87"/>
  <c r="S732" i="87"/>
  <c r="Q733" i="87"/>
  <c r="S733" i="87"/>
  <c r="Q734" i="87"/>
  <c r="S734" i="87"/>
  <c r="Q735" i="87"/>
  <c r="S735" i="87"/>
  <c r="Q736" i="87"/>
  <c r="S736" i="87"/>
  <c r="AC736" i="87" s="1"/>
  <c r="Q737" i="87"/>
  <c r="S737" i="87"/>
  <c r="Q738" i="87"/>
  <c r="S738" i="87"/>
  <c r="Q739" i="87"/>
  <c r="S739" i="87"/>
  <c r="Q740" i="87"/>
  <c r="S740" i="87"/>
  <c r="AC740" i="87" s="1"/>
  <c r="Q741" i="87"/>
  <c r="S741" i="87"/>
  <c r="Q742" i="87"/>
  <c r="S742" i="87"/>
  <c r="Q743" i="87"/>
  <c r="S743" i="87"/>
  <c r="Q744" i="87"/>
  <c r="S744" i="87"/>
  <c r="AC744" i="87" s="1"/>
  <c r="Q745" i="87"/>
  <c r="S745" i="87"/>
  <c r="Q746" i="87"/>
  <c r="S746" i="87"/>
  <c r="Q747" i="87"/>
  <c r="S747" i="87"/>
  <c r="Q748" i="87"/>
  <c r="S748" i="87"/>
  <c r="AC748" i="87" s="1"/>
  <c r="Q749" i="87"/>
  <c r="S749" i="87"/>
  <c r="Q750" i="87"/>
  <c r="S750" i="87"/>
  <c r="Q751" i="87"/>
  <c r="S751" i="87"/>
  <c r="AC751" i="87" s="1"/>
  <c r="Q752" i="87"/>
  <c r="S752" i="87"/>
  <c r="AC752" i="87" s="1"/>
  <c r="Q753" i="87"/>
  <c r="S753" i="87"/>
  <c r="Q754" i="87"/>
  <c r="S754" i="87"/>
  <c r="Q755" i="87"/>
  <c r="S755" i="87"/>
  <c r="Q756" i="87"/>
  <c r="S756" i="87"/>
  <c r="AC756" i="87" s="1"/>
  <c r="Q757" i="87"/>
  <c r="S757" i="87"/>
  <c r="Q758" i="87"/>
  <c r="S758" i="87"/>
  <c r="S730" i="87"/>
  <c r="AC730" i="87" s="1"/>
  <c r="Q730" i="87"/>
  <c r="Q723" i="87"/>
  <c r="S723" i="87"/>
  <c r="AC723" i="87" s="1"/>
  <c r="Q724" i="87"/>
  <c r="S724" i="87"/>
  <c r="Q725" i="87"/>
  <c r="S725" i="87"/>
  <c r="Q726" i="87"/>
  <c r="S726" i="87"/>
  <c r="Q727" i="87"/>
  <c r="S727" i="87"/>
  <c r="S722" i="87"/>
  <c r="Q722" i="87"/>
  <c r="Q710" i="87"/>
  <c r="S710" i="87"/>
  <c r="Q711" i="87"/>
  <c r="S711" i="87"/>
  <c r="AC711" i="87" s="1"/>
  <c r="Q712" i="87"/>
  <c r="S712" i="87"/>
  <c r="Q713" i="87"/>
  <c r="S713" i="87"/>
  <c r="Q714" i="87"/>
  <c r="S714" i="87"/>
  <c r="Q715" i="87"/>
  <c r="S715" i="87"/>
  <c r="Q716" i="87"/>
  <c r="S716" i="87"/>
  <c r="AC716" i="87" s="1"/>
  <c r="Q717" i="87"/>
  <c r="S717" i="87"/>
  <c r="S709" i="87"/>
  <c r="AC709" i="87" s="1"/>
  <c r="Q709" i="87"/>
  <c r="S676" i="87"/>
  <c r="AC676" i="87" s="1"/>
  <c r="Q676" i="87"/>
  <c r="Q672" i="87"/>
  <c r="S672" i="87"/>
  <c r="AC672" i="87" s="1"/>
  <c r="Q673" i="87"/>
  <c r="S673" i="87"/>
  <c r="S671" i="87"/>
  <c r="Q671" i="87"/>
  <c r="Q648" i="87"/>
  <c r="S648" i="87"/>
  <c r="Q649" i="87"/>
  <c r="S649" i="87"/>
  <c r="Q650" i="87"/>
  <c r="S650" i="87"/>
  <c r="Q651" i="87"/>
  <c r="S651" i="87"/>
  <c r="Q652" i="87"/>
  <c r="S652" i="87"/>
  <c r="AC652" i="87" s="1"/>
  <c r="Q653" i="87"/>
  <c r="S653" i="87"/>
  <c r="Q654" i="87"/>
  <c r="S654" i="87"/>
  <c r="Q655" i="87"/>
  <c r="S655" i="87"/>
  <c r="Q656" i="87"/>
  <c r="S656" i="87"/>
  <c r="Q657" i="87"/>
  <c r="S657" i="87"/>
  <c r="Q658" i="87"/>
  <c r="S658" i="87"/>
  <c r="Q659" i="87"/>
  <c r="S659" i="87"/>
  <c r="Q660" i="87"/>
  <c r="S660" i="87"/>
  <c r="AC660" i="87" s="1"/>
  <c r="Q661" i="87"/>
  <c r="S661" i="87"/>
  <c r="AC661" i="87" s="1"/>
  <c r="Q662" i="87"/>
  <c r="S662" i="87"/>
  <c r="Q663" i="87"/>
  <c r="S663" i="87"/>
  <c r="Q664" i="87"/>
  <c r="S664" i="87"/>
  <c r="Q665" i="87"/>
  <c r="S665" i="87"/>
  <c r="AC665" i="87" s="1"/>
  <c r="Q666" i="87"/>
  <c r="S666" i="87"/>
  <c r="AC666" i="87" s="1"/>
  <c r="S647" i="87"/>
  <c r="Q647" i="87"/>
  <c r="Q636" i="87"/>
  <c r="S636" i="87"/>
  <c r="AC636" i="87" s="1"/>
  <c r="Q637" i="87"/>
  <c r="S637" i="87"/>
  <c r="AC637" i="87" s="1"/>
  <c r="Q638" i="87"/>
  <c r="S638" i="87"/>
  <c r="Q639" i="87"/>
  <c r="S639" i="87"/>
  <c r="Q640" i="87"/>
  <c r="S640" i="87"/>
  <c r="Q641" i="87"/>
  <c r="S641" i="87"/>
  <c r="Q642" i="87"/>
  <c r="S642" i="87"/>
  <c r="Q643" i="87"/>
  <c r="S643" i="87"/>
  <c r="Q644" i="87"/>
  <c r="S644" i="87"/>
  <c r="S635" i="87"/>
  <c r="Q635" i="87"/>
  <c r="Q612" i="87"/>
  <c r="S612" i="87"/>
  <c r="Q613" i="87"/>
  <c r="S613" i="87"/>
  <c r="Q614" i="87"/>
  <c r="S614" i="87"/>
  <c r="Q615" i="87"/>
  <c r="S615" i="87"/>
  <c r="AC615" i="87" s="1"/>
  <c r="Q616" i="87"/>
  <c r="S616" i="87"/>
  <c r="Q617" i="87"/>
  <c r="S617" i="87"/>
  <c r="Q618" i="87"/>
  <c r="S618" i="87"/>
  <c r="AC618" i="87" s="1"/>
  <c r="Q619" i="87"/>
  <c r="S619" i="87"/>
  <c r="AC619" i="87" s="1"/>
  <c r="Q620" i="87"/>
  <c r="S620" i="87"/>
  <c r="Q621" i="87"/>
  <c r="S621" i="87"/>
  <c r="Q622" i="87"/>
  <c r="S622" i="87"/>
  <c r="Q623" i="87"/>
  <c r="S623" i="87"/>
  <c r="AC623" i="87" s="1"/>
  <c r="Q624" i="87"/>
  <c r="S624" i="87"/>
  <c r="Q625" i="87"/>
  <c r="S625" i="87"/>
  <c r="Q626" i="87"/>
  <c r="S626" i="87"/>
  <c r="AC626" i="87" s="1"/>
  <c r="Q627" i="87"/>
  <c r="S627" i="87"/>
  <c r="AC627" i="87" s="1"/>
  <c r="Q628" i="87"/>
  <c r="S628" i="87"/>
  <c r="Q629" i="87"/>
  <c r="S629" i="87"/>
  <c r="Q630" i="87"/>
  <c r="S630" i="87"/>
  <c r="S611" i="87"/>
  <c r="Q611" i="87"/>
  <c r="Q607" i="87"/>
  <c r="S607" i="87"/>
  <c r="Q608" i="87"/>
  <c r="S608" i="87"/>
  <c r="S606" i="87"/>
  <c r="AC606" i="87" s="1"/>
  <c r="Q606" i="87"/>
  <c r="Q584" i="87"/>
  <c r="S584" i="87"/>
  <c r="Q585" i="87"/>
  <c r="S585" i="87"/>
  <c r="Q586" i="87"/>
  <c r="S586" i="87"/>
  <c r="Q587" i="87"/>
  <c r="S587" i="87"/>
  <c r="Q588" i="87"/>
  <c r="S588" i="87"/>
  <c r="Q589" i="87"/>
  <c r="S589" i="87"/>
  <c r="Q590" i="87"/>
  <c r="S590" i="87"/>
  <c r="Q591" i="87"/>
  <c r="S591" i="87"/>
  <c r="AC591" i="87" s="1"/>
  <c r="Q592" i="87"/>
  <c r="S592" i="87"/>
  <c r="AC592" i="87" s="1"/>
  <c r="Q593" i="87"/>
  <c r="S593" i="87"/>
  <c r="Q594" i="87"/>
  <c r="S594" i="87"/>
  <c r="Q595" i="87"/>
  <c r="S595" i="87"/>
  <c r="Q596" i="87"/>
  <c r="S596" i="87"/>
  <c r="AC596" i="87" s="1"/>
  <c r="Q597" i="87"/>
  <c r="S597" i="87"/>
  <c r="Q598" i="87"/>
  <c r="S598" i="87"/>
  <c r="Q599" i="87"/>
  <c r="S599" i="87"/>
  <c r="AC599" i="87" s="1"/>
  <c r="Q600" i="87"/>
  <c r="S600" i="87"/>
  <c r="AC600" i="87" s="1"/>
  <c r="Q601" i="87"/>
  <c r="S601" i="87"/>
  <c r="S583" i="87"/>
  <c r="Q583" i="87"/>
  <c r="Q572" i="87"/>
  <c r="S572" i="87"/>
  <c r="Q573" i="87"/>
  <c r="S573" i="87"/>
  <c r="Q574" i="87"/>
  <c r="S574" i="87"/>
  <c r="Q575" i="87"/>
  <c r="S575" i="87"/>
  <c r="Q576" i="87"/>
  <c r="S576" i="87"/>
  <c r="AC576" i="87" s="1"/>
  <c r="Q577" i="87"/>
  <c r="S577" i="87"/>
  <c r="Q578" i="87"/>
  <c r="S578" i="87"/>
  <c r="Q579" i="87"/>
  <c r="S579" i="87"/>
  <c r="Q580" i="87"/>
  <c r="S580" i="87"/>
  <c r="S571" i="87"/>
  <c r="Q571" i="87"/>
  <c r="Q548" i="87"/>
  <c r="S548" i="87"/>
  <c r="Q549" i="87"/>
  <c r="S549" i="87"/>
  <c r="Q550" i="87"/>
  <c r="S550" i="87"/>
  <c r="AC550" i="87" s="1"/>
  <c r="Q551" i="87"/>
  <c r="S551" i="87"/>
  <c r="AC551" i="87" s="1"/>
  <c r="Q552" i="87"/>
  <c r="S552" i="87"/>
  <c r="Q553" i="87"/>
  <c r="S553" i="87"/>
  <c r="Q554" i="87"/>
  <c r="S554" i="87"/>
  <c r="Q555" i="87"/>
  <c r="S555" i="87"/>
  <c r="AC555" i="87" s="1"/>
  <c r="Q556" i="87"/>
  <c r="S556" i="87"/>
  <c r="Q557" i="87"/>
  <c r="S557" i="87"/>
  <c r="Q558" i="87"/>
  <c r="S558" i="87"/>
  <c r="Q559" i="87"/>
  <c r="S559" i="87"/>
  <c r="AC559" i="87" s="1"/>
  <c r="Q560" i="87"/>
  <c r="S560" i="87"/>
  <c r="Q561" i="87"/>
  <c r="S561" i="87"/>
  <c r="Q562" i="87"/>
  <c r="S562" i="87"/>
  <c r="Q563" i="87"/>
  <c r="S563" i="87"/>
  <c r="Q564" i="87"/>
  <c r="S564" i="87"/>
  <c r="Q565" i="87"/>
  <c r="S565" i="87"/>
  <c r="Q566" i="87"/>
  <c r="S566" i="87"/>
  <c r="S547" i="87"/>
  <c r="AC547" i="87" s="1"/>
  <c r="Q547" i="87"/>
  <c r="Q543" i="87"/>
  <c r="S543" i="87"/>
  <c r="Q544" i="87"/>
  <c r="S544" i="87"/>
  <c r="S542" i="87"/>
  <c r="Q542" i="87"/>
  <c r="Q520" i="87"/>
  <c r="S520" i="87"/>
  <c r="Q521" i="87"/>
  <c r="S521" i="87"/>
  <c r="Q522" i="87"/>
  <c r="S522" i="87"/>
  <c r="Q523" i="87"/>
  <c r="S523" i="87"/>
  <c r="AC523" i="87" s="1"/>
  <c r="Q524" i="87"/>
  <c r="S524" i="87"/>
  <c r="AC524" i="87" s="1"/>
  <c r="Q525" i="87"/>
  <c r="S525" i="87"/>
  <c r="Q526" i="87"/>
  <c r="S526" i="87"/>
  <c r="Q527" i="87"/>
  <c r="S527" i="87"/>
  <c r="Q528" i="87"/>
  <c r="S528" i="87"/>
  <c r="AC528" i="87" s="1"/>
  <c r="Q529" i="87"/>
  <c r="S529" i="87"/>
  <c r="Q530" i="87"/>
  <c r="S530" i="87"/>
  <c r="Q531" i="87"/>
  <c r="S531" i="87"/>
  <c r="Q532" i="87"/>
  <c r="S532" i="87"/>
  <c r="Q533" i="87"/>
  <c r="S533" i="87"/>
  <c r="Q534" i="87"/>
  <c r="S534" i="87"/>
  <c r="Q535" i="87"/>
  <c r="S535" i="87"/>
  <c r="Q536" i="87"/>
  <c r="S536" i="87"/>
  <c r="Q537" i="87"/>
  <c r="S537" i="87"/>
  <c r="S519" i="87"/>
  <c r="Q519" i="87"/>
  <c r="Q509" i="87"/>
  <c r="S509" i="87"/>
  <c r="AC509" i="87" s="1"/>
  <c r="Q510" i="87"/>
  <c r="S510" i="87"/>
  <c r="Q511" i="87"/>
  <c r="S511" i="87"/>
  <c r="Q512" i="87"/>
  <c r="S512" i="87"/>
  <c r="Q513" i="87"/>
  <c r="S513" i="87"/>
  <c r="Q514" i="87"/>
  <c r="S514" i="87"/>
  <c r="AC514" i="87" s="1"/>
  <c r="Q515" i="87"/>
  <c r="S515" i="87"/>
  <c r="Q516" i="87"/>
  <c r="S516" i="87"/>
  <c r="S508" i="87"/>
  <c r="AC508" i="87" s="1"/>
  <c r="Q508" i="87"/>
  <c r="Q484" i="87"/>
  <c r="S484" i="87"/>
  <c r="AC484" i="87" s="1"/>
  <c r="Q485" i="87"/>
  <c r="S485" i="87"/>
  <c r="Q486" i="87"/>
  <c r="S486" i="87"/>
  <c r="Q487" i="87"/>
  <c r="S487" i="87"/>
  <c r="Q488" i="87"/>
  <c r="S488" i="87"/>
  <c r="Q489" i="87"/>
  <c r="S489" i="87"/>
  <c r="Q490" i="87"/>
  <c r="S490" i="87"/>
  <c r="Q491" i="87"/>
  <c r="S491" i="87"/>
  <c r="AC491" i="87" s="1"/>
  <c r="Q492" i="87"/>
  <c r="S492" i="87"/>
  <c r="AC492" i="87" s="1"/>
  <c r="Q493" i="87"/>
  <c r="S493" i="87"/>
  <c r="Q494" i="87"/>
  <c r="S494" i="87"/>
  <c r="Q495" i="87"/>
  <c r="S495" i="87"/>
  <c r="Q496" i="87"/>
  <c r="S496" i="87"/>
  <c r="AC496" i="87" s="1"/>
  <c r="Q497" i="87"/>
  <c r="S497" i="87"/>
  <c r="Q498" i="87"/>
  <c r="S498" i="87"/>
  <c r="Q499" i="87"/>
  <c r="S499" i="87"/>
  <c r="AC499" i="87" s="1"/>
  <c r="Q500" i="87"/>
  <c r="S500" i="87"/>
  <c r="AC500" i="87" s="1"/>
  <c r="Q501" i="87"/>
  <c r="S501" i="87"/>
  <c r="Q502" i="87"/>
  <c r="S502" i="87"/>
  <c r="S483" i="87"/>
  <c r="Q483" i="87"/>
  <c r="Q473" i="87"/>
  <c r="S473" i="87"/>
  <c r="Q474" i="87"/>
  <c r="S474" i="87"/>
  <c r="Q475" i="87"/>
  <c r="S475" i="87"/>
  <c r="Q476" i="87"/>
  <c r="S476" i="87"/>
  <c r="Q477" i="87"/>
  <c r="S477" i="87"/>
  <c r="S481" i="87" s="1"/>
  <c r="Q478" i="87"/>
  <c r="S478" i="87"/>
  <c r="Q479" i="87"/>
  <c r="S479" i="87"/>
  <c r="Q480" i="87"/>
  <c r="S480" i="87"/>
  <c r="S472" i="87"/>
  <c r="Q472" i="87"/>
  <c r="Q430" i="87"/>
  <c r="S430" i="87"/>
  <c r="Q431" i="87"/>
  <c r="S431" i="87"/>
  <c r="Q432" i="87"/>
  <c r="S432" i="87"/>
  <c r="Q433" i="87"/>
  <c r="S433" i="87"/>
  <c r="AC433" i="87" s="1"/>
  <c r="Q434" i="87"/>
  <c r="S434" i="87"/>
  <c r="Q435" i="87"/>
  <c r="S435" i="87"/>
  <c r="Q436" i="87"/>
  <c r="S436" i="87"/>
  <c r="Q437" i="87"/>
  <c r="S437" i="87"/>
  <c r="AC437" i="87" s="1"/>
  <c r="Q438" i="87"/>
  <c r="S438" i="87"/>
  <c r="Q439" i="87"/>
  <c r="S439" i="87"/>
  <c r="Q440" i="87"/>
  <c r="S440" i="87"/>
  <c r="AC440" i="87" s="1"/>
  <c r="Q441" i="87"/>
  <c r="S441" i="87"/>
  <c r="AC441" i="87" s="1"/>
  <c r="Q442" i="87"/>
  <c r="S442" i="87"/>
  <c r="Q443" i="87"/>
  <c r="S443" i="87"/>
  <c r="Q444" i="87"/>
  <c r="S444" i="87"/>
  <c r="Q445" i="87"/>
  <c r="S445" i="87"/>
  <c r="AC445" i="87" s="1"/>
  <c r="Q446" i="87"/>
  <c r="S446" i="87"/>
  <c r="Q447" i="87"/>
  <c r="S447" i="87"/>
  <c r="Q448" i="87"/>
  <c r="S448" i="87"/>
  <c r="AC448" i="87" s="1"/>
  <c r="Q449" i="87"/>
  <c r="S449" i="87"/>
  <c r="AC449" i="87" s="1"/>
  <c r="Q450" i="87"/>
  <c r="S450" i="87"/>
  <c r="Q451" i="87"/>
  <c r="S451" i="87"/>
  <c r="Q452" i="87"/>
  <c r="S452" i="87"/>
  <c r="Q453" i="87"/>
  <c r="S453" i="87"/>
  <c r="AC453" i="87" s="1"/>
  <c r="Q454" i="87"/>
  <c r="S454" i="87"/>
  <c r="Q455" i="87"/>
  <c r="S455" i="87"/>
  <c r="Q456" i="87"/>
  <c r="S456" i="87"/>
  <c r="Q457" i="87"/>
  <c r="S457" i="87"/>
  <c r="Q458" i="87"/>
  <c r="S458" i="87"/>
  <c r="Q459" i="87"/>
  <c r="S459" i="87"/>
  <c r="Q460" i="87"/>
  <c r="S460" i="87"/>
  <c r="Q461" i="87"/>
  <c r="S461" i="87"/>
  <c r="AC461" i="87" s="1"/>
  <c r="Q462" i="87"/>
  <c r="S462" i="87"/>
  <c r="Q463" i="87"/>
  <c r="S463" i="87"/>
  <c r="Q464" i="87"/>
  <c r="S464" i="87"/>
  <c r="AC464" i="87" s="1"/>
  <c r="Q465" i="87"/>
  <c r="S465" i="87"/>
  <c r="AC465" i="87" s="1"/>
  <c r="S429" i="87"/>
  <c r="Q429" i="87"/>
  <c r="S426" i="87"/>
  <c r="Q426" i="87"/>
  <c r="S425" i="87"/>
  <c r="Q425" i="87"/>
  <c r="Q393" i="87"/>
  <c r="S393" i="87"/>
  <c r="Q394" i="87"/>
  <c r="S394" i="87"/>
  <c r="Q395" i="87"/>
  <c r="S395" i="87"/>
  <c r="Q396" i="87"/>
  <c r="S396" i="87"/>
  <c r="Q397" i="87"/>
  <c r="S397" i="87"/>
  <c r="Q398" i="87"/>
  <c r="S398" i="87"/>
  <c r="Q399" i="87"/>
  <c r="S399" i="87"/>
  <c r="Q400" i="87"/>
  <c r="S400" i="87"/>
  <c r="Q401" i="87"/>
  <c r="S401" i="87"/>
  <c r="Q402" i="87"/>
  <c r="S402" i="87"/>
  <c r="Q403" i="87"/>
  <c r="S403" i="87"/>
  <c r="Q404" i="87"/>
  <c r="S404" i="87"/>
  <c r="AC404" i="87" s="1"/>
  <c r="Q405" i="87"/>
  <c r="S405" i="87"/>
  <c r="AC405" i="87" s="1"/>
  <c r="Q406" i="87"/>
  <c r="S406" i="87"/>
  <c r="Q407" i="87"/>
  <c r="S407" i="87"/>
  <c r="Q408" i="87"/>
  <c r="S408" i="87"/>
  <c r="Q409" i="87"/>
  <c r="S409" i="87"/>
  <c r="Q410" i="87"/>
  <c r="S410" i="87"/>
  <c r="Q411" i="87"/>
  <c r="S411" i="87"/>
  <c r="Q412" i="87"/>
  <c r="S412" i="87"/>
  <c r="AC412" i="87" s="1"/>
  <c r="Q413" i="87"/>
  <c r="S413" i="87"/>
  <c r="AC413" i="87" s="1"/>
  <c r="Q414" i="87"/>
  <c r="S414" i="87"/>
  <c r="Q415" i="87"/>
  <c r="S415" i="87"/>
  <c r="Q416" i="87"/>
  <c r="S416" i="87"/>
  <c r="Q417" i="87"/>
  <c r="S417" i="87"/>
  <c r="AC417" i="87" s="1"/>
  <c r="Q418" i="87"/>
  <c r="S418" i="87"/>
  <c r="Q419" i="87"/>
  <c r="S419" i="87"/>
  <c r="S392" i="87"/>
  <c r="AC392" i="87" s="1"/>
  <c r="Q392" i="87"/>
  <c r="Q381" i="87"/>
  <c r="S381" i="87"/>
  <c r="AC381" i="87" s="1"/>
  <c r="Q382" i="87"/>
  <c r="S382" i="87"/>
  <c r="Q383" i="87"/>
  <c r="S383" i="87"/>
  <c r="Q384" i="87"/>
  <c r="S384" i="87"/>
  <c r="Q385" i="87"/>
  <c r="S385" i="87"/>
  <c r="Q386" i="87"/>
  <c r="S386" i="87"/>
  <c r="Q387" i="87"/>
  <c r="S387" i="87"/>
  <c r="Q388" i="87"/>
  <c r="S388" i="87"/>
  <c r="AC388" i="87" s="1"/>
  <c r="Q389" i="87"/>
  <c r="S389" i="87"/>
  <c r="AC389" i="87" s="1"/>
  <c r="S380" i="87"/>
  <c r="Q380" i="87"/>
  <c r="Q339" i="87"/>
  <c r="S339" i="87"/>
  <c r="Q340" i="87"/>
  <c r="S340" i="87"/>
  <c r="Q341" i="87"/>
  <c r="S341" i="87"/>
  <c r="Q342" i="87"/>
  <c r="S342" i="87"/>
  <c r="Q343" i="87"/>
  <c r="S343" i="87"/>
  <c r="Q344" i="87"/>
  <c r="S344" i="87"/>
  <c r="Q345" i="87"/>
  <c r="S345" i="87"/>
  <c r="AC345" i="87" s="1"/>
  <c r="Q346" i="87"/>
  <c r="S346" i="87"/>
  <c r="Q347" i="87"/>
  <c r="S347" i="87"/>
  <c r="Q348" i="87"/>
  <c r="S348" i="87"/>
  <c r="Q349" i="87"/>
  <c r="S349" i="87"/>
  <c r="AC349" i="87" s="1"/>
  <c r="Q350" i="87"/>
  <c r="S350" i="87"/>
  <c r="Q351" i="87"/>
  <c r="S351" i="87"/>
  <c r="Q352" i="87"/>
  <c r="S352" i="87"/>
  <c r="AC352" i="87" s="1"/>
  <c r="Q353" i="87"/>
  <c r="S353" i="87"/>
  <c r="AC353" i="87" s="1"/>
  <c r="Q354" i="87"/>
  <c r="S354" i="87"/>
  <c r="Q355" i="87"/>
  <c r="S355" i="87"/>
  <c r="Q356" i="87"/>
  <c r="S356" i="87"/>
  <c r="Q357" i="87"/>
  <c r="S357" i="87"/>
  <c r="AC357" i="87" s="1"/>
  <c r="Q358" i="87"/>
  <c r="S358" i="87"/>
  <c r="Q359" i="87"/>
  <c r="S359" i="87"/>
  <c r="Q360" i="87"/>
  <c r="S360" i="87"/>
  <c r="AC360" i="87" s="1"/>
  <c r="Q361" i="87"/>
  <c r="S361" i="87"/>
  <c r="AC361" i="87" s="1"/>
  <c r="Q362" i="87"/>
  <c r="S362" i="87"/>
  <c r="Q363" i="87"/>
  <c r="S363" i="87"/>
  <c r="Q364" i="87"/>
  <c r="S364" i="87"/>
  <c r="Q365" i="87"/>
  <c r="S365" i="87"/>
  <c r="AC365" i="87" s="1"/>
  <c r="Q366" i="87"/>
  <c r="S366" i="87"/>
  <c r="Q367" i="87"/>
  <c r="S367" i="87"/>
  <c r="Q368" i="87"/>
  <c r="S368" i="87"/>
  <c r="AC368" i="87" s="1"/>
  <c r="Q369" i="87"/>
  <c r="S369" i="87"/>
  <c r="AC369" i="87" s="1"/>
  <c r="Q370" i="87"/>
  <c r="S370" i="87"/>
  <c r="Q371" i="87"/>
  <c r="S371" i="87"/>
  <c r="Q372" i="87"/>
  <c r="S372" i="87"/>
  <c r="Q373" i="87"/>
  <c r="S373" i="87"/>
  <c r="AC373" i="87" s="1"/>
  <c r="Q374" i="87"/>
  <c r="S374" i="87"/>
  <c r="Q375" i="87"/>
  <c r="S375" i="87"/>
  <c r="S338" i="87"/>
  <c r="Q338" i="87"/>
  <c r="Q334" i="87"/>
  <c r="S334" i="87"/>
  <c r="Q335" i="87"/>
  <c r="S335" i="87"/>
  <c r="S333" i="87"/>
  <c r="Q333" i="87"/>
  <c r="Q302" i="87"/>
  <c r="S302" i="87"/>
  <c r="Q303" i="87"/>
  <c r="S303" i="87"/>
  <c r="Q304" i="87"/>
  <c r="S304" i="87"/>
  <c r="Q305" i="87"/>
  <c r="S305" i="87"/>
  <c r="Q306" i="87"/>
  <c r="S306" i="87"/>
  <c r="Q307" i="87"/>
  <c r="S307" i="87"/>
  <c r="Q308" i="87"/>
  <c r="S308" i="87"/>
  <c r="Q309" i="87"/>
  <c r="S309" i="87"/>
  <c r="Q310" i="87"/>
  <c r="S310" i="87"/>
  <c r="Q311" i="87"/>
  <c r="S311" i="87"/>
  <c r="Q312" i="87"/>
  <c r="S312" i="87"/>
  <c r="Q313" i="87"/>
  <c r="S313" i="87"/>
  <c r="Q314" i="87"/>
  <c r="S314" i="87"/>
  <c r="AC314" i="87" s="1"/>
  <c r="Q315" i="87"/>
  <c r="S315" i="87"/>
  <c r="AC315" i="87" s="1"/>
  <c r="Q316" i="87"/>
  <c r="S316" i="87"/>
  <c r="Q317" i="87"/>
  <c r="S317" i="87"/>
  <c r="Q318" i="87"/>
  <c r="S318" i="87"/>
  <c r="Q319" i="87"/>
  <c r="S319" i="87"/>
  <c r="AC319" i="87" s="1"/>
  <c r="Q320" i="87"/>
  <c r="S320" i="87"/>
  <c r="Q321" i="87"/>
  <c r="S321" i="87"/>
  <c r="Q322" i="87"/>
  <c r="S322" i="87"/>
  <c r="AC322" i="87" s="1"/>
  <c r="Q323" i="87"/>
  <c r="S323" i="87"/>
  <c r="AC323" i="87" s="1"/>
  <c r="Q324" i="87"/>
  <c r="S324" i="87"/>
  <c r="Q325" i="87"/>
  <c r="S325" i="87"/>
  <c r="Q326" i="87"/>
  <c r="S326" i="87"/>
  <c r="Q327" i="87"/>
  <c r="S327" i="87"/>
  <c r="Q328" i="87"/>
  <c r="S328" i="87"/>
  <c r="S301" i="87"/>
  <c r="AC301" i="87" s="1"/>
  <c r="Q301" i="87"/>
  <c r="Q290" i="87"/>
  <c r="S290" i="87"/>
  <c r="Q291" i="87"/>
  <c r="S291" i="87"/>
  <c r="Q292" i="87"/>
  <c r="S292" i="87"/>
  <c r="Q293" i="87"/>
  <c r="S293" i="87"/>
  <c r="Q294" i="87"/>
  <c r="S294" i="87"/>
  <c r="Q295" i="87"/>
  <c r="S295" i="87"/>
  <c r="Q296" i="87"/>
  <c r="S296" i="87"/>
  <c r="Q297" i="87"/>
  <c r="S297" i="87"/>
  <c r="Q298" i="87"/>
  <c r="S298" i="87"/>
  <c r="S289" i="87"/>
  <c r="Q289" i="87"/>
  <c r="Q248" i="87"/>
  <c r="S248" i="87"/>
  <c r="Q249" i="87"/>
  <c r="S249" i="87"/>
  <c r="Q250" i="87"/>
  <c r="S250" i="87"/>
  <c r="Q251" i="87"/>
  <c r="S251" i="87"/>
  <c r="Q252" i="87"/>
  <c r="S252" i="87"/>
  <c r="Q253" i="87"/>
  <c r="S253" i="87"/>
  <c r="Q254" i="87"/>
  <c r="S254" i="87"/>
  <c r="AC254" i="87" s="1"/>
  <c r="Q255" i="87"/>
  <c r="S255" i="87"/>
  <c r="Q256" i="87"/>
  <c r="S256" i="87"/>
  <c r="Q257" i="87"/>
  <c r="S257" i="87"/>
  <c r="Q258" i="87"/>
  <c r="S258" i="87"/>
  <c r="Q259" i="87"/>
  <c r="S259" i="87"/>
  <c r="AC259" i="87" s="1"/>
  <c r="Q260" i="87"/>
  <c r="S260" i="87"/>
  <c r="Q261" i="87"/>
  <c r="S261" i="87"/>
  <c r="Q262" i="87"/>
  <c r="S262" i="87"/>
  <c r="AC262" i="87" s="1"/>
  <c r="Q263" i="87"/>
  <c r="S263" i="87"/>
  <c r="AC263" i="87" s="1"/>
  <c r="Q264" i="87"/>
  <c r="S264" i="87"/>
  <c r="Q265" i="87"/>
  <c r="S265" i="87"/>
  <c r="Q266" i="87"/>
  <c r="S266" i="87"/>
  <c r="Q267" i="87"/>
  <c r="S267" i="87"/>
  <c r="AC267" i="87" s="1"/>
  <c r="Q268" i="87"/>
  <c r="S268" i="87"/>
  <c r="Q269" i="87"/>
  <c r="S269" i="87"/>
  <c r="Q270" i="87"/>
  <c r="S270" i="87"/>
  <c r="AC270" i="87" s="1"/>
  <c r="Q271" i="87"/>
  <c r="S271" i="87"/>
  <c r="AC271" i="87" s="1"/>
  <c r="Q272" i="87"/>
  <c r="S272" i="87"/>
  <c r="Q273" i="87"/>
  <c r="S273" i="87"/>
  <c r="Q274" i="87"/>
  <c r="S274" i="87"/>
  <c r="Q275" i="87"/>
  <c r="S275" i="87"/>
  <c r="Q276" i="87"/>
  <c r="S276" i="87"/>
  <c r="Q277" i="87"/>
  <c r="S277" i="87"/>
  <c r="Q278" i="87"/>
  <c r="S278" i="87"/>
  <c r="Q279" i="87"/>
  <c r="S279" i="87"/>
  <c r="Q280" i="87"/>
  <c r="S280" i="87"/>
  <c r="Q281" i="87"/>
  <c r="S281" i="87"/>
  <c r="Q282" i="87"/>
  <c r="S282" i="87"/>
  <c r="Q283" i="87"/>
  <c r="S283" i="87"/>
  <c r="AC283" i="87" s="1"/>
  <c r="Q284" i="87"/>
  <c r="S284" i="87"/>
  <c r="S247" i="87"/>
  <c r="AC247" i="87" s="1"/>
  <c r="Q247" i="87"/>
  <c r="Q235" i="87"/>
  <c r="S235" i="87"/>
  <c r="AC235" i="87" s="1"/>
  <c r="Q236" i="87"/>
  <c r="S236" i="87"/>
  <c r="Q237" i="87"/>
  <c r="S237" i="87"/>
  <c r="Q238" i="87"/>
  <c r="S238" i="87"/>
  <c r="Q239" i="87"/>
  <c r="S239" i="87"/>
  <c r="Q240" i="87"/>
  <c r="S240" i="87"/>
  <c r="Q241" i="87"/>
  <c r="S241" i="87"/>
  <c r="Q242" i="87"/>
  <c r="S242" i="87"/>
  <c r="Q243" i="87"/>
  <c r="S243" i="87"/>
  <c r="AC243" i="87" s="1"/>
  <c r="Q244" i="87"/>
  <c r="S244" i="87"/>
  <c r="S234" i="87"/>
  <c r="Q234" i="87"/>
  <c r="Q192" i="87"/>
  <c r="S192" i="87"/>
  <c r="Q193" i="87"/>
  <c r="S193" i="87"/>
  <c r="Q194" i="87"/>
  <c r="S194" i="87"/>
  <c r="Q195" i="87"/>
  <c r="S195" i="87"/>
  <c r="Q196" i="87"/>
  <c r="S196" i="87"/>
  <c r="Q197" i="87"/>
  <c r="S197" i="87"/>
  <c r="AC197" i="87" s="1"/>
  <c r="Q198" i="87"/>
  <c r="S198" i="87"/>
  <c r="AC198" i="87" s="1"/>
  <c r="Q199" i="87"/>
  <c r="S199" i="87"/>
  <c r="Q200" i="87"/>
  <c r="S200" i="87"/>
  <c r="Q201" i="87"/>
  <c r="S201" i="87"/>
  <c r="Q202" i="87"/>
  <c r="S202" i="87"/>
  <c r="Q203" i="87"/>
  <c r="S203" i="87"/>
  <c r="Q204" i="87"/>
  <c r="S204" i="87"/>
  <c r="Q205" i="87"/>
  <c r="S205" i="87"/>
  <c r="AC205" i="87" s="1"/>
  <c r="Q206" i="87"/>
  <c r="S206" i="87"/>
  <c r="Q207" i="87"/>
  <c r="S207" i="87"/>
  <c r="Q208" i="87"/>
  <c r="S208" i="87"/>
  <c r="Q209" i="87"/>
  <c r="S209" i="87"/>
  <c r="Q210" i="87"/>
  <c r="S210" i="87"/>
  <c r="AC210" i="87" s="1"/>
  <c r="Q211" i="87"/>
  <c r="S211" i="87"/>
  <c r="Q212" i="87"/>
  <c r="S212" i="87"/>
  <c r="Q213" i="87"/>
  <c r="S213" i="87"/>
  <c r="Q214" i="87"/>
  <c r="S214" i="87"/>
  <c r="AC214" i="87" s="1"/>
  <c r="Q215" i="87"/>
  <c r="S215" i="87"/>
  <c r="Q216" i="87"/>
  <c r="S216" i="87"/>
  <c r="Q217" i="87"/>
  <c r="S217" i="87"/>
  <c r="Q218" i="87"/>
  <c r="S218" i="87"/>
  <c r="Q219" i="87"/>
  <c r="S219" i="87"/>
  <c r="Q220" i="87"/>
  <c r="S220" i="87"/>
  <c r="Q221" i="87"/>
  <c r="S221" i="87"/>
  <c r="AC221" i="87" s="1"/>
  <c r="Q222" i="87"/>
  <c r="S222" i="87"/>
  <c r="AC222" i="87" s="1"/>
  <c r="Q223" i="87"/>
  <c r="S223" i="87"/>
  <c r="Q224" i="87"/>
  <c r="S224" i="87"/>
  <c r="Q225" i="87"/>
  <c r="S225" i="87"/>
  <c r="Q226" i="87"/>
  <c r="S226" i="87"/>
  <c r="Q227" i="87"/>
  <c r="S227" i="87"/>
  <c r="S191" i="87"/>
  <c r="Q191" i="87"/>
  <c r="Q187" i="87"/>
  <c r="S187" i="87"/>
  <c r="AC187" i="87" s="1"/>
  <c r="Q188" i="87"/>
  <c r="S188" i="87"/>
  <c r="AC188" i="87" s="1"/>
  <c r="S186" i="87"/>
  <c r="Q186" i="87"/>
  <c r="Q159" i="87"/>
  <c r="S159" i="87"/>
  <c r="Q160" i="87"/>
  <c r="S160" i="87"/>
  <c r="Q161" i="87"/>
  <c r="S161" i="87"/>
  <c r="AC161" i="87" s="1"/>
  <c r="Q162" i="87"/>
  <c r="S162" i="87"/>
  <c r="Q163" i="87"/>
  <c r="S163" i="87"/>
  <c r="Q164" i="87"/>
  <c r="S164" i="87"/>
  <c r="AC164" i="87" s="1"/>
  <c r="Q165" i="87"/>
  <c r="S165" i="87"/>
  <c r="AC165" i="87" s="1"/>
  <c r="Q166" i="87"/>
  <c r="S166" i="87"/>
  <c r="Q167" i="87"/>
  <c r="S167" i="87"/>
  <c r="Q168" i="87"/>
  <c r="S168" i="87"/>
  <c r="Q169" i="87"/>
  <c r="S169" i="87"/>
  <c r="AC169" i="87" s="1"/>
  <c r="Q170" i="87"/>
  <c r="S170" i="87"/>
  <c r="Q171" i="87"/>
  <c r="S171" i="87"/>
  <c r="Q172" i="87"/>
  <c r="S172" i="87"/>
  <c r="Q173" i="87"/>
  <c r="S173" i="87"/>
  <c r="AC173" i="87" s="1"/>
  <c r="Q174" i="87"/>
  <c r="S174" i="87"/>
  <c r="Q175" i="87"/>
  <c r="S175" i="87"/>
  <c r="Q176" i="87"/>
  <c r="S176" i="87"/>
  <c r="Q177" i="87"/>
  <c r="S177" i="87"/>
  <c r="Q178" i="87"/>
  <c r="S178" i="87"/>
  <c r="Q179" i="87"/>
  <c r="S179" i="87"/>
  <c r="Q180" i="87"/>
  <c r="S180" i="87"/>
  <c r="AC180" i="87" s="1"/>
  <c r="Q181" i="87"/>
  <c r="S181" i="87"/>
  <c r="AC181" i="87" s="1"/>
  <c r="S158" i="87"/>
  <c r="Q158" i="87"/>
  <c r="Q147" i="87"/>
  <c r="S147" i="87"/>
  <c r="Q148" i="87"/>
  <c r="S148" i="87"/>
  <c r="Q149" i="87"/>
  <c r="S149" i="87"/>
  <c r="AC149" i="87" s="1"/>
  <c r="Q150" i="87"/>
  <c r="S150" i="87"/>
  <c r="Q151" i="87"/>
  <c r="S151" i="87"/>
  <c r="Q152" i="87"/>
  <c r="S152" i="87"/>
  <c r="AC152" i="87" s="1"/>
  <c r="Q153" i="87"/>
  <c r="S153" i="87"/>
  <c r="AC153" i="87" s="1"/>
  <c r="Q154" i="87"/>
  <c r="S154" i="87"/>
  <c r="Q155" i="87"/>
  <c r="S155" i="87"/>
  <c r="S146" i="87"/>
  <c r="Q146" i="87"/>
  <c r="Q119" i="87"/>
  <c r="S119" i="87"/>
  <c r="AC119" i="87" s="1"/>
  <c r="Q120" i="87"/>
  <c r="S120" i="87"/>
  <c r="Q121" i="87"/>
  <c r="S121" i="87"/>
  <c r="Q122" i="87"/>
  <c r="S122" i="87"/>
  <c r="AC122" i="87" s="1"/>
  <c r="Q123" i="87"/>
  <c r="S123" i="87"/>
  <c r="AC123" i="87" s="1"/>
  <c r="Q124" i="87"/>
  <c r="S124" i="87"/>
  <c r="Q125" i="87"/>
  <c r="S125" i="87"/>
  <c r="Q126" i="87"/>
  <c r="S126" i="87"/>
  <c r="Q127" i="87"/>
  <c r="S127" i="87"/>
  <c r="Q128" i="87"/>
  <c r="S128" i="87"/>
  <c r="Q129" i="87"/>
  <c r="S129" i="87"/>
  <c r="Q130" i="87"/>
  <c r="S130" i="87"/>
  <c r="AC130" i="87" s="1"/>
  <c r="Q131" i="87"/>
  <c r="S131" i="87"/>
  <c r="Q132" i="87"/>
  <c r="S132" i="87"/>
  <c r="Q133" i="87"/>
  <c r="S133" i="87"/>
  <c r="Q134" i="87"/>
  <c r="S134" i="87"/>
  <c r="Q135" i="87"/>
  <c r="S135" i="87"/>
  <c r="Q136" i="87"/>
  <c r="S136" i="87"/>
  <c r="Q137" i="87"/>
  <c r="S137" i="87"/>
  <c r="Q138" i="87"/>
  <c r="S138" i="87"/>
  <c r="AC138" i="87" s="1"/>
  <c r="Q139" i="87"/>
  <c r="S139" i="87"/>
  <c r="Q140" i="87"/>
  <c r="S140" i="87"/>
  <c r="Q141" i="87"/>
  <c r="S141" i="87"/>
  <c r="S118" i="87"/>
  <c r="Q118" i="87"/>
  <c r="Q107" i="87"/>
  <c r="S107" i="87"/>
  <c r="AC107" i="87" s="1"/>
  <c r="Q108" i="87"/>
  <c r="S108" i="87"/>
  <c r="Q109" i="87"/>
  <c r="S109" i="87"/>
  <c r="Q110" i="87"/>
  <c r="S110" i="87"/>
  <c r="AC110" i="87" s="1"/>
  <c r="Q111" i="87"/>
  <c r="S111" i="87"/>
  <c r="AC111" i="87" s="1"/>
  <c r="Q112" i="87"/>
  <c r="S112" i="87"/>
  <c r="Q113" i="87"/>
  <c r="S113" i="87"/>
  <c r="Q114" i="87"/>
  <c r="S114" i="87"/>
  <c r="Q115" i="87"/>
  <c r="S115" i="87"/>
  <c r="S106" i="87"/>
  <c r="AC106" i="87" s="1"/>
  <c r="Q106" i="87"/>
  <c r="Q79" i="87"/>
  <c r="S79" i="87"/>
  <c r="Q80" i="87"/>
  <c r="S80" i="87"/>
  <c r="AC80" i="87" s="1"/>
  <c r="Q81" i="87"/>
  <c r="S81" i="87"/>
  <c r="AC81" i="87" s="1"/>
  <c r="Q82" i="87"/>
  <c r="S82" i="87"/>
  <c r="Q83" i="87"/>
  <c r="S83" i="87"/>
  <c r="Q84" i="87"/>
  <c r="S84" i="87"/>
  <c r="Q85" i="87"/>
  <c r="S85" i="87"/>
  <c r="AC85" i="87" s="1"/>
  <c r="Q86" i="87"/>
  <c r="S86" i="87"/>
  <c r="Q87" i="87"/>
  <c r="S87" i="87"/>
  <c r="Q88" i="87"/>
  <c r="S88" i="87"/>
  <c r="AC88" i="87" s="1"/>
  <c r="Q89" i="87"/>
  <c r="S89" i="87"/>
  <c r="AC89" i="87" s="1"/>
  <c r="Q90" i="87"/>
  <c r="S90" i="87"/>
  <c r="Q91" i="87"/>
  <c r="S91" i="87"/>
  <c r="Q92" i="87"/>
  <c r="S92" i="87"/>
  <c r="Q93" i="87"/>
  <c r="S93" i="87"/>
  <c r="AC93" i="87" s="1"/>
  <c r="Q94" i="87"/>
  <c r="S94" i="87"/>
  <c r="Q95" i="87"/>
  <c r="S95" i="87"/>
  <c r="Q96" i="87"/>
  <c r="S96" i="87"/>
  <c r="Q97" i="87"/>
  <c r="S97" i="87"/>
  <c r="Q98" i="87"/>
  <c r="S98" i="87"/>
  <c r="Q99" i="87"/>
  <c r="S99" i="87"/>
  <c r="Q100" i="87"/>
  <c r="S100" i="87"/>
  <c r="Q101" i="87"/>
  <c r="S101" i="87"/>
  <c r="S78" i="87"/>
  <c r="AC78" i="87" s="1"/>
  <c r="Q78" i="87"/>
  <c r="Q74" i="87"/>
  <c r="S74" i="87"/>
  <c r="Q75" i="87"/>
  <c r="S75" i="87"/>
  <c r="AC75" i="87" s="1"/>
  <c r="S73" i="87"/>
  <c r="AC73" i="87" s="1"/>
  <c r="Q73" i="87"/>
  <c r="Q47" i="87"/>
  <c r="S47" i="87"/>
  <c r="Q48" i="87"/>
  <c r="S48" i="87"/>
  <c r="Q49" i="87"/>
  <c r="S49" i="87"/>
  <c r="Q50" i="87"/>
  <c r="S50" i="87"/>
  <c r="AC50" i="87" s="1"/>
  <c r="Q51" i="87"/>
  <c r="S51" i="87"/>
  <c r="Q52" i="87"/>
  <c r="S52" i="87"/>
  <c r="Q53" i="87"/>
  <c r="S53" i="87"/>
  <c r="AC53" i="87" s="1"/>
  <c r="Q54" i="87"/>
  <c r="S54" i="87"/>
  <c r="AC54" i="87" s="1"/>
  <c r="Q55" i="87"/>
  <c r="S55" i="87"/>
  <c r="Q56" i="87"/>
  <c r="S56" i="87"/>
  <c r="Q57" i="87"/>
  <c r="S57" i="87"/>
  <c r="Q58" i="87"/>
  <c r="S58" i="87"/>
  <c r="AC58" i="87" s="1"/>
  <c r="Q59" i="87"/>
  <c r="S59" i="87"/>
  <c r="Q60" i="87"/>
  <c r="S60" i="87"/>
  <c r="Q61" i="87"/>
  <c r="S61" i="87"/>
  <c r="AC61" i="87" s="1"/>
  <c r="Q62" i="87"/>
  <c r="S62" i="87"/>
  <c r="AC62" i="87" s="1"/>
  <c r="Q63" i="87"/>
  <c r="S63" i="87"/>
  <c r="Q64" i="87"/>
  <c r="S64" i="87"/>
  <c r="Q65" i="87"/>
  <c r="S65" i="87"/>
  <c r="Q66" i="87"/>
  <c r="S66" i="87"/>
  <c r="Q67" i="87"/>
  <c r="S67" i="87"/>
  <c r="Q68" i="87"/>
  <c r="S68" i="87"/>
  <c r="S46" i="87"/>
  <c r="Q46" i="87"/>
  <c r="Q29" i="87"/>
  <c r="S29" i="87"/>
  <c r="Q30" i="87"/>
  <c r="S30" i="87"/>
  <c r="Q31" i="87"/>
  <c r="S31" i="87"/>
  <c r="Q32" i="87"/>
  <c r="S32" i="87"/>
  <c r="Q33" i="87"/>
  <c r="S33" i="87"/>
  <c r="AC33" i="87" s="1"/>
  <c r="Q34" i="87"/>
  <c r="S34" i="87"/>
  <c r="Q35" i="87"/>
  <c r="S35" i="87"/>
  <c r="Q36" i="87"/>
  <c r="S36" i="87"/>
  <c r="AC36" i="87" s="1"/>
  <c r="Q37" i="87"/>
  <c r="S37" i="87"/>
  <c r="Q38" i="87"/>
  <c r="S38" i="87"/>
  <c r="Q39" i="87"/>
  <c r="S39" i="87"/>
  <c r="Q40" i="87"/>
  <c r="S40" i="87"/>
  <c r="Q41" i="87"/>
  <c r="S41" i="87"/>
  <c r="AC41" i="87" s="1"/>
  <c r="Q42" i="87"/>
  <c r="S42" i="87"/>
  <c r="Q43" i="87"/>
  <c r="S43" i="87"/>
  <c r="Q7" i="87"/>
  <c r="S7" i="87"/>
  <c r="AC7" i="87" s="1"/>
  <c r="Q8" i="87"/>
  <c r="S8" i="87"/>
  <c r="AC8" i="87" s="1"/>
  <c r="Q9" i="87"/>
  <c r="S9" i="87"/>
  <c r="Q10" i="87"/>
  <c r="S10" i="87"/>
  <c r="Q11" i="87"/>
  <c r="S11" i="87"/>
  <c r="Q12" i="87"/>
  <c r="S12" i="87"/>
  <c r="AC12" i="87" s="1"/>
  <c r="Q13" i="87"/>
  <c r="S13" i="87"/>
  <c r="Q14" i="87"/>
  <c r="S14" i="87"/>
  <c r="Q15" i="87"/>
  <c r="S15" i="87"/>
  <c r="Q16" i="87"/>
  <c r="S16" i="87"/>
  <c r="Q17" i="87"/>
  <c r="S17" i="87"/>
  <c r="Q18" i="87"/>
  <c r="S18" i="87"/>
  <c r="Q19" i="87"/>
  <c r="S19" i="87"/>
  <c r="Q20" i="87"/>
  <c r="S20" i="87"/>
  <c r="AC20" i="87" s="1"/>
  <c r="Q21" i="87"/>
  <c r="S21" i="87"/>
  <c r="Q22" i="87"/>
  <c r="S22" i="87"/>
  <c r="Q23" i="87"/>
  <c r="S23" i="87"/>
  <c r="AC23" i="87" s="1"/>
  <c r="Q24" i="87"/>
  <c r="S24" i="87"/>
  <c r="AC24" i="87" s="1"/>
  <c r="Q25" i="87"/>
  <c r="S25" i="87"/>
  <c r="Q26" i="87"/>
  <c r="S26" i="87"/>
  <c r="Q27" i="87"/>
  <c r="S27" i="87"/>
  <c r="Q28" i="87"/>
  <c r="S28" i="87"/>
  <c r="AC28" i="87" s="1"/>
  <c r="S6" i="87"/>
  <c r="Q6" i="87"/>
  <c r="Q141" i="90"/>
  <c r="S141" i="90"/>
  <c r="Q142" i="90"/>
  <c r="S142" i="90"/>
  <c r="Q143" i="90"/>
  <c r="S143" i="90"/>
  <c r="Q135" i="90"/>
  <c r="S135" i="90"/>
  <c r="Q136" i="90"/>
  <c r="S136" i="90"/>
  <c r="Q137" i="90"/>
  <c r="S137" i="90"/>
  <c r="Q129" i="90"/>
  <c r="S129" i="90"/>
  <c r="S132" i="90" s="1"/>
  <c r="Q130" i="90"/>
  <c r="S130" i="90"/>
  <c r="Q131" i="90"/>
  <c r="S131" i="90"/>
  <c r="Q105" i="90"/>
  <c r="S105" i="90"/>
  <c r="Q106" i="90"/>
  <c r="S106" i="90"/>
  <c r="Q107" i="90"/>
  <c r="Q99" i="90"/>
  <c r="Q100" i="90"/>
  <c r="Q101" i="90"/>
  <c r="Q93" i="90"/>
  <c r="S93" i="90"/>
  <c r="Q94" i="90"/>
  <c r="S94" i="90"/>
  <c r="Q95" i="90"/>
  <c r="S95" i="90"/>
  <c r="S96" i="90" s="1"/>
  <c r="Q87" i="90"/>
  <c r="Q88" i="90"/>
  <c r="Q89" i="90"/>
  <c r="Q81" i="90"/>
  <c r="Q82" i="90"/>
  <c r="Q83" i="90"/>
  <c r="Q75" i="90"/>
  <c r="S75" i="90"/>
  <c r="Q76" i="90"/>
  <c r="S76" i="90"/>
  <c r="Q77" i="90"/>
  <c r="S77" i="90"/>
  <c r="Q69" i="90"/>
  <c r="Q70" i="90"/>
  <c r="Q71" i="90"/>
  <c r="Q63" i="90"/>
  <c r="S63" i="90"/>
  <c r="Q64" i="90"/>
  <c r="S64" i="90"/>
  <c r="Q65" i="90"/>
  <c r="S65" i="90"/>
  <c r="Q57" i="90"/>
  <c r="Q58" i="90"/>
  <c r="Q59" i="90"/>
  <c r="S140" i="90"/>
  <c r="Q140" i="90"/>
  <c r="S134" i="90"/>
  <c r="Q134" i="90"/>
  <c r="S128" i="90"/>
  <c r="Q128" i="90"/>
  <c r="S110" i="90"/>
  <c r="S114" i="90" s="1"/>
  <c r="Q104" i="90"/>
  <c r="Q98" i="90"/>
  <c r="S92" i="90"/>
  <c r="Q92" i="90"/>
  <c r="Q86" i="90"/>
  <c r="Q80" i="90"/>
  <c r="S74" i="90"/>
  <c r="Q74" i="90"/>
  <c r="Q68" i="90"/>
  <c r="S62" i="90"/>
  <c r="Q62" i="90"/>
  <c r="Q56" i="90"/>
  <c r="Q51" i="90"/>
  <c r="S51" i="90"/>
  <c r="Q52" i="90"/>
  <c r="S52" i="90"/>
  <c r="Q53" i="90"/>
  <c r="S53" i="90"/>
  <c r="S50" i="90"/>
  <c r="Q50" i="90"/>
  <c r="Q45" i="90"/>
  <c r="Q46" i="90"/>
  <c r="Q47" i="90"/>
  <c r="Q44" i="90"/>
  <c r="Q31" i="90"/>
  <c r="S31" i="90"/>
  <c r="Q32" i="90"/>
  <c r="S32" i="90"/>
  <c r="Q33" i="90"/>
  <c r="S33" i="90"/>
  <c r="Q34" i="90"/>
  <c r="S34" i="90"/>
  <c r="Q35" i="90"/>
  <c r="S35" i="90"/>
  <c r="S30" i="90"/>
  <c r="Q30" i="90"/>
  <c r="Q21" i="90"/>
  <c r="S21" i="90"/>
  <c r="Q22" i="90"/>
  <c r="S22" i="90"/>
  <c r="Q23" i="90"/>
  <c r="S23" i="90"/>
  <c r="Q24" i="90"/>
  <c r="S24" i="90"/>
  <c r="Q25" i="90"/>
  <c r="S25" i="90"/>
  <c r="Q26" i="90"/>
  <c r="S26" i="90"/>
  <c r="Q27" i="90"/>
  <c r="S27" i="90"/>
  <c r="S20" i="90"/>
  <c r="Q20" i="90"/>
  <c r="Q13" i="90"/>
  <c r="S13" i="90"/>
  <c r="Q14" i="90"/>
  <c r="S14" i="90"/>
  <c r="Q15" i="90"/>
  <c r="S15" i="90"/>
  <c r="Q16" i="90"/>
  <c r="S16" i="90"/>
  <c r="Q17" i="90"/>
  <c r="S17" i="90"/>
  <c r="S12" i="90"/>
  <c r="Q12" i="90"/>
  <c r="S8" i="90"/>
  <c r="S9" i="90"/>
  <c r="S7" i="90"/>
  <c r="S6" i="90"/>
  <c r="Q7" i="90"/>
  <c r="Q8" i="90"/>
  <c r="Q9" i="90"/>
  <c r="Q6" i="90"/>
  <c r="S994" i="89"/>
  <c r="S995" i="89"/>
  <c r="S996" i="89"/>
  <c r="S997" i="89"/>
  <c r="S998" i="89"/>
  <c r="S999" i="89"/>
  <c r="S1000" i="89"/>
  <c r="S1001" i="89"/>
  <c r="S1002" i="89"/>
  <c r="S1003" i="89"/>
  <c r="S1004" i="89"/>
  <c r="S1005" i="89"/>
  <c r="S1006" i="89"/>
  <c r="S1007" i="89"/>
  <c r="S1008" i="89"/>
  <c r="S1009" i="89"/>
  <c r="S1010" i="89"/>
  <c r="S1011" i="89"/>
  <c r="S1012" i="89"/>
  <c r="S1013" i="89"/>
  <c r="S1014" i="89"/>
  <c r="S1015" i="89"/>
  <c r="S1016" i="89"/>
  <c r="S1017" i="89"/>
  <c r="S1018" i="89"/>
  <c r="S1019" i="89"/>
  <c r="S1020" i="89"/>
  <c r="S1021" i="89"/>
  <c r="S1022" i="89"/>
  <c r="S1023" i="89"/>
  <c r="S993" i="89"/>
  <c r="S992" i="89"/>
  <c r="S955" i="89"/>
  <c r="S956" i="89"/>
  <c r="S957" i="89"/>
  <c r="S958" i="89"/>
  <c r="S959" i="89"/>
  <c r="S960" i="89"/>
  <c r="S961" i="89"/>
  <c r="S962" i="89"/>
  <c r="S963" i="89"/>
  <c r="S964" i="89"/>
  <c r="S965" i="89"/>
  <c r="S966" i="89"/>
  <c r="S967" i="89"/>
  <c r="S968" i="89"/>
  <c r="S969" i="89"/>
  <c r="S970" i="89"/>
  <c r="S971" i="89"/>
  <c r="S972" i="89"/>
  <c r="S973" i="89"/>
  <c r="S974" i="89"/>
  <c r="S975" i="89"/>
  <c r="S976" i="89"/>
  <c r="S977" i="89"/>
  <c r="S978" i="89"/>
  <c r="S979" i="89"/>
  <c r="S980" i="89"/>
  <c r="S981" i="89"/>
  <c r="S982" i="89"/>
  <c r="S983" i="89"/>
  <c r="S984" i="89"/>
  <c r="S985" i="89"/>
  <c r="S986" i="89"/>
  <c r="S987" i="89"/>
  <c r="S988" i="89"/>
  <c r="S989" i="89"/>
  <c r="S954" i="89"/>
  <c r="S926" i="89"/>
  <c r="S927" i="89"/>
  <c r="S928" i="89"/>
  <c r="S929" i="89"/>
  <c r="S930" i="89"/>
  <c r="S931" i="89"/>
  <c r="S932" i="89"/>
  <c r="S933" i="89"/>
  <c r="S934" i="89"/>
  <c r="S935" i="89"/>
  <c r="S936" i="89"/>
  <c r="S937" i="89"/>
  <c r="S938" i="89"/>
  <c r="S939" i="89"/>
  <c r="S940" i="89"/>
  <c r="S941" i="89"/>
  <c r="S942" i="89"/>
  <c r="S943" i="89"/>
  <c r="S944" i="89"/>
  <c r="S945" i="89"/>
  <c r="S946" i="89"/>
  <c r="S947" i="89"/>
  <c r="S948" i="89"/>
  <c r="S949" i="89"/>
  <c r="S950" i="89"/>
  <c r="S951" i="89"/>
  <c r="S925" i="89"/>
  <c r="S924" i="89"/>
  <c r="S888" i="89"/>
  <c r="S889" i="89"/>
  <c r="S890" i="89"/>
  <c r="S891" i="89"/>
  <c r="S892" i="89"/>
  <c r="S893" i="89"/>
  <c r="S894" i="89"/>
  <c r="S895" i="89"/>
  <c r="S896" i="89"/>
  <c r="S897" i="89"/>
  <c r="S898" i="89"/>
  <c r="S899" i="89"/>
  <c r="S900" i="89"/>
  <c r="S901" i="89"/>
  <c r="S902" i="89"/>
  <c r="S903" i="89"/>
  <c r="S904" i="89"/>
  <c r="S905" i="89"/>
  <c r="S906" i="89"/>
  <c r="S907" i="89"/>
  <c r="S908" i="89"/>
  <c r="S909" i="89"/>
  <c r="S910" i="89"/>
  <c r="S911" i="89"/>
  <c r="S912" i="89"/>
  <c r="S913" i="89"/>
  <c r="S914" i="89"/>
  <c r="S915" i="89"/>
  <c r="S916" i="89"/>
  <c r="S917" i="89"/>
  <c r="S918" i="89"/>
  <c r="S919" i="89"/>
  <c r="S920" i="89"/>
  <c r="S921" i="89"/>
  <c r="S887" i="89"/>
  <c r="S886" i="89"/>
  <c r="S860" i="89"/>
  <c r="S861" i="89"/>
  <c r="S862" i="89"/>
  <c r="S863" i="89"/>
  <c r="S864" i="89"/>
  <c r="S865" i="89"/>
  <c r="S866" i="89"/>
  <c r="S867" i="89"/>
  <c r="S868" i="89"/>
  <c r="S869" i="89"/>
  <c r="S870" i="89"/>
  <c r="S871" i="89"/>
  <c r="S872" i="89"/>
  <c r="S873" i="89"/>
  <c r="S874" i="89"/>
  <c r="S875" i="89"/>
  <c r="S876" i="89"/>
  <c r="S877" i="89"/>
  <c r="S878" i="89"/>
  <c r="S879" i="89"/>
  <c r="S880" i="89"/>
  <c r="S881" i="89"/>
  <c r="S882" i="89"/>
  <c r="S883" i="89"/>
  <c r="S859" i="89"/>
  <c r="S858" i="89"/>
  <c r="S819" i="89"/>
  <c r="S820" i="89"/>
  <c r="S821" i="89"/>
  <c r="S822" i="89"/>
  <c r="S823" i="89"/>
  <c r="S824" i="89"/>
  <c r="S825" i="89"/>
  <c r="S826" i="89"/>
  <c r="S827" i="89"/>
  <c r="S828" i="89"/>
  <c r="S829" i="89"/>
  <c r="S830" i="89"/>
  <c r="S831" i="89"/>
  <c r="S832" i="89"/>
  <c r="S833" i="89"/>
  <c r="S834" i="89"/>
  <c r="S835" i="89"/>
  <c r="S836" i="89"/>
  <c r="S837" i="89"/>
  <c r="S838" i="89"/>
  <c r="S839" i="89"/>
  <c r="S840" i="89"/>
  <c r="AC840" i="89" s="1"/>
  <c r="S841" i="89"/>
  <c r="AC841" i="89" s="1"/>
  <c r="S842" i="89"/>
  <c r="S843" i="89"/>
  <c r="S844" i="89"/>
  <c r="S845" i="89"/>
  <c r="S846" i="89"/>
  <c r="S847" i="89"/>
  <c r="S848" i="89"/>
  <c r="S849" i="89"/>
  <c r="S850" i="89"/>
  <c r="S851" i="89"/>
  <c r="S852" i="89"/>
  <c r="S853" i="89"/>
  <c r="S854" i="89"/>
  <c r="S855" i="89"/>
  <c r="S818" i="89"/>
  <c r="S817" i="89"/>
  <c r="S778" i="89"/>
  <c r="S779" i="89"/>
  <c r="S780" i="89"/>
  <c r="S781" i="89"/>
  <c r="S782" i="89"/>
  <c r="S783" i="89"/>
  <c r="S784" i="89"/>
  <c r="S785" i="89"/>
  <c r="S786" i="89"/>
  <c r="S787" i="89"/>
  <c r="S788" i="89"/>
  <c r="S789" i="89"/>
  <c r="S790" i="89"/>
  <c r="S791" i="89"/>
  <c r="S792" i="89"/>
  <c r="S793" i="89"/>
  <c r="S794" i="89"/>
  <c r="S795" i="89"/>
  <c r="S796" i="89"/>
  <c r="S797" i="89"/>
  <c r="S798" i="89"/>
  <c r="S799" i="89"/>
  <c r="S800" i="89"/>
  <c r="S801" i="89"/>
  <c r="S802" i="89"/>
  <c r="S803" i="89"/>
  <c r="S804" i="89"/>
  <c r="S805" i="89"/>
  <c r="S806" i="89"/>
  <c r="S807" i="89"/>
  <c r="S808" i="89"/>
  <c r="S809" i="89"/>
  <c r="S810" i="89"/>
  <c r="S811" i="89"/>
  <c r="S812" i="89"/>
  <c r="S813" i="89"/>
  <c r="S814" i="89"/>
  <c r="S777" i="89"/>
  <c r="S776" i="89"/>
  <c r="S723" i="89"/>
  <c r="S724" i="89"/>
  <c r="S725" i="89"/>
  <c r="S726" i="89"/>
  <c r="S727" i="89"/>
  <c r="S728" i="89"/>
  <c r="S729" i="89"/>
  <c r="S730" i="89"/>
  <c r="S731" i="89"/>
  <c r="S732" i="89"/>
  <c r="S733" i="89"/>
  <c r="S734" i="89"/>
  <c r="S735" i="89"/>
  <c r="S736" i="89"/>
  <c r="S737" i="89"/>
  <c r="S738" i="89"/>
  <c r="S739" i="89"/>
  <c r="S740" i="89"/>
  <c r="S741" i="89"/>
  <c r="S742" i="89"/>
  <c r="S743" i="89"/>
  <c r="S744" i="89"/>
  <c r="S745" i="89"/>
  <c r="S746" i="89"/>
  <c r="S747" i="89"/>
  <c r="S748" i="89"/>
  <c r="S749" i="89"/>
  <c r="S750" i="89"/>
  <c r="S751" i="89"/>
  <c r="S752" i="89"/>
  <c r="S753" i="89"/>
  <c r="S754" i="89"/>
  <c r="S755" i="89"/>
  <c r="S756" i="89"/>
  <c r="S757" i="89"/>
  <c r="S758" i="89"/>
  <c r="S759" i="89"/>
  <c r="S760" i="89"/>
  <c r="S761" i="89"/>
  <c r="S762" i="89"/>
  <c r="S763" i="89"/>
  <c r="S764" i="89"/>
  <c r="S765" i="89"/>
  <c r="S766" i="89"/>
  <c r="S767" i="89"/>
  <c r="S768" i="89"/>
  <c r="S769" i="89"/>
  <c r="S770" i="89"/>
  <c r="S771" i="89"/>
  <c r="S772" i="89"/>
  <c r="S773" i="89"/>
  <c r="S722" i="89"/>
  <c r="S721" i="89"/>
  <c r="S676" i="89"/>
  <c r="S677" i="89"/>
  <c r="S678" i="89"/>
  <c r="S679" i="89"/>
  <c r="S680" i="89"/>
  <c r="S681" i="89"/>
  <c r="S682" i="89"/>
  <c r="S683" i="89"/>
  <c r="S684" i="89"/>
  <c r="S685" i="89"/>
  <c r="S686" i="89"/>
  <c r="S687" i="89"/>
  <c r="S688" i="89"/>
  <c r="S689" i="89"/>
  <c r="S690" i="89"/>
  <c r="S691" i="89"/>
  <c r="S692" i="89"/>
  <c r="S693" i="89"/>
  <c r="S694" i="89"/>
  <c r="S695" i="89"/>
  <c r="S696" i="89"/>
  <c r="S697" i="89"/>
  <c r="S698" i="89"/>
  <c r="S699" i="89"/>
  <c r="S700" i="89"/>
  <c r="S701" i="89"/>
  <c r="S702" i="89"/>
  <c r="S703" i="89"/>
  <c r="S704" i="89"/>
  <c r="S705" i="89"/>
  <c r="S706" i="89"/>
  <c r="S707" i="89"/>
  <c r="S708" i="89"/>
  <c r="S709" i="89"/>
  <c r="S710" i="89"/>
  <c r="S711" i="89"/>
  <c r="S712" i="89"/>
  <c r="S713" i="89"/>
  <c r="S714" i="89"/>
  <c r="S715" i="89"/>
  <c r="S716" i="89"/>
  <c r="S717" i="89"/>
  <c r="S718" i="89"/>
  <c r="S675" i="89"/>
  <c r="S674" i="89"/>
  <c r="S627" i="89"/>
  <c r="S628" i="89"/>
  <c r="S629" i="89"/>
  <c r="S630" i="89"/>
  <c r="S631" i="89"/>
  <c r="S632" i="89"/>
  <c r="S633" i="89"/>
  <c r="S634" i="89"/>
  <c r="S635" i="89"/>
  <c r="S636" i="89"/>
  <c r="S637" i="89"/>
  <c r="S638" i="89"/>
  <c r="S639" i="89"/>
  <c r="S640" i="89"/>
  <c r="S641" i="89"/>
  <c r="S642" i="89"/>
  <c r="S643" i="89"/>
  <c r="S644" i="89"/>
  <c r="S645" i="89"/>
  <c r="S646" i="89"/>
  <c r="S647" i="89"/>
  <c r="S648" i="89"/>
  <c r="S649" i="89"/>
  <c r="S650" i="89"/>
  <c r="S651" i="89"/>
  <c r="S652" i="89"/>
  <c r="S653" i="89"/>
  <c r="S654" i="89"/>
  <c r="S655" i="89"/>
  <c r="S656" i="89"/>
  <c r="S657" i="89"/>
  <c r="S658" i="89"/>
  <c r="S659" i="89"/>
  <c r="S660" i="89"/>
  <c r="S661" i="89"/>
  <c r="S662" i="89"/>
  <c r="S663" i="89"/>
  <c r="S664" i="89"/>
  <c r="S665" i="89"/>
  <c r="S666" i="89"/>
  <c r="S667" i="89"/>
  <c r="S668" i="89"/>
  <c r="S669" i="89"/>
  <c r="S670" i="89"/>
  <c r="S671" i="89"/>
  <c r="S626" i="89"/>
  <c r="S581" i="89"/>
  <c r="S582" i="89"/>
  <c r="S583" i="89"/>
  <c r="S584" i="89"/>
  <c r="S585" i="89"/>
  <c r="S586" i="89"/>
  <c r="S587" i="89"/>
  <c r="S588" i="89"/>
  <c r="S589" i="89"/>
  <c r="S590" i="89"/>
  <c r="S591" i="89"/>
  <c r="S592" i="89"/>
  <c r="S593" i="89"/>
  <c r="S594" i="89"/>
  <c r="S595" i="89"/>
  <c r="S596" i="89"/>
  <c r="S597" i="89"/>
  <c r="S598" i="89"/>
  <c r="S599" i="89"/>
  <c r="S600" i="89"/>
  <c r="S601" i="89"/>
  <c r="S602" i="89"/>
  <c r="S603" i="89"/>
  <c r="S604" i="89"/>
  <c r="S605" i="89"/>
  <c r="S606" i="89"/>
  <c r="S607" i="89"/>
  <c r="S608" i="89"/>
  <c r="S609" i="89"/>
  <c r="S610" i="89"/>
  <c r="S611" i="89"/>
  <c r="S612" i="89"/>
  <c r="S613" i="89"/>
  <c r="S614" i="89"/>
  <c r="S615" i="89"/>
  <c r="S616" i="89"/>
  <c r="S617" i="89"/>
  <c r="S618" i="89"/>
  <c r="S619" i="89"/>
  <c r="S620" i="89"/>
  <c r="S621" i="89"/>
  <c r="S622" i="89"/>
  <c r="S623" i="89"/>
  <c r="S580" i="89"/>
  <c r="S579" i="89"/>
  <c r="S533" i="89"/>
  <c r="S534" i="89"/>
  <c r="S535" i="89"/>
  <c r="S536" i="89"/>
  <c r="S537" i="89"/>
  <c r="S538" i="89"/>
  <c r="S539" i="89"/>
  <c r="S540" i="89"/>
  <c r="S541" i="89"/>
  <c r="S542" i="89"/>
  <c r="S543" i="89"/>
  <c r="S544" i="89"/>
  <c r="S545" i="89"/>
  <c r="S546" i="89"/>
  <c r="S547" i="89"/>
  <c r="S548" i="89"/>
  <c r="S549" i="89"/>
  <c r="S550" i="89"/>
  <c r="S551" i="89"/>
  <c r="S552" i="89"/>
  <c r="S553" i="89"/>
  <c r="S554" i="89"/>
  <c r="S555" i="89"/>
  <c r="S556" i="89"/>
  <c r="S557" i="89"/>
  <c r="S558" i="89"/>
  <c r="S559" i="89"/>
  <c r="S560" i="89"/>
  <c r="S561" i="89"/>
  <c r="S562" i="89"/>
  <c r="S563" i="89"/>
  <c r="S564" i="89"/>
  <c r="S565" i="89"/>
  <c r="S566" i="89"/>
  <c r="S567" i="89"/>
  <c r="S568" i="89"/>
  <c r="S569" i="89"/>
  <c r="S570" i="89"/>
  <c r="S571" i="89"/>
  <c r="S572" i="89"/>
  <c r="S573" i="89"/>
  <c r="S574" i="89"/>
  <c r="S575" i="89"/>
  <c r="S576" i="89"/>
  <c r="S532" i="89"/>
  <c r="S531" i="89"/>
  <c r="S486" i="89"/>
  <c r="S487" i="89"/>
  <c r="S488" i="89"/>
  <c r="S489" i="89"/>
  <c r="S490" i="89"/>
  <c r="S491" i="89"/>
  <c r="S492" i="89"/>
  <c r="S493" i="89"/>
  <c r="S494" i="89"/>
  <c r="S495" i="89"/>
  <c r="S496" i="89"/>
  <c r="S497" i="89"/>
  <c r="S498" i="89"/>
  <c r="S499" i="89"/>
  <c r="S500" i="89"/>
  <c r="S501" i="89"/>
  <c r="S502" i="89"/>
  <c r="S503" i="89"/>
  <c r="S504" i="89"/>
  <c r="S505" i="89"/>
  <c r="S506" i="89"/>
  <c r="S507" i="89"/>
  <c r="S508" i="89"/>
  <c r="S509" i="89"/>
  <c r="S510" i="89"/>
  <c r="S511" i="89"/>
  <c r="S512" i="89"/>
  <c r="S513" i="89"/>
  <c r="S514" i="89"/>
  <c r="S515" i="89"/>
  <c r="S516" i="89"/>
  <c r="S517" i="89"/>
  <c r="S518" i="89"/>
  <c r="S519" i="89"/>
  <c r="S520" i="89"/>
  <c r="S521" i="89"/>
  <c r="S522" i="89"/>
  <c r="S523" i="89"/>
  <c r="S524" i="89"/>
  <c r="S525" i="89"/>
  <c r="S526" i="89"/>
  <c r="S527" i="89"/>
  <c r="S528" i="89"/>
  <c r="S485" i="89"/>
  <c r="S484" i="89"/>
  <c r="S450" i="89"/>
  <c r="S451" i="89"/>
  <c r="S452" i="89"/>
  <c r="S453" i="89"/>
  <c r="S454" i="89"/>
  <c r="S455" i="89"/>
  <c r="S456" i="89"/>
  <c r="S457" i="89"/>
  <c r="S458" i="89"/>
  <c r="S459" i="89"/>
  <c r="S460" i="89"/>
  <c r="S461" i="89"/>
  <c r="S462" i="89"/>
  <c r="S463" i="89"/>
  <c r="S464" i="89"/>
  <c r="S465" i="89"/>
  <c r="S466" i="89"/>
  <c r="S467" i="89"/>
  <c r="S468" i="89"/>
  <c r="S469" i="89"/>
  <c r="S470" i="89"/>
  <c r="S471" i="89"/>
  <c r="S472" i="89"/>
  <c r="S473" i="89"/>
  <c r="S474" i="89"/>
  <c r="S475" i="89"/>
  <c r="S476" i="89"/>
  <c r="S477" i="89"/>
  <c r="S478" i="89"/>
  <c r="S479" i="89"/>
  <c r="S480" i="89"/>
  <c r="S481" i="89"/>
  <c r="S449" i="89"/>
  <c r="S448" i="89"/>
  <c r="S417" i="89"/>
  <c r="S418" i="89"/>
  <c r="S419" i="89"/>
  <c r="S420" i="89"/>
  <c r="S421" i="89"/>
  <c r="S422" i="89"/>
  <c r="S423" i="89"/>
  <c r="S424" i="89"/>
  <c r="S425" i="89"/>
  <c r="S426" i="89"/>
  <c r="S427" i="89"/>
  <c r="S428" i="89"/>
  <c r="S429" i="89"/>
  <c r="S430" i="89"/>
  <c r="S431" i="89"/>
  <c r="S432" i="89"/>
  <c r="S433" i="89"/>
  <c r="S434" i="89"/>
  <c r="S435" i="89"/>
  <c r="S436" i="89"/>
  <c r="S437" i="89"/>
  <c r="S438" i="89"/>
  <c r="S439" i="89"/>
  <c r="S440" i="89"/>
  <c r="S441" i="89"/>
  <c r="S442" i="89"/>
  <c r="S443" i="89"/>
  <c r="S444" i="89"/>
  <c r="S445" i="89"/>
  <c r="S416" i="89"/>
  <c r="S415" i="89"/>
  <c r="S381" i="89"/>
  <c r="S382" i="89"/>
  <c r="S383" i="89"/>
  <c r="S384" i="89"/>
  <c r="S385" i="89"/>
  <c r="S386" i="89"/>
  <c r="S387" i="89"/>
  <c r="S388" i="89"/>
  <c r="S389" i="89"/>
  <c r="S390" i="89"/>
  <c r="S391" i="89"/>
  <c r="S392" i="89"/>
  <c r="S393" i="89"/>
  <c r="S394" i="89"/>
  <c r="S395" i="89"/>
  <c r="S396" i="89"/>
  <c r="S397" i="89"/>
  <c r="S398" i="89"/>
  <c r="S399" i="89"/>
  <c r="S400" i="89"/>
  <c r="S401" i="89"/>
  <c r="S402" i="89"/>
  <c r="S403" i="89"/>
  <c r="S404" i="89"/>
  <c r="S405" i="89"/>
  <c r="S406" i="89"/>
  <c r="S407" i="89"/>
  <c r="S408" i="89"/>
  <c r="S409" i="89"/>
  <c r="S410" i="89"/>
  <c r="S411" i="89"/>
  <c r="S412" i="89"/>
  <c r="S380" i="89"/>
  <c r="S379" i="89"/>
  <c r="S348" i="89"/>
  <c r="S349" i="89"/>
  <c r="S350" i="89"/>
  <c r="S351" i="89"/>
  <c r="S352" i="89"/>
  <c r="S353" i="89"/>
  <c r="S354" i="89"/>
  <c r="S355" i="89"/>
  <c r="S356" i="89"/>
  <c r="S357" i="89"/>
  <c r="S358" i="89"/>
  <c r="S359" i="89"/>
  <c r="S360" i="89"/>
  <c r="S361" i="89"/>
  <c r="S362" i="89"/>
  <c r="S363" i="89"/>
  <c r="S364" i="89"/>
  <c r="S365" i="89"/>
  <c r="S366" i="89"/>
  <c r="S367" i="89"/>
  <c r="S368" i="89"/>
  <c r="S369" i="89"/>
  <c r="S370" i="89"/>
  <c r="S371" i="89"/>
  <c r="S372" i="89"/>
  <c r="S373" i="89"/>
  <c r="S374" i="89"/>
  <c r="S375" i="89"/>
  <c r="S376" i="89"/>
  <c r="S347" i="89"/>
  <c r="S346" i="89"/>
  <c r="S312" i="89"/>
  <c r="S313" i="89"/>
  <c r="S314" i="89"/>
  <c r="S315" i="89"/>
  <c r="S316" i="89"/>
  <c r="S317" i="89"/>
  <c r="S318" i="89"/>
  <c r="S319" i="89"/>
  <c r="S320" i="89"/>
  <c r="S321" i="89"/>
  <c r="S322" i="89"/>
  <c r="S323" i="89"/>
  <c r="S324" i="89"/>
  <c r="S325" i="89"/>
  <c r="S326" i="89"/>
  <c r="S327" i="89"/>
  <c r="S328" i="89"/>
  <c r="S329" i="89"/>
  <c r="S330" i="89"/>
  <c r="S331" i="89"/>
  <c r="S332" i="89"/>
  <c r="S333" i="89"/>
  <c r="S334" i="89"/>
  <c r="S335" i="89"/>
  <c r="S336" i="89"/>
  <c r="S337" i="89"/>
  <c r="S338" i="89"/>
  <c r="S339" i="89"/>
  <c r="S340" i="89"/>
  <c r="S341" i="89"/>
  <c r="S342" i="89"/>
  <c r="S343" i="89"/>
  <c r="S311" i="89"/>
  <c r="S310" i="89"/>
  <c r="S279" i="89"/>
  <c r="S280" i="89"/>
  <c r="S281" i="89"/>
  <c r="S282" i="89"/>
  <c r="S283" i="89"/>
  <c r="S284" i="89"/>
  <c r="S285" i="89"/>
  <c r="S286" i="89"/>
  <c r="S287" i="89"/>
  <c r="S288" i="89"/>
  <c r="S289" i="89"/>
  <c r="S290" i="89"/>
  <c r="S291" i="89"/>
  <c r="S292" i="89"/>
  <c r="S293" i="89"/>
  <c r="S294" i="89"/>
  <c r="S295" i="89"/>
  <c r="S296" i="89"/>
  <c r="S297" i="89"/>
  <c r="S298" i="89"/>
  <c r="S299" i="89"/>
  <c r="S300" i="89"/>
  <c r="S301" i="89"/>
  <c r="S302" i="89"/>
  <c r="S303" i="89"/>
  <c r="S304" i="89"/>
  <c r="S305" i="89"/>
  <c r="S306" i="89"/>
  <c r="S307" i="89"/>
  <c r="S278" i="89"/>
  <c r="S277" i="89"/>
  <c r="S245" i="89"/>
  <c r="S246" i="89"/>
  <c r="S247" i="89"/>
  <c r="S248" i="89"/>
  <c r="S249" i="89"/>
  <c r="S250" i="89"/>
  <c r="S251" i="89"/>
  <c r="S252" i="89"/>
  <c r="S253" i="89"/>
  <c r="S254" i="89"/>
  <c r="S255" i="89"/>
  <c r="S256" i="89"/>
  <c r="S257" i="89"/>
  <c r="S258" i="89"/>
  <c r="S259" i="89"/>
  <c r="S260" i="89"/>
  <c r="S261" i="89"/>
  <c r="S262" i="89"/>
  <c r="S263" i="89"/>
  <c r="S264" i="89"/>
  <c r="S265" i="89"/>
  <c r="S266" i="89"/>
  <c r="S267" i="89"/>
  <c r="S268" i="89"/>
  <c r="S269" i="89"/>
  <c r="S270" i="89"/>
  <c r="S271" i="89"/>
  <c r="S272" i="89"/>
  <c r="S273" i="89"/>
  <c r="S274" i="89"/>
  <c r="S244" i="89"/>
  <c r="S243" i="89"/>
  <c r="S200" i="89"/>
  <c r="S201" i="89"/>
  <c r="S202" i="89"/>
  <c r="S203" i="89"/>
  <c r="S204" i="89"/>
  <c r="S205" i="89"/>
  <c r="S206" i="89"/>
  <c r="S207" i="89"/>
  <c r="S208" i="89"/>
  <c r="S209" i="89"/>
  <c r="S210" i="89"/>
  <c r="S211" i="89"/>
  <c r="S212" i="89"/>
  <c r="S213" i="89"/>
  <c r="S214" i="89"/>
  <c r="S215" i="89"/>
  <c r="S216" i="89"/>
  <c r="S217" i="89"/>
  <c r="S218" i="89"/>
  <c r="S219" i="89"/>
  <c r="S220" i="89"/>
  <c r="S221" i="89"/>
  <c r="S222" i="89"/>
  <c r="S223" i="89"/>
  <c r="S224" i="89"/>
  <c r="S225" i="89"/>
  <c r="S226" i="89"/>
  <c r="S227" i="89"/>
  <c r="S228" i="89"/>
  <c r="S229" i="89"/>
  <c r="S230" i="89"/>
  <c r="S231" i="89"/>
  <c r="S232" i="89"/>
  <c r="S233" i="89"/>
  <c r="S234" i="89"/>
  <c r="S235" i="89"/>
  <c r="S236" i="89"/>
  <c r="S237" i="89"/>
  <c r="S238" i="89"/>
  <c r="S239" i="89"/>
  <c r="S240" i="89"/>
  <c r="S199" i="89"/>
  <c r="S198" i="89"/>
  <c r="S153" i="89"/>
  <c r="S154" i="89"/>
  <c r="S155" i="89"/>
  <c r="S156" i="89"/>
  <c r="S157" i="89"/>
  <c r="S158" i="89"/>
  <c r="S159" i="89"/>
  <c r="S160" i="89"/>
  <c r="S161" i="89"/>
  <c r="S162" i="89"/>
  <c r="S163" i="89"/>
  <c r="S164" i="89"/>
  <c r="S165" i="89"/>
  <c r="S166" i="89"/>
  <c r="S167" i="89"/>
  <c r="S168" i="89"/>
  <c r="S169" i="89"/>
  <c r="S170" i="89"/>
  <c r="S171" i="89"/>
  <c r="S172" i="89"/>
  <c r="S173" i="89"/>
  <c r="S174" i="89"/>
  <c r="S175" i="89"/>
  <c r="S176" i="89"/>
  <c r="S177" i="89"/>
  <c r="S178" i="89"/>
  <c r="S179" i="89"/>
  <c r="S180" i="89"/>
  <c r="S181" i="89"/>
  <c r="S182" i="89"/>
  <c r="S183" i="89"/>
  <c r="S184" i="89"/>
  <c r="S185" i="89"/>
  <c r="S186" i="89"/>
  <c r="S187" i="89"/>
  <c r="S188" i="89"/>
  <c r="S189" i="89"/>
  <c r="S190" i="89"/>
  <c r="S191" i="89"/>
  <c r="S192" i="89"/>
  <c r="S193" i="89"/>
  <c r="S194" i="89"/>
  <c r="S195" i="89"/>
  <c r="S152" i="89"/>
  <c r="S151" i="89"/>
  <c r="S108" i="89"/>
  <c r="S109" i="89"/>
  <c r="S110" i="89"/>
  <c r="S111" i="89"/>
  <c r="S112" i="89"/>
  <c r="S113" i="89"/>
  <c r="S114" i="89"/>
  <c r="S115" i="89"/>
  <c r="S116" i="89"/>
  <c r="S117" i="89"/>
  <c r="S118" i="89"/>
  <c r="S119" i="89"/>
  <c r="S120" i="89"/>
  <c r="S121" i="89"/>
  <c r="S122" i="89"/>
  <c r="S123" i="89"/>
  <c r="S124" i="89"/>
  <c r="S125" i="89"/>
  <c r="S126" i="89"/>
  <c r="S127" i="89"/>
  <c r="S128" i="89"/>
  <c r="S129" i="89"/>
  <c r="S130" i="89"/>
  <c r="S131" i="89"/>
  <c r="S132" i="89"/>
  <c r="S133" i="89"/>
  <c r="S134" i="89"/>
  <c r="S135" i="89"/>
  <c r="S136" i="89"/>
  <c r="S137" i="89"/>
  <c r="S138" i="89"/>
  <c r="S139" i="89"/>
  <c r="S140" i="89"/>
  <c r="S141" i="89"/>
  <c r="S142" i="89"/>
  <c r="S143" i="89"/>
  <c r="S144" i="89"/>
  <c r="S145" i="89"/>
  <c r="S146" i="89"/>
  <c r="S147" i="89"/>
  <c r="S148" i="89"/>
  <c r="S107" i="89"/>
  <c r="S106" i="89"/>
  <c r="S60" i="89"/>
  <c r="S61" i="89"/>
  <c r="S62" i="89"/>
  <c r="S63" i="89"/>
  <c r="S64" i="89"/>
  <c r="S65" i="89"/>
  <c r="S66" i="89"/>
  <c r="S67" i="89"/>
  <c r="S68" i="89"/>
  <c r="S69" i="89"/>
  <c r="S70" i="89"/>
  <c r="S71" i="89"/>
  <c r="S72" i="89"/>
  <c r="S73" i="89"/>
  <c r="S74" i="89"/>
  <c r="S75" i="89"/>
  <c r="S76" i="89"/>
  <c r="S77" i="89"/>
  <c r="S78" i="89"/>
  <c r="S79" i="89"/>
  <c r="S80" i="89"/>
  <c r="S81" i="89"/>
  <c r="S82" i="89"/>
  <c r="S83" i="89"/>
  <c r="S84" i="89"/>
  <c r="S85" i="89"/>
  <c r="S86" i="89"/>
  <c r="S87" i="89"/>
  <c r="S88" i="89"/>
  <c r="S89" i="89"/>
  <c r="S90" i="89"/>
  <c r="S91" i="89"/>
  <c r="S92" i="89"/>
  <c r="S93" i="89"/>
  <c r="S94" i="89"/>
  <c r="S95" i="89"/>
  <c r="S96" i="89"/>
  <c r="S97" i="89"/>
  <c r="S98" i="89"/>
  <c r="S99" i="89"/>
  <c r="S100" i="89"/>
  <c r="S101" i="89"/>
  <c r="S102" i="89"/>
  <c r="S103" i="89"/>
  <c r="S59" i="89"/>
  <c r="S55" i="89"/>
  <c r="S8" i="89"/>
  <c r="S9" i="89"/>
  <c r="S10" i="89"/>
  <c r="S11" i="89"/>
  <c r="S12" i="89"/>
  <c r="S13" i="89"/>
  <c r="S14" i="89"/>
  <c r="S15" i="89"/>
  <c r="S16" i="89"/>
  <c r="S17" i="89"/>
  <c r="S18" i="89"/>
  <c r="S19" i="89"/>
  <c r="S20" i="89"/>
  <c r="S21" i="89"/>
  <c r="S22" i="89"/>
  <c r="S23" i="89"/>
  <c r="S24" i="89"/>
  <c r="S25" i="89"/>
  <c r="S26" i="89"/>
  <c r="S27" i="89"/>
  <c r="S28" i="89"/>
  <c r="S29" i="89"/>
  <c r="S30" i="89"/>
  <c r="S31" i="89"/>
  <c r="S32" i="89"/>
  <c r="S33" i="89"/>
  <c r="S34" i="89"/>
  <c r="S35" i="89"/>
  <c r="S36" i="89"/>
  <c r="S37" i="89"/>
  <c r="S38" i="89"/>
  <c r="S39" i="89"/>
  <c r="S40" i="89"/>
  <c r="S41" i="89"/>
  <c r="S42" i="89"/>
  <c r="S43" i="89"/>
  <c r="S44" i="89"/>
  <c r="S45" i="89"/>
  <c r="S46" i="89"/>
  <c r="S47" i="89"/>
  <c r="S48" i="89"/>
  <c r="S49" i="89"/>
  <c r="S50" i="89"/>
  <c r="S51" i="89"/>
  <c r="S52" i="89"/>
  <c r="S53" i="89"/>
  <c r="S54" i="89"/>
  <c r="S7" i="89"/>
  <c r="S6" i="89"/>
  <c r="S222" i="94"/>
  <c r="S223" i="94"/>
  <c r="S224" i="94"/>
  <c r="S225" i="94"/>
  <c r="S226" i="94"/>
  <c r="S227" i="94"/>
  <c r="S228" i="94"/>
  <c r="S229" i="94"/>
  <c r="S230" i="94"/>
  <c r="S231" i="94"/>
  <c r="S232" i="94"/>
  <c r="S233" i="94"/>
  <c r="S234" i="94"/>
  <c r="S235" i="94"/>
  <c r="S236" i="94"/>
  <c r="S237" i="94"/>
  <c r="S238" i="94"/>
  <c r="S239" i="94"/>
  <c r="S240" i="94"/>
  <c r="S241" i="94"/>
  <c r="S242" i="94"/>
  <c r="S243" i="94"/>
  <c r="S244" i="94"/>
  <c r="S245" i="94"/>
  <c r="S246" i="94"/>
  <c r="S247" i="94"/>
  <c r="S248" i="94"/>
  <c r="S249" i="94"/>
  <c r="S250" i="94"/>
  <c r="S251" i="94"/>
  <c r="S252" i="94"/>
  <c r="S253" i="94"/>
  <c r="S254" i="94"/>
  <c r="S255" i="94"/>
  <c r="S256" i="94"/>
  <c r="S257" i="94"/>
  <c r="S258" i="94"/>
  <c r="S259" i="94"/>
  <c r="S260" i="94"/>
  <c r="S261" i="94"/>
  <c r="S262" i="94"/>
  <c r="S263" i="94"/>
  <c r="S264" i="94"/>
  <c r="S265" i="94"/>
  <c r="S266" i="94"/>
  <c r="S267" i="94"/>
  <c r="S268" i="94"/>
  <c r="S269" i="94"/>
  <c r="S270" i="94"/>
  <c r="S271" i="94"/>
  <c r="S272" i="94"/>
  <c r="S221" i="94"/>
  <c r="S220" i="94"/>
  <c r="S141" i="94"/>
  <c r="S142" i="94"/>
  <c r="S143" i="94"/>
  <c r="S144" i="94"/>
  <c r="S145" i="94"/>
  <c r="S146" i="94"/>
  <c r="S147" i="94"/>
  <c r="S148" i="94"/>
  <c r="S149" i="94"/>
  <c r="S150" i="94"/>
  <c r="S151" i="94"/>
  <c r="S152" i="94"/>
  <c r="S153" i="94"/>
  <c r="S154" i="94"/>
  <c r="S155" i="94"/>
  <c r="S156" i="94"/>
  <c r="S157" i="94"/>
  <c r="S158" i="94"/>
  <c r="S159" i="94"/>
  <c r="S160" i="94"/>
  <c r="S161" i="94"/>
  <c r="S162" i="94"/>
  <c r="S163" i="94"/>
  <c r="S164" i="94"/>
  <c r="S165" i="94"/>
  <c r="S166" i="94"/>
  <c r="S167" i="94"/>
  <c r="S168" i="94"/>
  <c r="S169" i="94"/>
  <c r="S170" i="94"/>
  <c r="S171" i="94"/>
  <c r="S172" i="94"/>
  <c r="S173" i="94"/>
  <c r="S174" i="94"/>
  <c r="S175" i="94"/>
  <c r="S176" i="94"/>
  <c r="S177" i="94"/>
  <c r="S178" i="94"/>
  <c r="S179" i="94"/>
  <c r="S180" i="94"/>
  <c r="S181" i="94"/>
  <c r="S182" i="94"/>
  <c r="S183" i="94"/>
  <c r="S184" i="94"/>
  <c r="S185" i="94"/>
  <c r="S186" i="94"/>
  <c r="S187" i="94"/>
  <c r="S188" i="94"/>
  <c r="S189" i="94"/>
  <c r="S190" i="94"/>
  <c r="S191" i="94"/>
  <c r="S192" i="94"/>
  <c r="S193" i="94"/>
  <c r="S194" i="94"/>
  <c r="S195" i="94"/>
  <c r="S196" i="94"/>
  <c r="S197" i="94"/>
  <c r="S198" i="94"/>
  <c r="S199" i="94"/>
  <c r="S200" i="94"/>
  <c r="S201" i="94"/>
  <c r="S202" i="94"/>
  <c r="S203" i="94"/>
  <c r="S204" i="94"/>
  <c r="S205" i="94"/>
  <c r="S206" i="94"/>
  <c r="S207" i="94"/>
  <c r="S208" i="94"/>
  <c r="S209" i="94"/>
  <c r="S210" i="94"/>
  <c r="S211" i="94"/>
  <c r="S212" i="94"/>
  <c r="S213" i="94"/>
  <c r="S214" i="94"/>
  <c r="S215" i="94"/>
  <c r="S216" i="94"/>
  <c r="S217" i="94"/>
  <c r="S140" i="94"/>
  <c r="S139" i="94"/>
  <c r="S82" i="94"/>
  <c r="S83" i="94"/>
  <c r="S84" i="94"/>
  <c r="S85" i="94"/>
  <c r="S86" i="94"/>
  <c r="S87" i="94"/>
  <c r="S88" i="94"/>
  <c r="S89" i="94"/>
  <c r="S90" i="94"/>
  <c r="S91" i="94"/>
  <c r="S92" i="94"/>
  <c r="S93" i="94"/>
  <c r="S94" i="94"/>
  <c r="S95" i="94"/>
  <c r="S96" i="94"/>
  <c r="S97" i="94"/>
  <c r="S98" i="94"/>
  <c r="S99" i="94"/>
  <c r="S100" i="94"/>
  <c r="S101" i="94"/>
  <c r="S102" i="94"/>
  <c r="S103" i="94"/>
  <c r="S104" i="94"/>
  <c r="S105" i="94"/>
  <c r="S106" i="94"/>
  <c r="S107" i="94"/>
  <c r="S108" i="94"/>
  <c r="S109" i="94"/>
  <c r="S110" i="94"/>
  <c r="S111" i="94"/>
  <c r="S112" i="94"/>
  <c r="S113" i="94"/>
  <c r="S114" i="94"/>
  <c r="S115" i="94"/>
  <c r="S116" i="94"/>
  <c r="S117" i="94"/>
  <c r="S118" i="94"/>
  <c r="S119" i="94"/>
  <c r="S120" i="94"/>
  <c r="S121" i="94"/>
  <c r="S122" i="94"/>
  <c r="S123" i="94"/>
  <c r="S124" i="94"/>
  <c r="S125" i="94"/>
  <c r="S126" i="94"/>
  <c r="S127" i="94"/>
  <c r="S128" i="94"/>
  <c r="S129" i="94"/>
  <c r="S130" i="94"/>
  <c r="S131" i="94"/>
  <c r="S132" i="94"/>
  <c r="S133" i="94"/>
  <c r="S134" i="94"/>
  <c r="S135" i="94"/>
  <c r="S136" i="94"/>
  <c r="S81" i="94"/>
  <c r="S80" i="94"/>
  <c r="S64" i="94"/>
  <c r="S65" i="94"/>
  <c r="S66" i="94"/>
  <c r="S67" i="94"/>
  <c r="S68" i="94"/>
  <c r="S69" i="94"/>
  <c r="S70" i="94"/>
  <c r="S71" i="94"/>
  <c r="S72" i="94"/>
  <c r="S73" i="94"/>
  <c r="S74" i="94"/>
  <c r="S75" i="94"/>
  <c r="S76" i="94"/>
  <c r="S77" i="94"/>
  <c r="S8" i="94"/>
  <c r="S9" i="94"/>
  <c r="S10" i="94"/>
  <c r="S11" i="94"/>
  <c r="S12" i="94"/>
  <c r="S13" i="94"/>
  <c r="S14" i="94"/>
  <c r="S15" i="94"/>
  <c r="S16" i="94"/>
  <c r="S17" i="94"/>
  <c r="S18" i="94"/>
  <c r="S19" i="94"/>
  <c r="S20" i="94"/>
  <c r="S21" i="94"/>
  <c r="S22" i="94"/>
  <c r="S23" i="94"/>
  <c r="S24" i="94"/>
  <c r="S25" i="94"/>
  <c r="S26" i="94"/>
  <c r="S27" i="94"/>
  <c r="S28" i="94"/>
  <c r="S29" i="94"/>
  <c r="S30" i="94"/>
  <c r="S31" i="94"/>
  <c r="S32" i="94"/>
  <c r="S33" i="94"/>
  <c r="S34" i="94"/>
  <c r="S35" i="94"/>
  <c r="S36" i="94"/>
  <c r="S37" i="94"/>
  <c r="S38" i="94"/>
  <c r="S39" i="94"/>
  <c r="S40" i="94"/>
  <c r="S41" i="94"/>
  <c r="S42" i="94"/>
  <c r="S43" i="94"/>
  <c r="S44" i="94"/>
  <c r="S45" i="94"/>
  <c r="S46" i="94"/>
  <c r="S47" i="94"/>
  <c r="S48" i="94"/>
  <c r="S49" i="94"/>
  <c r="S50" i="94"/>
  <c r="S51" i="94"/>
  <c r="S52" i="94"/>
  <c r="S53" i="94"/>
  <c r="S54" i="94"/>
  <c r="S55" i="94"/>
  <c r="S56" i="94"/>
  <c r="S57" i="94"/>
  <c r="S58" i="94"/>
  <c r="S59" i="94"/>
  <c r="S60" i="94"/>
  <c r="S61" i="94"/>
  <c r="S62" i="94"/>
  <c r="S63" i="94"/>
  <c r="S7" i="94"/>
  <c r="S6" i="94"/>
  <c r="I31" i="120"/>
  <c r="H22" i="120"/>
  <c r="I22" i="120" s="1"/>
  <c r="F22" i="120"/>
  <c r="E22" i="120"/>
  <c r="H21" i="120"/>
  <c r="F21" i="120"/>
  <c r="I21" i="120" s="1"/>
  <c r="H20" i="120"/>
  <c r="E20" i="120"/>
  <c r="F20" i="120" s="1"/>
  <c r="I20" i="120" s="1"/>
  <c r="H18" i="120"/>
  <c r="F18" i="120"/>
  <c r="I18" i="120" s="1"/>
  <c r="E18" i="120"/>
  <c r="H17" i="120"/>
  <c r="F17" i="120"/>
  <c r="I17" i="120" s="1"/>
  <c r="I16" i="120"/>
  <c r="H16" i="120"/>
  <c r="F16" i="120"/>
  <c r="H15" i="120"/>
  <c r="I15" i="120" s="1"/>
  <c r="F15" i="120"/>
  <c r="H14" i="120"/>
  <c r="F14" i="120"/>
  <c r="H12" i="120"/>
  <c r="I12" i="120" s="1"/>
  <c r="F12" i="120"/>
  <c r="E12" i="120"/>
  <c r="H11" i="120"/>
  <c r="F11" i="120"/>
  <c r="K10" i="120"/>
  <c r="H10" i="120"/>
  <c r="F10" i="120"/>
  <c r="I10" i="120" s="1"/>
  <c r="E10" i="120"/>
  <c r="D21" i="119"/>
  <c r="F21" i="119" s="1"/>
  <c r="D8" i="119"/>
  <c r="F8" i="119" s="1"/>
  <c r="K9" i="118"/>
  <c r="F10" i="118"/>
  <c r="I10" i="118"/>
  <c r="F9" i="118"/>
  <c r="I9" i="118" s="1"/>
  <c r="H11" i="118" s="1"/>
  <c r="K12" i="117"/>
  <c r="K13" i="117"/>
  <c r="K14" i="117"/>
  <c r="K15" i="117"/>
  <c r="K11" i="117"/>
  <c r="K8" i="117"/>
  <c r="I15" i="117"/>
  <c r="I14" i="117"/>
  <c r="I13" i="117"/>
  <c r="I12" i="117"/>
  <c r="I11" i="117"/>
  <c r="I8" i="117"/>
  <c r="H8" i="116"/>
  <c r="H12" i="116" s="1"/>
  <c r="D8" i="116"/>
  <c r="Q841" i="89"/>
  <c r="Q840" i="89"/>
  <c r="Q802" i="89"/>
  <c r="Q801" i="89"/>
  <c r="Q800" i="89"/>
  <c r="Q799" i="89"/>
  <c r="Q977" i="89"/>
  <c r="Q976" i="89"/>
  <c r="Q975" i="89"/>
  <c r="Q974" i="89"/>
  <c r="Q973" i="89"/>
  <c r="Q972" i="89"/>
  <c r="Q118" i="94"/>
  <c r="U39" i="81"/>
  <c r="U38" i="81"/>
  <c r="Q117" i="94"/>
  <c r="Q116" i="94"/>
  <c r="M31" i="115"/>
  <c r="M42" i="115"/>
  <c r="I42" i="115"/>
  <c r="I31" i="115"/>
  <c r="F29" i="115"/>
  <c r="K29" i="115" s="1"/>
  <c r="M29" i="115" s="1"/>
  <c r="E28" i="115"/>
  <c r="F28" i="115" s="1"/>
  <c r="K28" i="115" s="1"/>
  <c r="M28" i="115" s="1"/>
  <c r="F26" i="115"/>
  <c r="K26" i="115"/>
  <c r="M26" i="115" s="1"/>
  <c r="F25" i="115"/>
  <c r="K25" i="115"/>
  <c r="M25" i="115"/>
  <c r="E24" i="115"/>
  <c r="F24" i="115" s="1"/>
  <c r="K24" i="115" s="1"/>
  <c r="M24" i="115" s="1"/>
  <c r="F23" i="115"/>
  <c r="K23" i="115"/>
  <c r="M23" i="115"/>
  <c r="F21" i="115"/>
  <c r="K21" i="115"/>
  <c r="M21" i="115" s="1"/>
  <c r="F20" i="115"/>
  <c r="K20" i="115"/>
  <c r="M20" i="115" s="1"/>
  <c r="E19" i="115"/>
  <c r="F19" i="115"/>
  <c r="K19" i="115"/>
  <c r="M19" i="115" s="1"/>
  <c r="F15" i="115"/>
  <c r="I15" i="115" s="1"/>
  <c r="F12" i="115"/>
  <c r="I12" i="115" s="1"/>
  <c r="F9" i="115"/>
  <c r="K9" i="115"/>
  <c r="M9" i="115" s="1"/>
  <c r="D8" i="115"/>
  <c r="F8" i="115" s="1"/>
  <c r="K8" i="115" s="1"/>
  <c r="M8" i="115" s="1"/>
  <c r="U35" i="81"/>
  <c r="U37" i="81"/>
  <c r="U21" i="81"/>
  <c r="Q115" i="94"/>
  <c r="Q114" i="94"/>
  <c r="U34" i="81"/>
  <c r="U33" i="81"/>
  <c r="U14" i="81"/>
  <c r="U30" i="81"/>
  <c r="U23" i="81"/>
  <c r="U32" i="81"/>
  <c r="U29" i="81"/>
  <c r="U28" i="81"/>
  <c r="U27" i="81"/>
  <c r="U26" i="81"/>
  <c r="U22" i="81"/>
  <c r="U15" i="81"/>
  <c r="U12" i="81"/>
  <c r="Q21" i="94"/>
  <c r="Q20" i="94"/>
  <c r="Q19" i="94"/>
  <c r="U16" i="81"/>
  <c r="U8" i="81"/>
  <c r="U9" i="81"/>
  <c r="U10" i="81"/>
  <c r="U11" i="81"/>
  <c r="P67" i="114"/>
  <c r="P63" i="114"/>
  <c r="P41" i="114"/>
  <c r="I71" i="114"/>
  <c r="O61" i="114"/>
  <c r="I61" i="114"/>
  <c r="O60" i="114"/>
  <c r="I60" i="114"/>
  <c r="O59" i="114"/>
  <c r="I59" i="114"/>
  <c r="O58" i="114"/>
  <c r="I58" i="114"/>
  <c r="O57" i="114"/>
  <c r="I57" i="114"/>
  <c r="O56" i="114"/>
  <c r="I56" i="114"/>
  <c r="O55" i="114"/>
  <c r="I55" i="114"/>
  <c r="O54" i="114"/>
  <c r="I54" i="114"/>
  <c r="O53" i="114"/>
  <c r="I53" i="114"/>
  <c r="O52" i="114"/>
  <c r="I52" i="114"/>
  <c r="O51" i="114"/>
  <c r="I51" i="114"/>
  <c r="O50" i="114"/>
  <c r="I50" i="114"/>
  <c r="O49" i="114"/>
  <c r="I49" i="114"/>
  <c r="O48" i="114"/>
  <c r="I48" i="114"/>
  <c r="O47" i="114"/>
  <c r="I47" i="114"/>
  <c r="O46" i="114"/>
  <c r="I46" i="114"/>
  <c r="O45" i="114"/>
  <c r="I45" i="114"/>
  <c r="O44" i="114"/>
  <c r="I44" i="114"/>
  <c r="O43" i="114"/>
  <c r="I43" i="114"/>
  <c r="O39" i="114"/>
  <c r="I39" i="114"/>
  <c r="O38" i="114"/>
  <c r="I38" i="114"/>
  <c r="O37" i="114"/>
  <c r="I37" i="114"/>
  <c r="O36" i="114"/>
  <c r="I36" i="114"/>
  <c r="O35" i="114"/>
  <c r="I35" i="114"/>
  <c r="O34" i="114"/>
  <c r="I34" i="114"/>
  <c r="O33" i="114"/>
  <c r="I33" i="114"/>
  <c r="O32" i="114"/>
  <c r="I32" i="114"/>
  <c r="O31" i="114"/>
  <c r="I31" i="114"/>
  <c r="O30" i="114"/>
  <c r="I30" i="114"/>
  <c r="O29" i="114"/>
  <c r="I29" i="114"/>
  <c r="O28" i="114"/>
  <c r="I28" i="114"/>
  <c r="O27" i="114"/>
  <c r="I27" i="114"/>
  <c r="O26" i="114"/>
  <c r="I26" i="114"/>
  <c r="O25" i="114"/>
  <c r="I25" i="114"/>
  <c r="O24" i="114"/>
  <c r="I24" i="114"/>
  <c r="O23" i="114"/>
  <c r="I23" i="114"/>
  <c r="O22" i="114"/>
  <c r="I22" i="114"/>
  <c r="O21" i="114"/>
  <c r="I21" i="114"/>
  <c r="O20" i="114"/>
  <c r="I20" i="114"/>
  <c r="O19" i="114"/>
  <c r="I19" i="114"/>
  <c r="O18" i="114"/>
  <c r="I18" i="114"/>
  <c r="O17" i="114"/>
  <c r="I17" i="114"/>
  <c r="O16" i="114"/>
  <c r="I16" i="114"/>
  <c r="O15" i="114"/>
  <c r="I15" i="114"/>
  <c r="O14" i="114"/>
  <c r="I14" i="114"/>
  <c r="O13" i="114"/>
  <c r="I13" i="114"/>
  <c r="O12" i="114"/>
  <c r="I12" i="114"/>
  <c r="O11" i="114"/>
  <c r="I11" i="114"/>
  <c r="O10" i="114"/>
  <c r="I10" i="114"/>
  <c r="O9" i="114"/>
  <c r="I9" i="114"/>
  <c r="L1" i="75"/>
  <c r="M2" i="75"/>
  <c r="L2" i="75"/>
  <c r="U7" i="81"/>
  <c r="H742" i="89"/>
  <c r="K742" i="89" s="1"/>
  <c r="H1032" i="89"/>
  <c r="R13" i="75" s="1"/>
  <c r="J742" i="89"/>
  <c r="Q742" i="89"/>
  <c r="O2" i="111"/>
  <c r="A2" i="110"/>
  <c r="F223" i="84"/>
  <c r="T16" i="75"/>
  <c r="F9" i="84"/>
  <c r="T15" i="75" s="1"/>
  <c r="N1032" i="89"/>
  <c r="I1032" i="89"/>
  <c r="N1031" i="89"/>
  <c r="J1031" i="89"/>
  <c r="I1031" i="89"/>
  <c r="H1031" i="89"/>
  <c r="T12" i="75"/>
  <c r="N281" i="94"/>
  <c r="I281" i="94"/>
  <c r="N280" i="94"/>
  <c r="I280" i="94"/>
  <c r="H281" i="94"/>
  <c r="H280" i="94"/>
  <c r="T11" i="75"/>
  <c r="N975" i="87"/>
  <c r="I975" i="87"/>
  <c r="H975" i="87"/>
  <c r="S948" i="87"/>
  <c r="S947" i="87"/>
  <c r="S946" i="87"/>
  <c r="S945" i="87"/>
  <c r="S944" i="87"/>
  <c r="AC944" i="87" s="1"/>
  <c r="S894" i="87"/>
  <c r="AC894" i="87" s="1"/>
  <c r="S893" i="87"/>
  <c r="S892" i="87"/>
  <c r="S891" i="87"/>
  <c r="S890" i="87"/>
  <c r="S889" i="87"/>
  <c r="S721" i="87"/>
  <c r="S720" i="87"/>
  <c r="S719" i="87"/>
  <c r="S718" i="87"/>
  <c r="S708" i="87"/>
  <c r="S707" i="87"/>
  <c r="S706" i="87"/>
  <c r="S705" i="87"/>
  <c r="S704" i="87"/>
  <c r="S703" i="87"/>
  <c r="S507" i="87"/>
  <c r="S471" i="87"/>
  <c r="S470" i="87"/>
  <c r="S469" i="87"/>
  <c r="S468" i="87"/>
  <c r="S467" i="87"/>
  <c r="S466" i="87"/>
  <c r="S424" i="87"/>
  <c r="S233" i="87"/>
  <c r="S232" i="87"/>
  <c r="S231" i="87"/>
  <c r="S230" i="87"/>
  <c r="S229" i="87"/>
  <c r="S228" i="87"/>
  <c r="N119" i="88"/>
  <c r="R119" i="88"/>
  <c r="Q119" i="88" s="1"/>
  <c r="O119" i="88"/>
  <c r="K119" i="88"/>
  <c r="J119" i="88"/>
  <c r="I119" i="88"/>
  <c r="H119" i="88"/>
  <c r="N162" i="90"/>
  <c r="J162" i="90"/>
  <c r="I162" i="90"/>
  <c r="H162" i="90"/>
  <c r="R14" i="75" s="1"/>
  <c r="R18" i="75"/>
  <c r="P3" i="111"/>
  <c r="P2" i="111"/>
  <c r="G81" i="111"/>
  <c r="N81" i="111"/>
  <c r="P81" i="111" s="1"/>
  <c r="P80" i="111" s="1"/>
  <c r="J80" i="111"/>
  <c r="I80" i="111"/>
  <c r="H80" i="111"/>
  <c r="G78" i="111"/>
  <c r="N78" i="111"/>
  <c r="P78" i="111"/>
  <c r="G77" i="111"/>
  <c r="G76" i="111"/>
  <c r="N76" i="111" s="1"/>
  <c r="P76" i="111" s="1"/>
  <c r="G75" i="111"/>
  <c r="N75" i="111" s="1"/>
  <c r="J74" i="111"/>
  <c r="I74" i="111"/>
  <c r="H74" i="111"/>
  <c r="J72" i="111"/>
  <c r="G72" i="111"/>
  <c r="N72" i="111" s="1"/>
  <c r="G71" i="111"/>
  <c r="N71" i="111" s="1"/>
  <c r="P71" i="111" s="1"/>
  <c r="G70" i="111"/>
  <c r="N70" i="111" s="1"/>
  <c r="P70" i="111" s="1"/>
  <c r="J69" i="111"/>
  <c r="N69" i="111" s="1"/>
  <c r="G69" i="111"/>
  <c r="G68" i="111"/>
  <c r="N68" i="111" s="1"/>
  <c r="P68" i="111"/>
  <c r="G67" i="111"/>
  <c r="N67" i="111" s="1"/>
  <c r="P67" i="111" s="1"/>
  <c r="G66" i="111"/>
  <c r="N66" i="111" s="1"/>
  <c r="P66" i="111"/>
  <c r="G65" i="111"/>
  <c r="N65" i="111" s="1"/>
  <c r="P65" i="111"/>
  <c r="G64" i="111"/>
  <c r="N64" i="111" s="1"/>
  <c r="P64" i="111" s="1"/>
  <c r="G63" i="111"/>
  <c r="N63" i="111"/>
  <c r="P63" i="111" s="1"/>
  <c r="G62" i="111"/>
  <c r="N62" i="111" s="1"/>
  <c r="P62" i="111" s="1"/>
  <c r="G61" i="111"/>
  <c r="N61" i="111"/>
  <c r="P61" i="111" s="1"/>
  <c r="J60" i="111"/>
  <c r="J55" i="111" s="1"/>
  <c r="J84" i="111" s="1"/>
  <c r="J86" i="111" s="1"/>
  <c r="G60" i="111"/>
  <c r="G59" i="111"/>
  <c r="N59" i="111" s="1"/>
  <c r="P59" i="111" s="1"/>
  <c r="J58" i="111"/>
  <c r="G58" i="111"/>
  <c r="N58" i="111"/>
  <c r="G57" i="111"/>
  <c r="N57" i="111"/>
  <c r="G56" i="111"/>
  <c r="I55" i="111"/>
  <c r="H55" i="111"/>
  <c r="G53" i="111"/>
  <c r="G52" i="111"/>
  <c r="G51" i="111"/>
  <c r="G50" i="111"/>
  <c r="G47" i="111"/>
  <c r="G46" i="111" s="1"/>
  <c r="J46" i="111"/>
  <c r="I46" i="111"/>
  <c r="H46" i="111"/>
  <c r="G44" i="111"/>
  <c r="N44" i="111"/>
  <c r="J43" i="111"/>
  <c r="I43" i="111"/>
  <c r="H43" i="111"/>
  <c r="I39" i="111"/>
  <c r="N39" i="111" s="1"/>
  <c r="G39" i="111"/>
  <c r="J37" i="111"/>
  <c r="J35" i="111" s="1"/>
  <c r="G37" i="111"/>
  <c r="N37" i="111"/>
  <c r="G36" i="111"/>
  <c r="H35" i="111"/>
  <c r="G32" i="111"/>
  <c r="J30" i="111"/>
  <c r="I30" i="111"/>
  <c r="G30" i="111"/>
  <c r="G8" i="111" s="1"/>
  <c r="J26" i="111"/>
  <c r="I26" i="111"/>
  <c r="G26" i="111"/>
  <c r="J24" i="111"/>
  <c r="N24" i="111" s="1"/>
  <c r="I24" i="111"/>
  <c r="G24" i="111"/>
  <c r="J20" i="111"/>
  <c r="I20" i="111"/>
  <c r="G20" i="111"/>
  <c r="I16" i="111"/>
  <c r="G16" i="111"/>
  <c r="N16" i="111"/>
  <c r="J12" i="111"/>
  <c r="J8" i="111"/>
  <c r="I12" i="111"/>
  <c r="N12" i="111" s="1"/>
  <c r="G12" i="111"/>
  <c r="H8" i="111"/>
  <c r="E21" i="110"/>
  <c r="E26" i="110" s="1"/>
  <c r="C21" i="110"/>
  <c r="C26" i="110"/>
  <c r="Z44" i="81"/>
  <c r="F151" i="84"/>
  <c r="J113" i="94"/>
  <c r="K113" i="94"/>
  <c r="J114" i="94"/>
  <c r="K114" i="94" s="1"/>
  <c r="J741" i="89"/>
  <c r="K741" i="89"/>
  <c r="O666" i="87"/>
  <c r="AB666" i="87"/>
  <c r="J119" i="94"/>
  <c r="K119" i="94" s="1"/>
  <c r="J1023" i="89"/>
  <c r="K1023" i="89"/>
  <c r="J1022" i="89"/>
  <c r="K1022" i="89" s="1"/>
  <c r="J1021" i="89"/>
  <c r="K1021" i="89"/>
  <c r="J1020" i="89"/>
  <c r="K1020" i="89"/>
  <c r="J1019" i="89"/>
  <c r="K1019" i="89" s="1"/>
  <c r="J1018" i="89"/>
  <c r="K1018" i="89"/>
  <c r="J1017" i="89"/>
  <c r="K1017" i="89" s="1"/>
  <c r="J1016" i="89"/>
  <c r="K1016" i="89" s="1"/>
  <c r="J1015" i="89"/>
  <c r="K1015" i="89"/>
  <c r="J1014" i="89"/>
  <c r="K1014" i="89" s="1"/>
  <c r="J1007" i="89"/>
  <c r="K1007" i="89"/>
  <c r="J1006" i="89"/>
  <c r="K1006" i="89"/>
  <c r="J1005" i="89"/>
  <c r="K1005" i="89"/>
  <c r="J1004" i="89"/>
  <c r="K1004" i="89"/>
  <c r="J1003" i="89"/>
  <c r="K1003" i="89" s="1"/>
  <c r="J1002" i="89"/>
  <c r="K1002" i="89" s="1"/>
  <c r="J1001" i="89"/>
  <c r="K1001" i="89"/>
  <c r="J1000" i="89"/>
  <c r="K1000" i="89" s="1"/>
  <c r="J999" i="89"/>
  <c r="K999" i="89"/>
  <c r="J998" i="89"/>
  <c r="K998" i="89"/>
  <c r="J997" i="89"/>
  <c r="K997" i="89"/>
  <c r="J996" i="89"/>
  <c r="K996" i="89"/>
  <c r="J995" i="89"/>
  <c r="K995" i="89"/>
  <c r="J994" i="89"/>
  <c r="K994" i="89" s="1"/>
  <c r="J993" i="89"/>
  <c r="K993" i="89"/>
  <c r="J992" i="89"/>
  <c r="K992" i="89" s="1"/>
  <c r="J989" i="89"/>
  <c r="K989" i="89"/>
  <c r="J988" i="89"/>
  <c r="K988" i="89" s="1"/>
  <c r="J987" i="89"/>
  <c r="K987" i="89"/>
  <c r="J986" i="89"/>
  <c r="K986" i="89"/>
  <c r="J985" i="89"/>
  <c r="K985" i="89"/>
  <c r="J984" i="89"/>
  <c r="K984" i="89" s="1"/>
  <c r="J983" i="89"/>
  <c r="K983" i="89" s="1"/>
  <c r="J982" i="89"/>
  <c r="K982" i="89"/>
  <c r="J981" i="89"/>
  <c r="K981" i="89"/>
  <c r="J980" i="89"/>
  <c r="K980" i="89"/>
  <c r="J979" i="89"/>
  <c r="K979" i="89" s="1"/>
  <c r="J978" i="89"/>
  <c r="K978" i="89"/>
  <c r="J969" i="89"/>
  <c r="K969" i="89"/>
  <c r="J968" i="89"/>
  <c r="K968" i="89"/>
  <c r="J967" i="89"/>
  <c r="K967" i="89" s="1"/>
  <c r="J966" i="89"/>
  <c r="K966" i="89" s="1"/>
  <c r="J965" i="89"/>
  <c r="K965" i="89"/>
  <c r="J964" i="89"/>
  <c r="K964" i="89"/>
  <c r="J963" i="89"/>
  <c r="K963" i="89" s="1"/>
  <c r="J962" i="89"/>
  <c r="K962" i="89"/>
  <c r="J961" i="89"/>
  <c r="K961" i="89"/>
  <c r="J960" i="89"/>
  <c r="K960" i="89" s="1"/>
  <c r="J959" i="89"/>
  <c r="K959" i="89" s="1"/>
  <c r="J958" i="89"/>
  <c r="K958" i="89" s="1"/>
  <c r="J957" i="89"/>
  <c r="K957" i="89" s="1"/>
  <c r="J956" i="89"/>
  <c r="K956" i="89"/>
  <c r="J955" i="89"/>
  <c r="K955" i="89" s="1"/>
  <c r="J954" i="89"/>
  <c r="K954" i="89" s="1"/>
  <c r="K990" i="89" s="1"/>
  <c r="J950" i="89"/>
  <c r="K950" i="89" s="1"/>
  <c r="J949" i="89"/>
  <c r="K949" i="89" s="1"/>
  <c r="J948" i="89"/>
  <c r="K948" i="89" s="1"/>
  <c r="J947" i="89"/>
  <c r="K947" i="89" s="1"/>
  <c r="J946" i="89"/>
  <c r="K946" i="89" s="1"/>
  <c r="J945" i="89"/>
  <c r="K945" i="89" s="1"/>
  <c r="J938" i="89"/>
  <c r="K938" i="89" s="1"/>
  <c r="J937" i="89"/>
  <c r="K937" i="89"/>
  <c r="J936" i="89"/>
  <c r="K936" i="89" s="1"/>
  <c r="J935" i="89"/>
  <c r="K935" i="89" s="1"/>
  <c r="J934" i="89"/>
  <c r="K934" i="89" s="1"/>
  <c r="J933" i="89"/>
  <c r="K933" i="89" s="1"/>
  <c r="J932" i="89"/>
  <c r="K932" i="89" s="1"/>
  <c r="J931" i="89"/>
  <c r="K931" i="89" s="1"/>
  <c r="J930" i="89"/>
  <c r="K930" i="89" s="1"/>
  <c r="J929" i="89"/>
  <c r="K929" i="89"/>
  <c r="J928" i="89"/>
  <c r="K928" i="89"/>
  <c r="J927" i="89"/>
  <c r="K927" i="89" s="1"/>
  <c r="J926" i="89"/>
  <c r="K926" i="89" s="1"/>
  <c r="J925" i="89"/>
  <c r="K925" i="89"/>
  <c r="J924" i="89"/>
  <c r="K924" i="89"/>
  <c r="J921" i="89"/>
  <c r="K921" i="89" s="1"/>
  <c r="J920" i="89"/>
  <c r="K920" i="89"/>
  <c r="J919" i="89"/>
  <c r="K919" i="89"/>
  <c r="J918" i="89"/>
  <c r="K918" i="89" s="1"/>
  <c r="J917" i="89"/>
  <c r="K917" i="89" s="1"/>
  <c r="J916" i="89"/>
  <c r="K916" i="89" s="1"/>
  <c r="J915" i="89"/>
  <c r="K915" i="89"/>
  <c r="J914" i="89"/>
  <c r="K914" i="89" s="1"/>
  <c r="J913" i="89"/>
  <c r="K913" i="89"/>
  <c r="J912" i="89"/>
  <c r="K912" i="89"/>
  <c r="J911" i="89"/>
  <c r="K911" i="89"/>
  <c r="J910" i="89"/>
  <c r="K910" i="89" s="1"/>
  <c r="J903" i="89"/>
  <c r="K903" i="89" s="1"/>
  <c r="J902" i="89"/>
  <c r="K902" i="89" s="1"/>
  <c r="J901" i="89"/>
  <c r="K901" i="89"/>
  <c r="J900" i="89"/>
  <c r="K900" i="89"/>
  <c r="J899" i="89"/>
  <c r="K899" i="89" s="1"/>
  <c r="J898" i="89"/>
  <c r="K898" i="89"/>
  <c r="J897" i="89"/>
  <c r="K897" i="89"/>
  <c r="J896" i="89"/>
  <c r="K896" i="89" s="1"/>
  <c r="J895" i="89"/>
  <c r="K895" i="89" s="1"/>
  <c r="J894" i="89"/>
  <c r="K894" i="89" s="1"/>
  <c r="J893" i="89"/>
  <c r="K893" i="89"/>
  <c r="J892" i="89"/>
  <c r="K892" i="89" s="1"/>
  <c r="J891" i="89"/>
  <c r="K891" i="89" s="1"/>
  <c r="J890" i="89"/>
  <c r="K890" i="89"/>
  <c r="J889" i="89"/>
  <c r="K889" i="89"/>
  <c r="J888" i="89"/>
  <c r="K888" i="89" s="1"/>
  <c r="J887" i="89"/>
  <c r="K887" i="89" s="1"/>
  <c r="J886" i="89"/>
  <c r="K886" i="89" s="1"/>
  <c r="J876" i="89"/>
  <c r="K876" i="89"/>
  <c r="J875" i="89"/>
  <c r="K875" i="89" s="1"/>
  <c r="J874" i="89"/>
  <c r="K874" i="89" s="1"/>
  <c r="J873" i="89"/>
  <c r="K873" i="89" s="1"/>
  <c r="J872" i="89"/>
  <c r="K872" i="89" s="1"/>
  <c r="J871" i="89"/>
  <c r="K871" i="89" s="1"/>
  <c r="J870" i="89"/>
  <c r="K870" i="89" s="1"/>
  <c r="J869" i="89"/>
  <c r="K869" i="89" s="1"/>
  <c r="J868" i="89"/>
  <c r="K868" i="89" s="1"/>
  <c r="J867" i="89"/>
  <c r="K867" i="89" s="1"/>
  <c r="J866" i="89"/>
  <c r="K866" i="89" s="1"/>
  <c r="J865" i="89"/>
  <c r="K865" i="89"/>
  <c r="J864" i="89"/>
  <c r="K864" i="89" s="1"/>
  <c r="J863" i="89"/>
  <c r="K863" i="89" s="1"/>
  <c r="J862" i="89"/>
  <c r="K862" i="89" s="1"/>
  <c r="J861" i="89"/>
  <c r="K861" i="89"/>
  <c r="J860" i="89"/>
  <c r="K860" i="89"/>
  <c r="J859" i="89"/>
  <c r="K859" i="89"/>
  <c r="J858" i="89"/>
  <c r="K858" i="89"/>
  <c r="J855" i="89"/>
  <c r="K855" i="89" s="1"/>
  <c r="J854" i="89"/>
  <c r="K854" i="89" s="1"/>
  <c r="J853" i="89"/>
  <c r="K853" i="89" s="1"/>
  <c r="J852" i="89"/>
  <c r="K852" i="89" s="1"/>
  <c r="J851" i="89"/>
  <c r="K851" i="89"/>
  <c r="J850" i="89"/>
  <c r="K850" i="89"/>
  <c r="J849" i="89"/>
  <c r="K849" i="89"/>
  <c r="J848" i="89"/>
  <c r="K848" i="89"/>
  <c r="J847" i="89"/>
  <c r="K847" i="89" s="1"/>
  <c r="J846" i="89"/>
  <c r="K846" i="89" s="1"/>
  <c r="J845" i="89"/>
  <c r="K845" i="89" s="1"/>
  <c r="J838" i="89"/>
  <c r="K838" i="89"/>
  <c r="J837" i="89"/>
  <c r="K837" i="89"/>
  <c r="J836" i="89"/>
  <c r="K836" i="89"/>
  <c r="J835" i="89"/>
  <c r="K835" i="89"/>
  <c r="J834" i="89"/>
  <c r="K834" i="89"/>
  <c r="J833" i="89"/>
  <c r="K833" i="89"/>
  <c r="J832" i="89"/>
  <c r="K832" i="89" s="1"/>
  <c r="J831" i="89"/>
  <c r="K831" i="89" s="1"/>
  <c r="J830" i="89"/>
  <c r="K830" i="89" s="1"/>
  <c r="J829" i="89"/>
  <c r="K829" i="89"/>
  <c r="J828" i="89"/>
  <c r="K828" i="89" s="1"/>
  <c r="J827" i="89"/>
  <c r="K827" i="89" s="1"/>
  <c r="J826" i="89"/>
  <c r="K826" i="89" s="1"/>
  <c r="J825" i="89"/>
  <c r="K825" i="89" s="1"/>
  <c r="J824" i="89"/>
  <c r="K824" i="89" s="1"/>
  <c r="J823" i="89"/>
  <c r="K823" i="89" s="1"/>
  <c r="J822" i="89"/>
  <c r="K822" i="89" s="1"/>
  <c r="J821" i="89"/>
  <c r="K821" i="89" s="1"/>
  <c r="J820" i="89"/>
  <c r="K820" i="89" s="1"/>
  <c r="J819" i="89"/>
  <c r="K819" i="89" s="1"/>
  <c r="J818" i="89"/>
  <c r="K818" i="89" s="1"/>
  <c r="J817" i="89"/>
  <c r="K817" i="89" s="1"/>
  <c r="J814" i="89"/>
  <c r="K814" i="89" s="1"/>
  <c r="J813" i="89"/>
  <c r="K813" i="89" s="1"/>
  <c r="J812" i="89"/>
  <c r="K812" i="89" s="1"/>
  <c r="J811" i="89"/>
  <c r="K811" i="89"/>
  <c r="J810" i="89"/>
  <c r="K810" i="89"/>
  <c r="J809" i="89"/>
  <c r="K809" i="89" s="1"/>
  <c r="J808" i="89"/>
  <c r="K808" i="89"/>
  <c r="J807" i="89"/>
  <c r="K807" i="89" s="1"/>
  <c r="J806" i="89"/>
  <c r="K806" i="89" s="1"/>
  <c r="J805" i="89"/>
  <c r="K805" i="89" s="1"/>
  <c r="J804" i="89"/>
  <c r="K804" i="89" s="1"/>
  <c r="J797" i="89"/>
  <c r="K797" i="89"/>
  <c r="J796" i="89"/>
  <c r="K796" i="89"/>
  <c r="J795" i="89"/>
  <c r="K795" i="89" s="1"/>
  <c r="J794" i="89"/>
  <c r="K794" i="89"/>
  <c r="J793" i="89"/>
  <c r="K793" i="89" s="1"/>
  <c r="J792" i="89"/>
  <c r="K792" i="89" s="1"/>
  <c r="J791" i="89"/>
  <c r="K791" i="89"/>
  <c r="J790" i="89"/>
  <c r="K790" i="89" s="1"/>
  <c r="J789" i="89"/>
  <c r="K789" i="89"/>
  <c r="J788" i="89"/>
  <c r="K788" i="89" s="1"/>
  <c r="J787" i="89"/>
  <c r="K787" i="89" s="1"/>
  <c r="J786" i="89"/>
  <c r="K786" i="89"/>
  <c r="J785" i="89"/>
  <c r="K785" i="89"/>
  <c r="J784" i="89"/>
  <c r="K784" i="89" s="1"/>
  <c r="J783" i="89"/>
  <c r="K783" i="89" s="1"/>
  <c r="J782" i="89"/>
  <c r="K782" i="89" s="1"/>
  <c r="J781" i="89"/>
  <c r="K781" i="89"/>
  <c r="J780" i="89"/>
  <c r="K780" i="89"/>
  <c r="J779" i="89"/>
  <c r="J778" i="89"/>
  <c r="K778" i="89"/>
  <c r="J777" i="89"/>
  <c r="K777" i="89"/>
  <c r="J776" i="89"/>
  <c r="K776" i="89" s="1"/>
  <c r="J769" i="89"/>
  <c r="K769" i="89" s="1"/>
  <c r="J768" i="89"/>
  <c r="K768" i="89" s="1"/>
  <c r="J767" i="89"/>
  <c r="K767" i="89"/>
  <c r="J766" i="89"/>
  <c r="K766" i="89"/>
  <c r="J765" i="89"/>
  <c r="K765" i="89"/>
  <c r="J764" i="89"/>
  <c r="K764" i="89"/>
  <c r="J763" i="89"/>
  <c r="K763" i="89"/>
  <c r="J762" i="89"/>
  <c r="K762" i="89" s="1"/>
  <c r="J761" i="89"/>
  <c r="K761" i="89"/>
  <c r="J760" i="89"/>
  <c r="K760" i="89" s="1"/>
  <c r="J753" i="89"/>
  <c r="K753" i="89"/>
  <c r="J752" i="89"/>
  <c r="K752" i="89"/>
  <c r="J751" i="89"/>
  <c r="K751" i="89"/>
  <c r="J750" i="89"/>
  <c r="K750" i="89"/>
  <c r="J749" i="89"/>
  <c r="K749" i="89"/>
  <c r="J748" i="89"/>
  <c r="K748" i="89" s="1"/>
  <c r="J747" i="89"/>
  <c r="K747" i="89" s="1"/>
  <c r="J746" i="89"/>
  <c r="K746" i="89" s="1"/>
  <c r="J745" i="89"/>
  <c r="K745" i="89"/>
  <c r="J743" i="89"/>
  <c r="K743" i="89"/>
  <c r="J739" i="89"/>
  <c r="K739" i="89"/>
  <c r="J738" i="89"/>
  <c r="K738" i="89"/>
  <c r="J737" i="89"/>
  <c r="K737" i="89" s="1"/>
  <c r="J736" i="89"/>
  <c r="K736" i="89" s="1"/>
  <c r="J735" i="89"/>
  <c r="K735" i="89"/>
  <c r="J734" i="89"/>
  <c r="K734" i="89" s="1"/>
  <c r="J733" i="89"/>
  <c r="K733" i="89"/>
  <c r="J732" i="89"/>
  <c r="K732" i="89"/>
  <c r="J731" i="89"/>
  <c r="K731" i="89" s="1"/>
  <c r="J730" i="89"/>
  <c r="K730" i="89" s="1"/>
  <c r="J729" i="89"/>
  <c r="K729" i="89" s="1"/>
  <c r="J728" i="89"/>
  <c r="K728" i="89" s="1"/>
  <c r="J727" i="89"/>
  <c r="K727" i="89" s="1"/>
  <c r="J726" i="89"/>
  <c r="K726" i="89" s="1"/>
  <c r="J725" i="89"/>
  <c r="K725" i="89" s="1"/>
  <c r="J724" i="89"/>
  <c r="K724" i="89" s="1"/>
  <c r="J723" i="89"/>
  <c r="K723" i="89" s="1"/>
  <c r="J722" i="89"/>
  <c r="K722" i="89" s="1"/>
  <c r="J721" i="89"/>
  <c r="K721" i="89" s="1"/>
  <c r="J718" i="89"/>
  <c r="K718" i="89" s="1"/>
  <c r="J717" i="89"/>
  <c r="K717" i="89" s="1"/>
  <c r="J716" i="89"/>
  <c r="K716" i="89" s="1"/>
  <c r="J715" i="89"/>
  <c r="K715" i="89"/>
  <c r="J714" i="89"/>
  <c r="K714" i="89" s="1"/>
  <c r="J713" i="89"/>
  <c r="K713" i="89" s="1"/>
  <c r="J712" i="89"/>
  <c r="K712" i="89"/>
  <c r="J711" i="89"/>
  <c r="K711" i="89" s="1"/>
  <c r="J710" i="89"/>
  <c r="K710" i="89" s="1"/>
  <c r="J709" i="89"/>
  <c r="K709" i="89"/>
  <c r="J708" i="89"/>
  <c r="K708" i="89"/>
  <c r="J707" i="89"/>
  <c r="K707" i="89"/>
  <c r="J706" i="89"/>
  <c r="K706" i="89" s="1"/>
  <c r="J705" i="89"/>
  <c r="K705" i="89" s="1"/>
  <c r="J704" i="89"/>
  <c r="K704" i="89"/>
  <c r="J703" i="89"/>
  <c r="K703" i="89"/>
  <c r="J702" i="89"/>
  <c r="K702" i="89" s="1"/>
  <c r="J701" i="89"/>
  <c r="K701" i="89"/>
  <c r="J700" i="89"/>
  <c r="K700" i="89"/>
  <c r="J699" i="89"/>
  <c r="K699" i="89"/>
  <c r="J698" i="89"/>
  <c r="K698" i="89"/>
  <c r="J697" i="89"/>
  <c r="K697" i="89" s="1"/>
  <c r="J696" i="89"/>
  <c r="K696" i="89" s="1"/>
  <c r="J695" i="89"/>
  <c r="K695" i="89"/>
  <c r="J694" i="89"/>
  <c r="K694" i="89" s="1"/>
  <c r="J693" i="89"/>
  <c r="K693" i="89"/>
  <c r="J692" i="89"/>
  <c r="K692" i="89"/>
  <c r="J691" i="89"/>
  <c r="K691" i="89"/>
  <c r="J690" i="89"/>
  <c r="K690" i="89"/>
  <c r="J689" i="89"/>
  <c r="K689" i="89"/>
  <c r="J688" i="89"/>
  <c r="K688" i="89"/>
  <c r="J687" i="89"/>
  <c r="K687" i="89"/>
  <c r="J686" i="89"/>
  <c r="K686" i="89" s="1"/>
  <c r="J685" i="89"/>
  <c r="K685" i="89" s="1"/>
  <c r="J684" i="89"/>
  <c r="K684" i="89" s="1"/>
  <c r="J683" i="89"/>
  <c r="K683" i="89"/>
  <c r="J682" i="89"/>
  <c r="K682" i="89"/>
  <c r="J676" i="89"/>
  <c r="K676" i="89"/>
  <c r="J675" i="89"/>
  <c r="K675" i="89"/>
  <c r="J674" i="89"/>
  <c r="K674" i="89" s="1"/>
  <c r="J671" i="89"/>
  <c r="K671" i="89" s="1"/>
  <c r="J670" i="89"/>
  <c r="K670" i="89" s="1"/>
  <c r="J669" i="89"/>
  <c r="K669" i="89" s="1"/>
  <c r="J668" i="89"/>
  <c r="K668" i="89" s="1"/>
  <c r="J667" i="89"/>
  <c r="K667" i="89" s="1"/>
  <c r="J666" i="89"/>
  <c r="K666" i="89"/>
  <c r="J665" i="89"/>
  <c r="K665" i="89"/>
  <c r="J664" i="89"/>
  <c r="K664" i="89"/>
  <c r="J663" i="89"/>
  <c r="K663" i="89" s="1"/>
  <c r="J662" i="89"/>
  <c r="K662" i="89" s="1"/>
  <c r="J661" i="89"/>
  <c r="K661" i="89" s="1"/>
  <c r="J660" i="89"/>
  <c r="K660" i="89"/>
  <c r="J659" i="89"/>
  <c r="K659" i="89"/>
  <c r="J658" i="89"/>
  <c r="K658" i="89"/>
  <c r="J657" i="89"/>
  <c r="K657" i="89"/>
  <c r="J656" i="89"/>
  <c r="K656" i="89"/>
  <c r="J655" i="89"/>
  <c r="K655" i="89" s="1"/>
  <c r="J654" i="89"/>
  <c r="K654" i="89" s="1"/>
  <c r="J653" i="89"/>
  <c r="K653" i="89" s="1"/>
  <c r="J652" i="89"/>
  <c r="K652" i="89"/>
  <c r="J651" i="89"/>
  <c r="K651" i="89"/>
  <c r="J650" i="89"/>
  <c r="K650" i="89"/>
  <c r="J649" i="89"/>
  <c r="K649" i="89" s="1"/>
  <c r="J648" i="89"/>
  <c r="K648" i="89" s="1"/>
  <c r="J647" i="89"/>
  <c r="K647" i="89" s="1"/>
  <c r="J646" i="89"/>
  <c r="K646" i="89" s="1"/>
  <c r="J645" i="89"/>
  <c r="K645" i="89" s="1"/>
  <c r="J644" i="89"/>
  <c r="K644" i="89"/>
  <c r="J643" i="89"/>
  <c r="K643" i="89" s="1"/>
  <c r="J642" i="89"/>
  <c r="K642" i="89"/>
  <c r="J641" i="89"/>
  <c r="K641" i="89" s="1"/>
  <c r="J634" i="89"/>
  <c r="K634" i="89"/>
  <c r="J633" i="89"/>
  <c r="K633" i="89" s="1"/>
  <c r="J632" i="89"/>
  <c r="K632" i="89" s="1"/>
  <c r="J631" i="89"/>
  <c r="K631" i="89" s="1"/>
  <c r="J630" i="89"/>
  <c r="K630" i="89" s="1"/>
  <c r="J629" i="89"/>
  <c r="K629" i="89" s="1"/>
  <c r="J628" i="89"/>
  <c r="K628" i="89"/>
  <c r="J627" i="89"/>
  <c r="K627" i="89" s="1"/>
  <c r="J626" i="89"/>
  <c r="K626" i="89"/>
  <c r="J623" i="89"/>
  <c r="K623" i="89"/>
  <c r="J622" i="89"/>
  <c r="K622" i="89"/>
  <c r="J621" i="89"/>
  <c r="K621" i="89"/>
  <c r="J620" i="89"/>
  <c r="K620" i="89" s="1"/>
  <c r="J619" i="89"/>
  <c r="K619" i="89" s="1"/>
  <c r="J618" i="89"/>
  <c r="K618" i="89"/>
  <c r="J617" i="89"/>
  <c r="K617" i="89"/>
  <c r="J616" i="89"/>
  <c r="K616" i="89" s="1"/>
  <c r="J615" i="89"/>
  <c r="K615" i="89"/>
  <c r="J614" i="89"/>
  <c r="K614" i="89"/>
  <c r="J613" i="89"/>
  <c r="K613" i="89"/>
  <c r="J612" i="89"/>
  <c r="K612" i="89"/>
  <c r="J611" i="89"/>
  <c r="K611" i="89" s="1"/>
  <c r="J610" i="89"/>
  <c r="K610" i="89"/>
  <c r="J609" i="89"/>
  <c r="K609" i="89"/>
  <c r="J608" i="89"/>
  <c r="K608" i="89"/>
  <c r="J607" i="89"/>
  <c r="K607" i="89"/>
  <c r="J606" i="89"/>
  <c r="K606" i="89"/>
  <c r="J605" i="89"/>
  <c r="K605" i="89"/>
  <c r="J604" i="89"/>
  <c r="K604" i="89" s="1"/>
  <c r="J603" i="89"/>
  <c r="K603" i="89" s="1"/>
  <c r="J602" i="89"/>
  <c r="K602" i="89"/>
  <c r="J601" i="89"/>
  <c r="K601" i="89"/>
  <c r="J600" i="89"/>
  <c r="K600" i="89"/>
  <c r="J599" i="89"/>
  <c r="K599" i="89"/>
  <c r="J598" i="89"/>
  <c r="K598" i="89" s="1"/>
  <c r="J597" i="89"/>
  <c r="K597" i="89"/>
  <c r="J596" i="89"/>
  <c r="K596" i="89" s="1"/>
  <c r="J595" i="89"/>
  <c r="K595" i="89"/>
  <c r="J594" i="89"/>
  <c r="K594" i="89" s="1"/>
  <c r="J593" i="89"/>
  <c r="K593" i="89" s="1"/>
  <c r="K624" i="89" s="1"/>
  <c r="J592" i="89"/>
  <c r="K592" i="89" s="1"/>
  <c r="J591" i="89"/>
  <c r="K591" i="89" s="1"/>
  <c r="J590" i="89"/>
  <c r="K590" i="89" s="1"/>
  <c r="J589" i="89"/>
  <c r="K589" i="89" s="1"/>
  <c r="J588" i="89"/>
  <c r="K588" i="89"/>
  <c r="J581" i="89"/>
  <c r="K581" i="89"/>
  <c r="J580" i="89"/>
  <c r="K580" i="89"/>
  <c r="J579" i="89"/>
  <c r="K579" i="89"/>
  <c r="J576" i="89"/>
  <c r="K576" i="89" s="1"/>
  <c r="J575" i="89"/>
  <c r="K575" i="89" s="1"/>
  <c r="J574" i="89"/>
  <c r="K574" i="89" s="1"/>
  <c r="J573" i="89"/>
  <c r="K573" i="89"/>
  <c r="J572" i="89"/>
  <c r="K572" i="89"/>
  <c r="J571" i="89"/>
  <c r="K571" i="89"/>
  <c r="J570" i="89"/>
  <c r="K570" i="89" s="1"/>
  <c r="J569" i="89"/>
  <c r="K569" i="89" s="1"/>
  <c r="J568" i="89"/>
  <c r="K568" i="89" s="1"/>
  <c r="J567" i="89"/>
  <c r="K567" i="89" s="1"/>
  <c r="J566" i="89"/>
  <c r="K566" i="89" s="1"/>
  <c r="J565" i="89"/>
  <c r="K565" i="89"/>
  <c r="J564" i="89"/>
  <c r="K564" i="89"/>
  <c r="J563" i="89"/>
  <c r="K563" i="89"/>
  <c r="J562" i="89"/>
  <c r="K562" i="89" s="1"/>
  <c r="J561" i="89"/>
  <c r="K561" i="89" s="1"/>
  <c r="J560" i="89"/>
  <c r="K560" i="89" s="1"/>
  <c r="J559" i="89"/>
  <c r="K559" i="89" s="1"/>
  <c r="J558" i="89"/>
  <c r="K558" i="89"/>
  <c r="J557" i="89"/>
  <c r="K557" i="89"/>
  <c r="J556" i="89"/>
  <c r="K556" i="89"/>
  <c r="J555" i="89"/>
  <c r="K555" i="89"/>
  <c r="J554" i="89"/>
  <c r="K554" i="89"/>
  <c r="J553" i="89"/>
  <c r="K553" i="89" s="1"/>
  <c r="J552" i="89"/>
  <c r="K552" i="89" s="1"/>
  <c r="J551" i="89"/>
  <c r="K551" i="89" s="1"/>
  <c r="J550" i="89"/>
  <c r="K550" i="89" s="1"/>
  <c r="J549" i="89"/>
  <c r="K549" i="89" s="1"/>
  <c r="J548" i="89"/>
  <c r="K548" i="89" s="1"/>
  <c r="J547" i="89"/>
  <c r="K547" i="89"/>
  <c r="J546" i="89"/>
  <c r="K546" i="89"/>
  <c r="J539" i="89"/>
  <c r="K539" i="89"/>
  <c r="J538" i="89"/>
  <c r="K538" i="89"/>
  <c r="J537" i="89"/>
  <c r="K537" i="89" s="1"/>
  <c r="J536" i="89"/>
  <c r="K536" i="89"/>
  <c r="J535" i="89"/>
  <c r="K535" i="89" s="1"/>
  <c r="J534" i="89"/>
  <c r="K534" i="89" s="1"/>
  <c r="J533" i="89"/>
  <c r="K533" i="89"/>
  <c r="J532" i="89"/>
  <c r="K532" i="89"/>
  <c r="J531" i="89"/>
  <c r="K531" i="89"/>
  <c r="J528" i="89"/>
  <c r="K528" i="89"/>
  <c r="J527" i="89"/>
  <c r="K527" i="89"/>
  <c r="J526" i="89"/>
  <c r="K526" i="89"/>
  <c r="J525" i="89"/>
  <c r="K525" i="89" s="1"/>
  <c r="J524" i="89"/>
  <c r="K524" i="89" s="1"/>
  <c r="J523" i="89"/>
  <c r="K523" i="89" s="1"/>
  <c r="J522" i="89"/>
  <c r="K522" i="89" s="1"/>
  <c r="J521" i="89"/>
  <c r="K521" i="89"/>
  <c r="J520" i="89"/>
  <c r="K520" i="89"/>
  <c r="J519" i="89"/>
  <c r="K519" i="89"/>
  <c r="J518" i="89"/>
  <c r="K518" i="89"/>
  <c r="J517" i="89"/>
  <c r="K517" i="89" s="1"/>
  <c r="J516" i="89"/>
  <c r="K516" i="89" s="1"/>
  <c r="J515" i="89"/>
  <c r="K515" i="89"/>
  <c r="J514" i="89"/>
  <c r="K514" i="89"/>
  <c r="J513" i="89"/>
  <c r="K513" i="89"/>
  <c r="J512" i="89"/>
  <c r="K512" i="89"/>
  <c r="J511" i="89"/>
  <c r="K511" i="89" s="1"/>
  <c r="J510" i="89"/>
  <c r="K510" i="89"/>
  <c r="J509" i="89"/>
  <c r="K509" i="89"/>
  <c r="J508" i="89"/>
  <c r="K508" i="89" s="1"/>
  <c r="J507" i="89"/>
  <c r="K507" i="89" s="1"/>
  <c r="J506" i="89"/>
  <c r="K506" i="89" s="1"/>
  <c r="J505" i="89"/>
  <c r="K505" i="89" s="1"/>
  <c r="J504" i="89"/>
  <c r="K504" i="89" s="1"/>
  <c r="J503" i="89"/>
  <c r="K503" i="89" s="1"/>
  <c r="J502" i="89"/>
  <c r="K502" i="89"/>
  <c r="J501" i="89"/>
  <c r="K501" i="89" s="1"/>
  <c r="J500" i="89"/>
  <c r="K500" i="89"/>
  <c r="J499" i="89"/>
  <c r="K499" i="89"/>
  <c r="J498" i="89"/>
  <c r="K498" i="89"/>
  <c r="J497" i="89"/>
  <c r="K497" i="89" s="1"/>
  <c r="J496" i="89"/>
  <c r="K496" i="89" s="1"/>
  <c r="J495" i="89"/>
  <c r="K495" i="89" s="1"/>
  <c r="J494" i="89"/>
  <c r="K494" i="89" s="1"/>
  <c r="J493" i="89"/>
  <c r="K493" i="89" s="1"/>
  <c r="J488" i="89"/>
  <c r="K488" i="89"/>
  <c r="J487" i="89"/>
  <c r="J1032" i="89" s="1"/>
  <c r="K487" i="89"/>
  <c r="K529" i="89" s="1"/>
  <c r="J486" i="89"/>
  <c r="K486" i="89"/>
  <c r="J485" i="89"/>
  <c r="K485" i="89" s="1"/>
  <c r="J484" i="89"/>
  <c r="K484" i="89" s="1"/>
  <c r="J481" i="89"/>
  <c r="K481" i="89" s="1"/>
  <c r="J480" i="89"/>
  <c r="K480" i="89"/>
  <c r="J479" i="89"/>
  <c r="K479" i="89"/>
  <c r="J478" i="89"/>
  <c r="K478" i="89"/>
  <c r="J477" i="89"/>
  <c r="K477" i="89"/>
  <c r="J476" i="89"/>
  <c r="K476" i="89"/>
  <c r="J475" i="89"/>
  <c r="K475" i="89" s="1"/>
  <c r="J474" i="89"/>
  <c r="K474" i="89" s="1"/>
  <c r="J473" i="89"/>
  <c r="K473" i="89" s="1"/>
  <c r="J472" i="89"/>
  <c r="K472" i="89"/>
  <c r="J471" i="89"/>
  <c r="K471" i="89" s="1"/>
  <c r="J470" i="89"/>
  <c r="K470" i="89"/>
  <c r="J469" i="89"/>
  <c r="K469" i="89" s="1"/>
  <c r="J468" i="89"/>
  <c r="K468" i="89"/>
  <c r="J467" i="89"/>
  <c r="K467" i="89" s="1"/>
  <c r="J466" i="89"/>
  <c r="K466" i="89" s="1"/>
  <c r="J465" i="89"/>
  <c r="K465" i="89" s="1"/>
  <c r="J464" i="89"/>
  <c r="K464" i="89" s="1"/>
  <c r="J463" i="89"/>
  <c r="K463" i="89"/>
  <c r="J462" i="89"/>
  <c r="K462" i="89"/>
  <c r="J461" i="89"/>
  <c r="K461" i="89"/>
  <c r="J454" i="89"/>
  <c r="K454" i="89"/>
  <c r="J453" i="89"/>
  <c r="K453" i="89" s="1"/>
  <c r="J452" i="89"/>
  <c r="K452" i="89" s="1"/>
  <c r="J451" i="89"/>
  <c r="K451" i="89" s="1"/>
  <c r="J450" i="89"/>
  <c r="K450" i="89" s="1"/>
  <c r="J449" i="89"/>
  <c r="K449" i="89"/>
  <c r="J448" i="89"/>
  <c r="K448" i="89"/>
  <c r="J445" i="89"/>
  <c r="K445" i="89" s="1"/>
  <c r="J444" i="89"/>
  <c r="K444" i="89" s="1"/>
  <c r="J443" i="89"/>
  <c r="K443" i="89"/>
  <c r="J442" i="89"/>
  <c r="K442" i="89" s="1"/>
  <c r="J436" i="89"/>
  <c r="K436" i="89"/>
  <c r="J435" i="89"/>
  <c r="K435" i="89" s="1"/>
  <c r="J434" i="89"/>
  <c r="K434" i="89" s="1"/>
  <c r="J433" i="89"/>
  <c r="K433" i="89" s="1"/>
  <c r="J432" i="89"/>
  <c r="K432" i="89"/>
  <c r="J431" i="89"/>
  <c r="K431" i="89"/>
  <c r="J430" i="89"/>
  <c r="K430" i="89"/>
  <c r="J429" i="89"/>
  <c r="K429" i="89"/>
  <c r="J428" i="89"/>
  <c r="K428" i="89"/>
  <c r="J427" i="89"/>
  <c r="K427" i="89"/>
  <c r="J426" i="89"/>
  <c r="K426" i="89"/>
  <c r="J425" i="89"/>
  <c r="K425" i="89" s="1"/>
  <c r="J424" i="89"/>
  <c r="K424" i="89"/>
  <c r="J423" i="89"/>
  <c r="K423" i="89" s="1"/>
  <c r="J422" i="89"/>
  <c r="K422" i="89" s="1"/>
  <c r="J421" i="89"/>
  <c r="K421" i="89" s="1"/>
  <c r="J420" i="89"/>
  <c r="K420" i="89" s="1"/>
  <c r="J419" i="89"/>
  <c r="K419" i="89" s="1"/>
  <c r="J418" i="89"/>
  <c r="K418" i="89"/>
  <c r="J417" i="89"/>
  <c r="K417" i="89" s="1"/>
  <c r="J416" i="89"/>
  <c r="K416" i="89" s="1"/>
  <c r="J415" i="89"/>
  <c r="K415" i="89" s="1"/>
  <c r="J412" i="89"/>
  <c r="K412" i="89" s="1"/>
  <c r="J411" i="89"/>
  <c r="K411" i="89" s="1"/>
  <c r="J410" i="89"/>
  <c r="K410" i="89"/>
  <c r="J409" i="89"/>
  <c r="K409" i="89"/>
  <c r="J408" i="89"/>
  <c r="K408" i="89"/>
  <c r="J407" i="89"/>
  <c r="K407" i="89"/>
  <c r="J406" i="89"/>
  <c r="K406" i="89"/>
  <c r="J405" i="89"/>
  <c r="K405" i="89" s="1"/>
  <c r="J404" i="89"/>
  <c r="K404" i="89" s="1"/>
  <c r="J403" i="89"/>
  <c r="K403" i="89" s="1"/>
  <c r="J402" i="89"/>
  <c r="K402" i="89"/>
  <c r="J401" i="89"/>
  <c r="K401" i="89"/>
  <c r="J400" i="89"/>
  <c r="K400" i="89"/>
  <c r="J399" i="89"/>
  <c r="K399" i="89" s="1"/>
  <c r="J398" i="89"/>
  <c r="K398" i="89" s="1"/>
  <c r="J397" i="89"/>
  <c r="K397" i="89" s="1"/>
  <c r="J396" i="89"/>
  <c r="K396" i="89" s="1"/>
  <c r="J395" i="89"/>
  <c r="K395" i="89" s="1"/>
  <c r="J394" i="89"/>
  <c r="K394" i="89"/>
  <c r="J393" i="89"/>
  <c r="K393" i="89" s="1"/>
  <c r="J392" i="89"/>
  <c r="K392" i="89" s="1"/>
  <c r="J385" i="89"/>
  <c r="K385" i="89"/>
  <c r="J384" i="89"/>
  <c r="K384" i="89"/>
  <c r="J383" i="89"/>
  <c r="K383" i="89"/>
  <c r="J382" i="89"/>
  <c r="K382" i="89"/>
  <c r="J381" i="89"/>
  <c r="K381" i="89"/>
  <c r="J380" i="89"/>
  <c r="K380" i="89" s="1"/>
  <c r="J379" i="89"/>
  <c r="K379" i="89" s="1"/>
  <c r="J376" i="89"/>
  <c r="K376" i="89"/>
  <c r="J375" i="89"/>
  <c r="K375" i="89" s="1"/>
  <c r="J374" i="89"/>
  <c r="K374" i="89" s="1"/>
  <c r="J367" i="89"/>
  <c r="K367" i="89"/>
  <c r="J366" i="89"/>
  <c r="K366" i="89"/>
  <c r="J365" i="89"/>
  <c r="K365" i="89"/>
  <c r="J364" i="89"/>
  <c r="K364" i="89" s="1"/>
  <c r="J363" i="89"/>
  <c r="K363" i="89" s="1"/>
  <c r="J362" i="89"/>
  <c r="K362" i="89" s="1"/>
  <c r="J361" i="89"/>
  <c r="K361" i="89" s="1"/>
  <c r="J360" i="89"/>
  <c r="K360" i="89" s="1"/>
  <c r="J359" i="89"/>
  <c r="K359" i="89"/>
  <c r="J358" i="89"/>
  <c r="K358" i="89" s="1"/>
  <c r="J357" i="89"/>
  <c r="K357" i="89"/>
  <c r="J356" i="89"/>
  <c r="K356" i="89"/>
  <c r="J355" i="89"/>
  <c r="K355" i="89"/>
  <c r="J354" i="89"/>
  <c r="K354" i="89"/>
  <c r="J353" i="89"/>
  <c r="K353" i="89"/>
  <c r="J352" i="89"/>
  <c r="K352" i="89"/>
  <c r="J351" i="89"/>
  <c r="K351" i="89"/>
  <c r="J350" i="89"/>
  <c r="K350" i="89" s="1"/>
  <c r="J349" i="89"/>
  <c r="K349" i="89"/>
  <c r="J348" i="89"/>
  <c r="K348" i="89"/>
  <c r="J347" i="89"/>
  <c r="K347" i="89" s="1"/>
  <c r="J346" i="89"/>
  <c r="K346" i="89"/>
  <c r="K377" i="89" s="1"/>
  <c r="J343" i="89"/>
  <c r="K343" i="89"/>
  <c r="J342" i="89"/>
  <c r="K342" i="89" s="1"/>
  <c r="J341" i="89"/>
  <c r="K341" i="89" s="1"/>
  <c r="J340" i="89"/>
  <c r="K340" i="89" s="1"/>
  <c r="J339" i="89"/>
  <c r="K339" i="89" s="1"/>
  <c r="J338" i="89"/>
  <c r="K338" i="89" s="1"/>
  <c r="J337" i="89"/>
  <c r="K337" i="89"/>
  <c r="J336" i="89"/>
  <c r="K336" i="89"/>
  <c r="J335" i="89"/>
  <c r="K335" i="89" s="1"/>
  <c r="J334" i="89"/>
  <c r="K334" i="89"/>
  <c r="J333" i="89"/>
  <c r="K333" i="89" s="1"/>
  <c r="J332" i="89"/>
  <c r="K332" i="89" s="1"/>
  <c r="J331" i="89"/>
  <c r="K331" i="89" s="1"/>
  <c r="J330" i="89"/>
  <c r="K330" i="89" s="1"/>
  <c r="J329" i="89"/>
  <c r="K329" i="89"/>
  <c r="J328" i="89"/>
  <c r="K328" i="89" s="1"/>
  <c r="J327" i="89"/>
  <c r="K327" i="89" s="1"/>
  <c r="J326" i="89"/>
  <c r="K326" i="89"/>
  <c r="J325" i="89"/>
  <c r="K325" i="89"/>
  <c r="J324" i="89"/>
  <c r="K324" i="89" s="1"/>
  <c r="J323" i="89"/>
  <c r="K323" i="89" s="1"/>
  <c r="J316" i="89"/>
  <c r="K316" i="89" s="1"/>
  <c r="J315" i="89"/>
  <c r="K315" i="89"/>
  <c r="J314" i="89"/>
  <c r="K314" i="89" s="1"/>
  <c r="K344" i="89" s="1"/>
  <c r="J313" i="89"/>
  <c r="K313" i="89" s="1"/>
  <c r="J312" i="89"/>
  <c r="K312" i="89"/>
  <c r="J311" i="89"/>
  <c r="K311" i="89"/>
  <c r="J310" i="89"/>
  <c r="K310" i="89" s="1"/>
  <c r="J307" i="89"/>
  <c r="K307" i="89" s="1"/>
  <c r="J306" i="89"/>
  <c r="K306" i="89" s="1"/>
  <c r="J305" i="89"/>
  <c r="K305" i="89"/>
  <c r="J304" i="89"/>
  <c r="K304" i="89"/>
  <c r="J299" i="89"/>
  <c r="K299" i="89"/>
  <c r="J298" i="89"/>
  <c r="K298" i="89"/>
  <c r="J297" i="89"/>
  <c r="K297" i="89" s="1"/>
  <c r="J296" i="89"/>
  <c r="K296" i="89" s="1"/>
  <c r="J295" i="89"/>
  <c r="K295" i="89" s="1"/>
  <c r="J294" i="89"/>
  <c r="K294" i="89" s="1"/>
  <c r="J293" i="89"/>
  <c r="K293" i="89" s="1"/>
  <c r="J292" i="89"/>
  <c r="K292" i="89" s="1"/>
  <c r="J291" i="89"/>
  <c r="K291" i="89" s="1"/>
  <c r="J290" i="89"/>
  <c r="K290" i="89"/>
  <c r="J289" i="89"/>
  <c r="K289" i="89"/>
  <c r="J288" i="89"/>
  <c r="K288" i="89" s="1"/>
  <c r="J287" i="89"/>
  <c r="K287" i="89" s="1"/>
  <c r="J286" i="89"/>
  <c r="K286" i="89" s="1"/>
  <c r="J285" i="89"/>
  <c r="K285" i="89"/>
  <c r="J284" i="89"/>
  <c r="K284" i="89" s="1"/>
  <c r="J283" i="89"/>
  <c r="K283" i="89" s="1"/>
  <c r="J282" i="89"/>
  <c r="K282" i="89"/>
  <c r="J281" i="89"/>
  <c r="K281" i="89"/>
  <c r="J280" i="89"/>
  <c r="K280" i="89"/>
  <c r="J279" i="89"/>
  <c r="K279" i="89"/>
  <c r="J278" i="89"/>
  <c r="K278" i="89"/>
  <c r="J277" i="89"/>
  <c r="K277" i="89" s="1"/>
  <c r="J274" i="89"/>
  <c r="K274" i="89" s="1"/>
  <c r="J273" i="89"/>
  <c r="K273" i="89" s="1"/>
  <c r="J272" i="89"/>
  <c r="K272" i="89" s="1"/>
  <c r="J271" i="89"/>
  <c r="K271" i="89" s="1"/>
  <c r="J270" i="89"/>
  <c r="K270" i="89"/>
  <c r="J269" i="89"/>
  <c r="K269" i="89"/>
  <c r="J268" i="89"/>
  <c r="K268" i="89" s="1"/>
  <c r="J267" i="89"/>
  <c r="K267" i="89"/>
  <c r="J266" i="89"/>
  <c r="K266" i="89"/>
  <c r="J265" i="89"/>
  <c r="K265" i="89"/>
  <c r="J264" i="89"/>
  <c r="K264" i="89" s="1"/>
  <c r="J263" i="89"/>
  <c r="K263" i="89" s="1"/>
  <c r="J262" i="89"/>
  <c r="K262" i="89" s="1"/>
  <c r="J257" i="89"/>
  <c r="K257" i="89" s="1"/>
  <c r="J256" i="89"/>
  <c r="K256" i="89"/>
  <c r="J255" i="89"/>
  <c r="K255" i="89"/>
  <c r="J254" i="89"/>
  <c r="K254" i="89" s="1"/>
  <c r="J253" i="89"/>
  <c r="K253" i="89"/>
  <c r="J252" i="89"/>
  <c r="K252" i="89"/>
  <c r="J251" i="89"/>
  <c r="K251" i="89" s="1"/>
  <c r="J250" i="89"/>
  <c r="K250" i="89" s="1"/>
  <c r="J249" i="89"/>
  <c r="K249" i="89" s="1"/>
  <c r="J248" i="89"/>
  <c r="K248" i="89" s="1"/>
  <c r="J247" i="89"/>
  <c r="K247" i="89" s="1"/>
  <c r="J246" i="89"/>
  <c r="K246" i="89" s="1"/>
  <c r="J245" i="89"/>
  <c r="K245" i="89"/>
  <c r="J244" i="89"/>
  <c r="K244" i="89"/>
  <c r="J243" i="89"/>
  <c r="K243" i="89" s="1"/>
  <c r="J240" i="89"/>
  <c r="K240" i="89" s="1"/>
  <c r="J239" i="89"/>
  <c r="K239" i="89" s="1"/>
  <c r="J238" i="89"/>
  <c r="K238" i="89"/>
  <c r="J231" i="89"/>
  <c r="K231" i="89"/>
  <c r="J230" i="89"/>
  <c r="K230" i="89"/>
  <c r="J229" i="89"/>
  <c r="K229" i="89"/>
  <c r="J228" i="89"/>
  <c r="K228" i="89"/>
  <c r="J227" i="89"/>
  <c r="K227" i="89" s="1"/>
  <c r="J226" i="89"/>
  <c r="K226" i="89" s="1"/>
  <c r="J225" i="89"/>
  <c r="K225" i="89" s="1"/>
  <c r="J224" i="89"/>
  <c r="K224" i="89"/>
  <c r="J223" i="89"/>
  <c r="K223" i="89" s="1"/>
  <c r="J222" i="89"/>
  <c r="K222" i="89" s="1"/>
  <c r="J221" i="89"/>
  <c r="K221" i="89"/>
  <c r="J220" i="89"/>
  <c r="K220" i="89"/>
  <c r="J219" i="89"/>
  <c r="K219" i="89" s="1"/>
  <c r="J218" i="89"/>
  <c r="K218" i="89" s="1"/>
  <c r="J217" i="89"/>
  <c r="K217" i="89" s="1"/>
  <c r="J216" i="89"/>
  <c r="K216" i="89" s="1"/>
  <c r="J215" i="89"/>
  <c r="K215" i="89" s="1"/>
  <c r="J214" i="89"/>
  <c r="K214" i="89"/>
  <c r="J213" i="89"/>
  <c r="K213" i="89"/>
  <c r="J212" i="89"/>
  <c r="K212" i="89"/>
  <c r="J211" i="89"/>
  <c r="K211" i="89" s="1"/>
  <c r="J210" i="89"/>
  <c r="K210" i="89" s="1"/>
  <c r="J209" i="89"/>
  <c r="K209" i="89" s="1"/>
  <c r="J208" i="89"/>
  <c r="K208" i="89"/>
  <c r="J207" i="89"/>
  <c r="K207" i="89" s="1"/>
  <c r="J206" i="89"/>
  <c r="K206" i="89"/>
  <c r="J205" i="89"/>
  <c r="K205" i="89"/>
  <c r="J204" i="89"/>
  <c r="K204" i="89" s="1"/>
  <c r="J203" i="89"/>
  <c r="K203" i="89" s="1"/>
  <c r="J202" i="89"/>
  <c r="K202" i="89" s="1"/>
  <c r="J201" i="89"/>
  <c r="K201" i="89" s="1"/>
  <c r="J200" i="89"/>
  <c r="K200" i="89"/>
  <c r="J199" i="89"/>
  <c r="K199" i="89"/>
  <c r="J198" i="89"/>
  <c r="K198" i="89" s="1"/>
  <c r="K241" i="89" s="1"/>
  <c r="J195" i="89"/>
  <c r="K195" i="89" s="1"/>
  <c r="J194" i="89"/>
  <c r="K194" i="89"/>
  <c r="J193" i="89"/>
  <c r="K193" i="89"/>
  <c r="J192" i="89"/>
  <c r="K192" i="89"/>
  <c r="J191" i="89"/>
  <c r="K191" i="89"/>
  <c r="J190" i="89"/>
  <c r="K190" i="89"/>
  <c r="J189" i="89"/>
  <c r="K189" i="89" s="1"/>
  <c r="J188" i="89"/>
  <c r="K188" i="89" s="1"/>
  <c r="J187" i="89"/>
  <c r="K187" i="89"/>
  <c r="J186" i="89"/>
  <c r="K186" i="89"/>
  <c r="J185" i="89"/>
  <c r="K185" i="89"/>
  <c r="J180" i="89"/>
  <c r="K180" i="89"/>
  <c r="J179" i="89"/>
  <c r="K179" i="89"/>
  <c r="J178" i="89"/>
  <c r="K178" i="89"/>
  <c r="J177" i="89"/>
  <c r="K177" i="89" s="1"/>
  <c r="J176" i="89"/>
  <c r="K176" i="89" s="1"/>
  <c r="J175" i="89"/>
  <c r="K175" i="89"/>
  <c r="J174" i="89"/>
  <c r="K174" i="89" s="1"/>
  <c r="J173" i="89"/>
  <c r="K173" i="89"/>
  <c r="J172" i="89"/>
  <c r="K172" i="89"/>
  <c r="J171" i="89"/>
  <c r="K171" i="89"/>
  <c r="J170" i="89"/>
  <c r="K170" i="89"/>
  <c r="J167" i="89"/>
  <c r="K167" i="89"/>
  <c r="J166" i="89"/>
  <c r="K166" i="89" s="1"/>
  <c r="J165" i="89"/>
  <c r="K165" i="89" s="1"/>
  <c r="J164" i="89"/>
  <c r="K164" i="89" s="1"/>
  <c r="J163" i="89"/>
  <c r="K163" i="89"/>
  <c r="J162" i="89"/>
  <c r="K162" i="89"/>
  <c r="J161" i="89"/>
  <c r="K161" i="89"/>
  <c r="J160" i="89"/>
  <c r="K160" i="89"/>
  <c r="J159" i="89"/>
  <c r="K159" i="89"/>
  <c r="J158" i="89"/>
  <c r="K158" i="89"/>
  <c r="J157" i="89"/>
  <c r="K157" i="89" s="1"/>
  <c r="J156" i="89"/>
  <c r="K156" i="89" s="1"/>
  <c r="J155" i="89"/>
  <c r="K155" i="89" s="1"/>
  <c r="J154" i="89"/>
  <c r="K154" i="89" s="1"/>
  <c r="J153" i="89"/>
  <c r="K153" i="89" s="1"/>
  <c r="J152" i="89"/>
  <c r="K152" i="89" s="1"/>
  <c r="J151" i="89"/>
  <c r="K151" i="89" s="1"/>
  <c r="J148" i="89"/>
  <c r="K148" i="89"/>
  <c r="J147" i="89"/>
  <c r="K147" i="89" s="1"/>
  <c r="J146" i="89"/>
  <c r="K146" i="89" s="1"/>
  <c r="J145" i="89"/>
  <c r="K145" i="89" s="1"/>
  <c r="J140" i="89"/>
  <c r="K140" i="89" s="1"/>
  <c r="J139" i="89"/>
  <c r="K139" i="89" s="1"/>
  <c r="J138" i="89"/>
  <c r="K138" i="89"/>
  <c r="J137" i="89"/>
  <c r="K137" i="89"/>
  <c r="J136" i="89"/>
  <c r="K136" i="89"/>
  <c r="J135" i="89"/>
  <c r="K135" i="89"/>
  <c r="J134" i="89"/>
  <c r="K134" i="89" s="1"/>
  <c r="J133" i="89"/>
  <c r="K133" i="89" s="1"/>
  <c r="J132" i="89"/>
  <c r="K132" i="89" s="1"/>
  <c r="J131" i="89"/>
  <c r="K131" i="89"/>
  <c r="J130" i="89"/>
  <c r="K130" i="89"/>
  <c r="J125" i="89"/>
  <c r="K125" i="89"/>
  <c r="J124" i="89"/>
  <c r="K124" i="89"/>
  <c r="J123" i="89"/>
  <c r="K123" i="89" s="1"/>
  <c r="J122" i="89"/>
  <c r="K122" i="89"/>
  <c r="J121" i="89"/>
  <c r="K121" i="89"/>
  <c r="J120" i="89"/>
  <c r="K120" i="89"/>
  <c r="J119" i="89"/>
  <c r="K119" i="89" s="1"/>
  <c r="J118" i="89"/>
  <c r="K118" i="89" s="1"/>
  <c r="J117" i="89"/>
  <c r="K117" i="89" s="1"/>
  <c r="J116" i="89"/>
  <c r="K116" i="89"/>
  <c r="J115" i="89"/>
  <c r="K115" i="89" s="1"/>
  <c r="J114" i="89"/>
  <c r="K114" i="89"/>
  <c r="J113" i="89"/>
  <c r="K113" i="89"/>
  <c r="J112" i="89"/>
  <c r="K112" i="89"/>
  <c r="J111" i="89"/>
  <c r="K111" i="89" s="1"/>
  <c r="J110" i="89"/>
  <c r="K110" i="89"/>
  <c r="J109" i="89"/>
  <c r="K109" i="89" s="1"/>
  <c r="J108" i="89"/>
  <c r="K108" i="89" s="1"/>
  <c r="J107" i="89"/>
  <c r="K107" i="89"/>
  <c r="J106" i="89"/>
  <c r="K106" i="89"/>
  <c r="J103" i="89"/>
  <c r="K103" i="89"/>
  <c r="J102" i="89"/>
  <c r="K102" i="89"/>
  <c r="J101" i="89"/>
  <c r="K101" i="89"/>
  <c r="J100" i="89"/>
  <c r="K100" i="89"/>
  <c r="J99" i="89"/>
  <c r="K99" i="89" s="1"/>
  <c r="J98" i="89"/>
  <c r="K98" i="89"/>
  <c r="J97" i="89"/>
  <c r="K97" i="89"/>
  <c r="J96" i="89"/>
  <c r="K96" i="89"/>
  <c r="J95" i="89"/>
  <c r="K95" i="89"/>
  <c r="J94" i="89"/>
  <c r="K94" i="89"/>
  <c r="J93" i="89"/>
  <c r="K93" i="89"/>
  <c r="J88" i="89"/>
  <c r="K88" i="89" s="1"/>
  <c r="J87" i="89"/>
  <c r="K87" i="89" s="1"/>
  <c r="J86" i="89"/>
  <c r="K86" i="89" s="1"/>
  <c r="J85" i="89"/>
  <c r="K85" i="89"/>
  <c r="J84" i="89"/>
  <c r="K84" i="89"/>
  <c r="J83" i="89"/>
  <c r="K83" i="89"/>
  <c r="J82" i="89"/>
  <c r="K82" i="89"/>
  <c r="J81" i="89"/>
  <c r="K81" i="89"/>
  <c r="J80" i="89"/>
  <c r="K80" i="89" s="1"/>
  <c r="J79" i="89"/>
  <c r="K79" i="89" s="1"/>
  <c r="J78" i="89"/>
  <c r="K78" i="89"/>
  <c r="J75" i="89"/>
  <c r="K75" i="89"/>
  <c r="J74" i="89"/>
  <c r="K74" i="89"/>
  <c r="J73" i="89"/>
  <c r="K73" i="89"/>
  <c r="J72" i="89"/>
  <c r="K72" i="89"/>
  <c r="J71" i="89"/>
  <c r="K71" i="89"/>
  <c r="J70" i="89"/>
  <c r="K70" i="89"/>
  <c r="J69" i="89"/>
  <c r="K69" i="89"/>
  <c r="J68" i="89"/>
  <c r="K68" i="89" s="1"/>
  <c r="J67" i="89"/>
  <c r="K67" i="89" s="1"/>
  <c r="J66" i="89"/>
  <c r="K66" i="89" s="1"/>
  <c r="J65" i="89"/>
  <c r="K65" i="89" s="1"/>
  <c r="J64" i="89"/>
  <c r="K64" i="89" s="1"/>
  <c r="J63" i="89"/>
  <c r="K63" i="89" s="1"/>
  <c r="J62" i="89"/>
  <c r="K62" i="89"/>
  <c r="J61" i="89"/>
  <c r="K61" i="89"/>
  <c r="J60" i="89"/>
  <c r="K60" i="89"/>
  <c r="J59" i="89"/>
  <c r="K59" i="89" s="1"/>
  <c r="J55" i="89"/>
  <c r="K55" i="89" s="1"/>
  <c r="J54" i="89"/>
  <c r="K54" i="89" s="1"/>
  <c r="J53" i="89"/>
  <c r="K53" i="89" s="1"/>
  <c r="J52" i="89"/>
  <c r="K52" i="89"/>
  <c r="J51" i="89"/>
  <c r="K51" i="89"/>
  <c r="J50" i="89"/>
  <c r="K50" i="89"/>
  <c r="J49" i="89"/>
  <c r="K49" i="89"/>
  <c r="J48" i="89"/>
  <c r="K48" i="89" s="1"/>
  <c r="J47" i="89"/>
  <c r="K47" i="89" s="1"/>
  <c r="J46" i="89"/>
  <c r="K46" i="89" s="1"/>
  <c r="J39" i="89"/>
  <c r="K39" i="89" s="1"/>
  <c r="J38" i="89"/>
  <c r="K38" i="89"/>
  <c r="J37" i="89"/>
  <c r="K37" i="89"/>
  <c r="J36" i="89"/>
  <c r="K36" i="89"/>
  <c r="J35" i="89"/>
  <c r="K35" i="89" s="1"/>
  <c r="J34" i="89"/>
  <c r="K34" i="89" s="1"/>
  <c r="J33" i="89"/>
  <c r="K33" i="89" s="1"/>
  <c r="J32" i="89"/>
  <c r="K32" i="89" s="1"/>
  <c r="J31" i="89"/>
  <c r="K31" i="89"/>
  <c r="J25" i="89"/>
  <c r="K25" i="89"/>
  <c r="J24" i="89"/>
  <c r="K24" i="89" s="1"/>
  <c r="J23" i="89"/>
  <c r="K23" i="89"/>
  <c r="J22" i="89"/>
  <c r="K22" i="89" s="1"/>
  <c r="J21" i="89"/>
  <c r="K21" i="89" s="1"/>
  <c r="J20" i="89"/>
  <c r="K20" i="89" s="1"/>
  <c r="J19" i="89"/>
  <c r="K19" i="89" s="1"/>
  <c r="J18" i="89"/>
  <c r="K18" i="89"/>
  <c r="J17" i="89"/>
  <c r="K17" i="89"/>
  <c r="J16" i="89"/>
  <c r="K16" i="89"/>
  <c r="J15" i="89"/>
  <c r="K15" i="89"/>
  <c r="J14" i="89"/>
  <c r="K14" i="89"/>
  <c r="J13" i="89"/>
  <c r="K13" i="89" s="1"/>
  <c r="J12" i="89"/>
  <c r="K12" i="89" s="1"/>
  <c r="J11" i="89"/>
  <c r="K11" i="89" s="1"/>
  <c r="J10" i="89"/>
  <c r="K10" i="89"/>
  <c r="J9" i="89"/>
  <c r="K9" i="89"/>
  <c r="J8" i="89"/>
  <c r="K8" i="89"/>
  <c r="J7" i="89"/>
  <c r="K7" i="89" s="1"/>
  <c r="J59" i="90"/>
  <c r="J57" i="90"/>
  <c r="J56" i="90"/>
  <c r="J53" i="90"/>
  <c r="K53" i="90"/>
  <c r="J52" i="90"/>
  <c r="K52" i="90"/>
  <c r="J51" i="90"/>
  <c r="J50" i="90"/>
  <c r="K50" i="90"/>
  <c r="J47" i="90"/>
  <c r="J46" i="90"/>
  <c r="J45" i="90"/>
  <c r="J44" i="90"/>
  <c r="J35" i="90"/>
  <c r="K35" i="90" s="1"/>
  <c r="J34" i="90"/>
  <c r="K34" i="90"/>
  <c r="J33" i="90"/>
  <c r="J32" i="90"/>
  <c r="K32" i="90" s="1"/>
  <c r="J31" i="90"/>
  <c r="K31" i="90" s="1"/>
  <c r="J30" i="90"/>
  <c r="K30" i="90" s="1"/>
  <c r="J27" i="90"/>
  <c r="J26" i="90"/>
  <c r="K26" i="90" s="1"/>
  <c r="J25" i="90"/>
  <c r="K25" i="90"/>
  <c r="J24" i="90"/>
  <c r="K24" i="90"/>
  <c r="J23" i="90"/>
  <c r="K23" i="90"/>
  <c r="J22" i="90"/>
  <c r="K22" i="90"/>
  <c r="J21" i="90"/>
  <c r="K21" i="90"/>
  <c r="J20" i="90"/>
  <c r="K20" i="90" s="1"/>
  <c r="J17" i="90"/>
  <c r="J16" i="90"/>
  <c r="J15" i="90"/>
  <c r="K15" i="90" s="1"/>
  <c r="J14" i="90"/>
  <c r="K14" i="90" s="1"/>
  <c r="K18" i="90" s="1"/>
  <c r="J13" i="90"/>
  <c r="K13" i="90"/>
  <c r="J12" i="90"/>
  <c r="K12" i="90"/>
  <c r="J965" i="87"/>
  <c r="K965" i="87"/>
  <c r="J964" i="87"/>
  <c r="K964" i="87"/>
  <c r="J963" i="87"/>
  <c r="K963" i="87"/>
  <c r="J962" i="87"/>
  <c r="J941" i="87"/>
  <c r="K941" i="87" s="1"/>
  <c r="J940" i="87"/>
  <c r="K940" i="87"/>
  <c r="J939" i="87"/>
  <c r="K939" i="87" s="1"/>
  <c r="J938" i="87"/>
  <c r="K938" i="87"/>
  <c r="J937" i="87"/>
  <c r="K937" i="87"/>
  <c r="J936" i="87"/>
  <c r="K936" i="87"/>
  <c r="J935" i="87"/>
  <c r="K935" i="87" s="1"/>
  <c r="J934" i="87"/>
  <c r="K934" i="87" s="1"/>
  <c r="J933" i="87"/>
  <c r="K933" i="87" s="1"/>
  <c r="J928" i="87"/>
  <c r="K928" i="87"/>
  <c r="J927" i="87"/>
  <c r="K927" i="87"/>
  <c r="J926" i="87"/>
  <c r="J925" i="87"/>
  <c r="K925" i="87" s="1"/>
  <c r="J924" i="87"/>
  <c r="K924" i="87" s="1"/>
  <c r="J919" i="87"/>
  <c r="K919" i="87" s="1"/>
  <c r="J918" i="87"/>
  <c r="K918" i="87"/>
  <c r="J917" i="87"/>
  <c r="K917" i="87" s="1"/>
  <c r="J916" i="87"/>
  <c r="K916" i="87"/>
  <c r="J913" i="87"/>
  <c r="K913" i="87" s="1"/>
  <c r="J912" i="87"/>
  <c r="K912" i="87" s="1"/>
  <c r="J911" i="87"/>
  <c r="K911" i="87" s="1"/>
  <c r="J910" i="87"/>
  <c r="K910" i="87" s="1"/>
  <c r="J909" i="87"/>
  <c r="K909" i="87"/>
  <c r="J908" i="87"/>
  <c r="K908" i="87"/>
  <c r="J907" i="87"/>
  <c r="K907" i="87" s="1"/>
  <c r="J906" i="87"/>
  <c r="K906" i="87"/>
  <c r="J905" i="87"/>
  <c r="K905" i="87"/>
  <c r="J904" i="87"/>
  <c r="K904" i="87" s="1"/>
  <c r="J903" i="87"/>
  <c r="K903" i="87" s="1"/>
  <c r="J902" i="87"/>
  <c r="K902" i="87" s="1"/>
  <c r="J901" i="87"/>
  <c r="K901" i="87"/>
  <c r="J900" i="87"/>
  <c r="K900" i="87"/>
  <c r="J899" i="87"/>
  <c r="K899" i="87"/>
  <c r="J898" i="87"/>
  <c r="K898" i="87"/>
  <c r="J897" i="87"/>
  <c r="K897" i="87"/>
  <c r="J896" i="87"/>
  <c r="K896" i="87" s="1"/>
  <c r="J895" i="87"/>
  <c r="K895" i="87" s="1"/>
  <c r="J894" i="87"/>
  <c r="K894" i="87"/>
  <c r="J889" i="87"/>
  <c r="K889" i="87" s="1"/>
  <c r="J888" i="87"/>
  <c r="K888" i="87"/>
  <c r="J887" i="87"/>
  <c r="K887" i="87"/>
  <c r="J886" i="87"/>
  <c r="K886" i="87"/>
  <c r="J885" i="87"/>
  <c r="K885" i="87" s="1"/>
  <c r="J884" i="87"/>
  <c r="K884" i="87" s="1"/>
  <c r="J883" i="87"/>
  <c r="K883" i="87" s="1"/>
  <c r="J882" i="87"/>
  <c r="K882" i="87"/>
  <c r="J881" i="87"/>
  <c r="K881" i="87" s="1"/>
  <c r="J880" i="87"/>
  <c r="K880" i="87" s="1"/>
  <c r="J879" i="87"/>
  <c r="K879" i="87"/>
  <c r="J878" i="87"/>
  <c r="K878" i="87"/>
  <c r="J877" i="87"/>
  <c r="K877" i="87" s="1"/>
  <c r="J876" i="87"/>
  <c r="K876" i="87" s="1"/>
  <c r="J875" i="87"/>
  <c r="K875" i="87" s="1"/>
  <c r="J874" i="87"/>
  <c r="K874" i="87"/>
  <c r="J873" i="87"/>
  <c r="K873" i="87" s="1"/>
  <c r="J872" i="87"/>
  <c r="K872" i="87"/>
  <c r="J871" i="87"/>
  <c r="K871" i="87" s="1"/>
  <c r="J870" i="87"/>
  <c r="K870" i="87"/>
  <c r="J869" i="87"/>
  <c r="K869" i="87" s="1"/>
  <c r="J868" i="87"/>
  <c r="K868" i="87"/>
  <c r="J867" i="87"/>
  <c r="K867" i="87" s="1"/>
  <c r="J866" i="87"/>
  <c r="K866" i="87"/>
  <c r="J865" i="87"/>
  <c r="K865" i="87"/>
  <c r="J864" i="87"/>
  <c r="K864" i="87" s="1"/>
  <c r="J863" i="87"/>
  <c r="K863" i="87" s="1"/>
  <c r="J862" i="87"/>
  <c r="K862" i="87" s="1"/>
  <c r="J859" i="87"/>
  <c r="K859" i="87"/>
  <c r="J858" i="87"/>
  <c r="K858" i="87"/>
  <c r="J857" i="87"/>
  <c r="K857" i="87" s="1"/>
  <c r="J850" i="87"/>
  <c r="K850" i="87"/>
  <c r="J849" i="87"/>
  <c r="K849" i="87" s="1"/>
  <c r="J848" i="87"/>
  <c r="K848" i="87" s="1"/>
  <c r="J847" i="87"/>
  <c r="K847" i="87" s="1"/>
  <c r="J846" i="87"/>
  <c r="K846" i="87" s="1"/>
  <c r="J845" i="87"/>
  <c r="K845" i="87" s="1"/>
  <c r="J844" i="87"/>
  <c r="K844" i="87"/>
  <c r="J843" i="87"/>
  <c r="K843" i="87" s="1"/>
  <c r="J842" i="87"/>
  <c r="K842" i="87"/>
  <c r="J841" i="87"/>
  <c r="K841" i="87" s="1"/>
  <c r="J840" i="87"/>
  <c r="K840" i="87" s="1"/>
  <c r="J839" i="87"/>
  <c r="K839" i="87" s="1"/>
  <c r="J838" i="87"/>
  <c r="K838" i="87" s="1"/>
  <c r="J837" i="87"/>
  <c r="K837" i="87" s="1"/>
  <c r="J836" i="87"/>
  <c r="K836" i="87"/>
  <c r="J835" i="87"/>
  <c r="K835" i="87"/>
  <c r="J834" i="87"/>
  <c r="K834" i="87"/>
  <c r="J833" i="87"/>
  <c r="K833" i="87"/>
  <c r="J832" i="87"/>
  <c r="K832" i="87" s="1"/>
  <c r="J831" i="87"/>
  <c r="K831" i="87" s="1"/>
  <c r="J830" i="87"/>
  <c r="K830" i="87"/>
  <c r="J829" i="87"/>
  <c r="K829" i="87"/>
  <c r="J828" i="87"/>
  <c r="K828" i="87" s="1"/>
  <c r="J827" i="87"/>
  <c r="K827" i="87" s="1"/>
  <c r="J826" i="87"/>
  <c r="K826" i="87"/>
  <c r="J825" i="87"/>
  <c r="K825" i="87"/>
  <c r="J824" i="87"/>
  <c r="K824" i="87"/>
  <c r="J823" i="87"/>
  <c r="K823" i="87" s="1"/>
  <c r="J820" i="87"/>
  <c r="K820" i="87"/>
  <c r="J819" i="87"/>
  <c r="K819" i="87"/>
  <c r="J818" i="87"/>
  <c r="K818" i="87"/>
  <c r="J817" i="87"/>
  <c r="K817" i="87"/>
  <c r="J816" i="87"/>
  <c r="K816" i="87"/>
  <c r="J815" i="87"/>
  <c r="K815" i="87"/>
  <c r="J814" i="87"/>
  <c r="K814" i="87" s="1"/>
  <c r="J813" i="87"/>
  <c r="K813" i="87" s="1"/>
  <c r="J812" i="87"/>
  <c r="K812" i="87"/>
  <c r="J811" i="87"/>
  <c r="K811" i="87" s="1"/>
  <c r="J810" i="87"/>
  <c r="K810" i="87"/>
  <c r="J809" i="87"/>
  <c r="K809" i="87" s="1"/>
  <c r="J808" i="87"/>
  <c r="K808" i="87"/>
  <c r="J807" i="87"/>
  <c r="K807" i="87" s="1"/>
  <c r="J806" i="87"/>
  <c r="K806" i="87"/>
  <c r="J805" i="87"/>
  <c r="K805" i="87" s="1"/>
  <c r="J804" i="87"/>
  <c r="K804" i="87"/>
  <c r="J803" i="87"/>
  <c r="K803" i="87"/>
  <c r="J802" i="87"/>
  <c r="K802" i="87"/>
  <c r="J801" i="87"/>
  <c r="K801" i="87" s="1"/>
  <c r="J795" i="87"/>
  <c r="K795" i="87"/>
  <c r="J794" i="87"/>
  <c r="K794" i="87" s="1"/>
  <c r="J793" i="87"/>
  <c r="K793" i="87" s="1"/>
  <c r="J792" i="87"/>
  <c r="K792" i="87" s="1"/>
  <c r="J791" i="87"/>
  <c r="K791" i="87" s="1"/>
  <c r="J790" i="87"/>
  <c r="K790" i="87" s="1"/>
  <c r="J789" i="87"/>
  <c r="K789" i="87"/>
  <c r="J788" i="87"/>
  <c r="K788" i="87" s="1"/>
  <c r="J787" i="87"/>
  <c r="K787" i="87"/>
  <c r="J786" i="87"/>
  <c r="K786" i="87" s="1"/>
  <c r="J785" i="87"/>
  <c r="K785" i="87" s="1"/>
  <c r="J784" i="87"/>
  <c r="K784" i="87" s="1"/>
  <c r="J783" i="87"/>
  <c r="K783" i="87"/>
  <c r="J782" i="87"/>
  <c r="K782" i="87" s="1"/>
  <c r="J781" i="87"/>
  <c r="K781" i="87"/>
  <c r="J780" i="87"/>
  <c r="K780" i="87" s="1"/>
  <c r="J779" i="87"/>
  <c r="K779" i="87"/>
  <c r="J778" i="87"/>
  <c r="K778" i="87"/>
  <c r="J777" i="87"/>
  <c r="K777" i="87" s="1"/>
  <c r="J776" i="87"/>
  <c r="K776" i="87"/>
  <c r="J775" i="87"/>
  <c r="K775" i="87"/>
  <c r="J774" i="87"/>
  <c r="K774" i="87" s="1"/>
  <c r="J773" i="87"/>
  <c r="K773" i="87" s="1"/>
  <c r="J772" i="87"/>
  <c r="K772" i="87" s="1"/>
  <c r="J771" i="87"/>
  <c r="K771" i="87" s="1"/>
  <c r="J770" i="87"/>
  <c r="K770" i="87"/>
  <c r="J769" i="87"/>
  <c r="K769" i="87"/>
  <c r="J766" i="87"/>
  <c r="K766" i="87"/>
  <c r="J765" i="87"/>
  <c r="K765" i="87" s="1"/>
  <c r="J764" i="87"/>
  <c r="K764" i="87" s="1"/>
  <c r="J757" i="87"/>
  <c r="K757" i="87" s="1"/>
  <c r="J756" i="87"/>
  <c r="K756" i="87" s="1"/>
  <c r="J755" i="87"/>
  <c r="K755" i="87" s="1"/>
  <c r="J754" i="87"/>
  <c r="K754" i="87"/>
  <c r="J753" i="87"/>
  <c r="K753" i="87" s="1"/>
  <c r="J752" i="87"/>
  <c r="K752" i="87"/>
  <c r="J751" i="87"/>
  <c r="K751" i="87"/>
  <c r="J750" i="87"/>
  <c r="K750" i="87" s="1"/>
  <c r="J749" i="87"/>
  <c r="K749" i="87" s="1"/>
  <c r="J748" i="87"/>
  <c r="K748" i="87" s="1"/>
  <c r="J747" i="87"/>
  <c r="K747" i="87" s="1"/>
  <c r="J746" i="87"/>
  <c r="K746" i="87"/>
  <c r="J745" i="87"/>
  <c r="K745" i="87"/>
  <c r="J744" i="87"/>
  <c r="K744" i="87"/>
  <c r="J743" i="87"/>
  <c r="K743" i="87" s="1"/>
  <c r="J742" i="87"/>
  <c r="K742" i="87" s="1"/>
  <c r="J741" i="87"/>
  <c r="K741" i="87" s="1"/>
  <c r="J740" i="87"/>
  <c r="K740" i="87"/>
  <c r="J739" i="87"/>
  <c r="K739" i="87" s="1"/>
  <c r="J738" i="87"/>
  <c r="K738" i="87" s="1"/>
  <c r="J737" i="87"/>
  <c r="K737" i="87" s="1"/>
  <c r="J736" i="87"/>
  <c r="K736" i="87"/>
  <c r="J735" i="87"/>
  <c r="K735" i="87" s="1"/>
  <c r="J734" i="87"/>
  <c r="K734" i="87"/>
  <c r="J733" i="87"/>
  <c r="K733" i="87" s="1"/>
  <c r="J732" i="87"/>
  <c r="K732" i="87"/>
  <c r="J731" i="87"/>
  <c r="K731" i="87"/>
  <c r="J730" i="87"/>
  <c r="K730" i="87" s="1"/>
  <c r="J719" i="87"/>
  <c r="K719" i="87" s="1"/>
  <c r="J718" i="87"/>
  <c r="K718" i="87"/>
  <c r="J717" i="87"/>
  <c r="K717" i="87" s="1"/>
  <c r="J716" i="87"/>
  <c r="K716" i="87" s="1"/>
  <c r="J715" i="87"/>
  <c r="J714" i="87"/>
  <c r="K714" i="87"/>
  <c r="J713" i="87"/>
  <c r="K713" i="87" s="1"/>
  <c r="J712" i="87"/>
  <c r="K712" i="87"/>
  <c r="J711" i="87"/>
  <c r="K711" i="87" s="1"/>
  <c r="J710" i="87"/>
  <c r="K710" i="87" s="1"/>
  <c r="J709" i="87"/>
  <c r="J704" i="87"/>
  <c r="K704" i="87" s="1"/>
  <c r="J703" i="87"/>
  <c r="K703" i="87" s="1"/>
  <c r="J702" i="87"/>
  <c r="K702" i="87" s="1"/>
  <c r="J701" i="87"/>
  <c r="K701" i="87"/>
  <c r="J700" i="87"/>
  <c r="K700" i="87" s="1"/>
  <c r="J699" i="87"/>
  <c r="K699" i="87"/>
  <c r="J698" i="87"/>
  <c r="K698" i="87"/>
  <c r="J697" i="87"/>
  <c r="K697" i="87"/>
  <c r="J696" i="87"/>
  <c r="K696" i="87" s="1"/>
  <c r="J695" i="87"/>
  <c r="K695" i="87" s="1"/>
  <c r="J694" i="87"/>
  <c r="K694" i="87"/>
  <c r="J693" i="87"/>
  <c r="K693" i="87"/>
  <c r="J692" i="87"/>
  <c r="K692" i="87"/>
  <c r="J691" i="87"/>
  <c r="K691" i="87" s="1"/>
  <c r="J690" i="87"/>
  <c r="K690" i="87"/>
  <c r="J689" i="87"/>
  <c r="K689" i="87"/>
  <c r="J688" i="87"/>
  <c r="K688" i="87" s="1"/>
  <c r="J687" i="87"/>
  <c r="K687" i="87" s="1"/>
  <c r="J686" i="87"/>
  <c r="K686" i="87" s="1"/>
  <c r="J685" i="87"/>
  <c r="K685" i="87"/>
  <c r="J684" i="87"/>
  <c r="K684" i="87"/>
  <c r="J683" i="87"/>
  <c r="K683" i="87"/>
  <c r="J682" i="87"/>
  <c r="K682" i="87"/>
  <c r="J681" i="87"/>
  <c r="K681" i="87"/>
  <c r="J680" i="87"/>
  <c r="K680" i="87" s="1"/>
  <c r="J679" i="87"/>
  <c r="K679" i="87" s="1"/>
  <c r="J678" i="87"/>
  <c r="K678" i="87" s="1"/>
  <c r="J677" i="87"/>
  <c r="K677" i="87"/>
  <c r="J676" i="87"/>
  <c r="K676" i="87" s="1"/>
  <c r="J673" i="87"/>
  <c r="J672" i="87"/>
  <c r="K672" i="87" s="1"/>
  <c r="J665" i="87"/>
  <c r="K665" i="87"/>
  <c r="J664" i="87"/>
  <c r="K664" i="87"/>
  <c r="J663" i="87"/>
  <c r="K663" i="87"/>
  <c r="J662" i="87"/>
  <c r="K662" i="87"/>
  <c r="J661" i="87"/>
  <c r="K661" i="87"/>
  <c r="J660" i="87"/>
  <c r="K660" i="87" s="1"/>
  <c r="J659" i="87"/>
  <c r="K659" i="87" s="1"/>
  <c r="J658" i="87"/>
  <c r="K658" i="87" s="1"/>
  <c r="J657" i="87"/>
  <c r="K657" i="87"/>
  <c r="J656" i="87"/>
  <c r="K656" i="87"/>
  <c r="J655" i="87"/>
  <c r="K655" i="87"/>
  <c r="J654" i="87"/>
  <c r="K654" i="87"/>
  <c r="J653" i="87"/>
  <c r="K653" i="87"/>
  <c r="J652" i="87"/>
  <c r="K652" i="87" s="1"/>
  <c r="J651" i="87"/>
  <c r="K651" i="87" s="1"/>
  <c r="J650" i="87"/>
  <c r="K650" i="87"/>
  <c r="J649" i="87"/>
  <c r="K649" i="87"/>
  <c r="J648" i="87"/>
  <c r="K648" i="87" s="1"/>
  <c r="J647" i="87"/>
  <c r="K647" i="87" s="1"/>
  <c r="J644" i="87"/>
  <c r="K644" i="87" s="1"/>
  <c r="J643" i="87"/>
  <c r="K643" i="87"/>
  <c r="J642" i="87"/>
  <c r="K642" i="87" s="1"/>
  <c r="J641" i="87"/>
  <c r="K641" i="87"/>
  <c r="J640" i="87"/>
  <c r="K640" i="87"/>
  <c r="J639" i="87"/>
  <c r="K639" i="87"/>
  <c r="J638" i="87"/>
  <c r="K638" i="87" s="1"/>
  <c r="J637" i="87"/>
  <c r="J636" i="87"/>
  <c r="K636" i="87"/>
  <c r="J629" i="87"/>
  <c r="K629" i="87"/>
  <c r="J628" i="87"/>
  <c r="K628" i="87"/>
  <c r="J627" i="87"/>
  <c r="K627" i="87" s="1"/>
  <c r="J626" i="87"/>
  <c r="K626" i="87" s="1"/>
  <c r="J625" i="87"/>
  <c r="K625" i="87"/>
  <c r="J624" i="87"/>
  <c r="K624" i="87" s="1"/>
  <c r="J623" i="87"/>
  <c r="K623" i="87"/>
  <c r="J622" i="87"/>
  <c r="K622" i="87"/>
  <c r="J621" i="87"/>
  <c r="K621" i="87"/>
  <c r="J620" i="87"/>
  <c r="K620" i="87" s="1"/>
  <c r="J619" i="87"/>
  <c r="K619" i="87" s="1"/>
  <c r="J618" i="87"/>
  <c r="K618" i="87" s="1"/>
  <c r="J617" i="87"/>
  <c r="K617" i="87"/>
  <c r="J616" i="87"/>
  <c r="K616" i="87"/>
  <c r="J615" i="87"/>
  <c r="K615" i="87" s="1"/>
  <c r="J614" i="87"/>
  <c r="K614" i="87"/>
  <c r="J613" i="87"/>
  <c r="K613" i="87"/>
  <c r="J612" i="87"/>
  <c r="K612" i="87"/>
  <c r="J611" i="87"/>
  <c r="K611" i="87" s="1"/>
  <c r="J608" i="87"/>
  <c r="K608" i="87"/>
  <c r="J607" i="87"/>
  <c r="K607" i="87"/>
  <c r="J600" i="87"/>
  <c r="K600" i="87" s="1"/>
  <c r="J599" i="87"/>
  <c r="K599" i="87" s="1"/>
  <c r="J598" i="87"/>
  <c r="K598" i="87" s="1"/>
  <c r="J597" i="87"/>
  <c r="K597" i="87"/>
  <c r="J596" i="87"/>
  <c r="K596" i="87"/>
  <c r="J595" i="87"/>
  <c r="K595" i="87" s="1"/>
  <c r="J594" i="87"/>
  <c r="K594" i="87"/>
  <c r="J593" i="87"/>
  <c r="K593" i="87" s="1"/>
  <c r="J592" i="87"/>
  <c r="K592" i="87" s="1"/>
  <c r="J591" i="87"/>
  <c r="K591" i="87"/>
  <c r="J590" i="87"/>
  <c r="K590" i="87"/>
  <c r="J589" i="87"/>
  <c r="K589" i="87"/>
  <c r="J588" i="87"/>
  <c r="K588" i="87" s="1"/>
  <c r="J587" i="87"/>
  <c r="K587" i="87"/>
  <c r="J586" i="87"/>
  <c r="K586" i="87" s="1"/>
  <c r="K609" i="87" s="1"/>
  <c r="J585" i="87"/>
  <c r="K585" i="87"/>
  <c r="J584" i="87"/>
  <c r="K584" i="87" s="1"/>
  <c r="J583" i="87"/>
  <c r="K583" i="87"/>
  <c r="J580" i="87"/>
  <c r="K580" i="87"/>
  <c r="J579" i="87"/>
  <c r="K579" i="87"/>
  <c r="J578" i="87"/>
  <c r="K578" i="87"/>
  <c r="J577" i="87"/>
  <c r="K577" i="87"/>
  <c r="J576" i="87"/>
  <c r="K576" i="87" s="1"/>
  <c r="J575" i="87"/>
  <c r="K575" i="87" s="1"/>
  <c r="J574" i="87"/>
  <c r="K574" i="87"/>
  <c r="J573" i="87"/>
  <c r="K573" i="87"/>
  <c r="J572" i="87"/>
  <c r="K572" i="87"/>
  <c r="J571" i="87"/>
  <c r="K571" i="87"/>
  <c r="J566" i="87"/>
  <c r="K566" i="87" s="1"/>
  <c r="J565" i="87"/>
  <c r="K565" i="87" s="1"/>
  <c r="J564" i="87"/>
  <c r="K564" i="87" s="1"/>
  <c r="J563" i="87"/>
  <c r="K563" i="87"/>
  <c r="J562" i="87"/>
  <c r="K562" i="87"/>
  <c r="J561" i="87"/>
  <c r="K561" i="87"/>
  <c r="J560" i="87"/>
  <c r="K560" i="87"/>
  <c r="J559" i="87"/>
  <c r="K559" i="87"/>
  <c r="J558" i="87"/>
  <c r="K558" i="87"/>
  <c r="J557" i="87"/>
  <c r="K557" i="87"/>
  <c r="J556" i="87"/>
  <c r="K556" i="87" s="1"/>
  <c r="J555" i="87"/>
  <c r="K555" i="87"/>
  <c r="J554" i="87"/>
  <c r="K554" i="87"/>
  <c r="J553" i="87"/>
  <c r="K553" i="87"/>
  <c r="J552" i="87"/>
  <c r="K552" i="87" s="1"/>
  <c r="J551" i="87"/>
  <c r="K551" i="87"/>
  <c r="J550" i="87"/>
  <c r="K550" i="87" s="1"/>
  <c r="J549" i="87"/>
  <c r="K549" i="87"/>
  <c r="J548" i="87"/>
  <c r="K548" i="87" s="1"/>
  <c r="J547" i="87"/>
  <c r="K547" i="87"/>
  <c r="J544" i="87"/>
  <c r="K544" i="87" s="1"/>
  <c r="J543" i="87"/>
  <c r="K543" i="87" s="1"/>
  <c r="J536" i="87"/>
  <c r="K536" i="87"/>
  <c r="J535" i="87"/>
  <c r="K535" i="87" s="1"/>
  <c r="J534" i="87"/>
  <c r="K534" i="87" s="1"/>
  <c r="J533" i="87"/>
  <c r="K533" i="87" s="1"/>
  <c r="J532" i="87"/>
  <c r="K532" i="87"/>
  <c r="J531" i="87"/>
  <c r="K531" i="87"/>
  <c r="J530" i="87"/>
  <c r="K530" i="87" s="1"/>
  <c r="J529" i="87"/>
  <c r="K529" i="87" s="1"/>
  <c r="J528" i="87"/>
  <c r="K528" i="87"/>
  <c r="J527" i="87"/>
  <c r="K527" i="87" s="1"/>
  <c r="J526" i="87"/>
  <c r="K526" i="87" s="1"/>
  <c r="J525" i="87"/>
  <c r="K525" i="87" s="1"/>
  <c r="J524" i="87"/>
  <c r="K524" i="87" s="1"/>
  <c r="J523" i="87"/>
  <c r="K523" i="87" s="1"/>
  <c r="J522" i="87"/>
  <c r="K522" i="87"/>
  <c r="J521" i="87"/>
  <c r="K521" i="87" s="1"/>
  <c r="J520" i="87"/>
  <c r="K520" i="87"/>
  <c r="J519" i="87"/>
  <c r="K519" i="87"/>
  <c r="J516" i="87"/>
  <c r="K516" i="87" s="1"/>
  <c r="J515" i="87"/>
  <c r="K515" i="87" s="1"/>
  <c r="J514" i="87"/>
  <c r="K514" i="87" s="1"/>
  <c r="J513" i="87"/>
  <c r="K513" i="87"/>
  <c r="J512" i="87"/>
  <c r="K512" i="87"/>
  <c r="J511" i="87"/>
  <c r="K511" i="87" s="1"/>
  <c r="J510" i="87"/>
  <c r="K510" i="87"/>
  <c r="J509" i="87"/>
  <c r="K509" i="87"/>
  <c r="J508" i="87"/>
  <c r="K508" i="87" s="1"/>
  <c r="J501" i="87"/>
  <c r="K501" i="87" s="1"/>
  <c r="J500" i="87"/>
  <c r="K500" i="87" s="1"/>
  <c r="J499" i="87"/>
  <c r="K499" i="87" s="1"/>
  <c r="J498" i="87"/>
  <c r="K498" i="87"/>
  <c r="J497" i="87"/>
  <c r="K497" i="87" s="1"/>
  <c r="J496" i="87"/>
  <c r="K496" i="87"/>
  <c r="J495" i="87"/>
  <c r="K495" i="87" s="1"/>
  <c r="J494" i="87"/>
  <c r="K494" i="87"/>
  <c r="J493" i="87"/>
  <c r="K493" i="87" s="1"/>
  <c r="J492" i="87"/>
  <c r="K492" i="87"/>
  <c r="J491" i="87"/>
  <c r="K491" i="87" s="1"/>
  <c r="J490" i="87"/>
  <c r="K490" i="87"/>
  <c r="J489" i="87"/>
  <c r="K489" i="87" s="1"/>
  <c r="J488" i="87"/>
  <c r="K488" i="87"/>
  <c r="J487" i="87"/>
  <c r="K487" i="87" s="1"/>
  <c r="J486" i="87"/>
  <c r="K486" i="87" s="1"/>
  <c r="J485" i="87"/>
  <c r="K485" i="87" s="1"/>
  <c r="J484" i="87"/>
  <c r="K484" i="87"/>
  <c r="J483" i="87"/>
  <c r="K483" i="87" s="1"/>
  <c r="J480" i="87"/>
  <c r="K480" i="87"/>
  <c r="J479" i="87"/>
  <c r="K479" i="87"/>
  <c r="J478" i="87"/>
  <c r="K478" i="87"/>
  <c r="J477" i="87"/>
  <c r="K477" i="87" s="1"/>
  <c r="J476" i="87"/>
  <c r="K476" i="87"/>
  <c r="J475" i="87"/>
  <c r="J474" i="87"/>
  <c r="K474" i="87"/>
  <c r="J473" i="87"/>
  <c r="K473" i="87"/>
  <c r="J472" i="87"/>
  <c r="K472" i="87" s="1"/>
  <c r="J465" i="87"/>
  <c r="K465" i="87" s="1"/>
  <c r="J464" i="87"/>
  <c r="K464" i="87"/>
  <c r="J463" i="87"/>
  <c r="K463" i="87"/>
  <c r="J462" i="87"/>
  <c r="K462" i="87" s="1"/>
  <c r="J461" i="87"/>
  <c r="K461" i="87" s="1"/>
  <c r="J460" i="87"/>
  <c r="K460" i="87"/>
  <c r="J459" i="87"/>
  <c r="K459" i="87"/>
  <c r="J458" i="87"/>
  <c r="J457" i="87"/>
  <c r="K457" i="87"/>
  <c r="J456" i="87"/>
  <c r="K456" i="87" s="1"/>
  <c r="J455" i="87"/>
  <c r="K455" i="87"/>
  <c r="J454" i="87"/>
  <c r="K454" i="87"/>
  <c r="J453" i="87"/>
  <c r="K453" i="87"/>
  <c r="J452" i="87"/>
  <c r="K452" i="87" s="1"/>
  <c r="J451" i="87"/>
  <c r="K451" i="87"/>
  <c r="J450" i="87"/>
  <c r="K450" i="87"/>
  <c r="J449" i="87"/>
  <c r="K449" i="87"/>
  <c r="J448" i="87"/>
  <c r="K448" i="87" s="1"/>
  <c r="J447" i="87"/>
  <c r="K447" i="87"/>
  <c r="J446" i="87"/>
  <c r="K446" i="87" s="1"/>
  <c r="J445" i="87"/>
  <c r="K445" i="87"/>
  <c r="J444" i="87"/>
  <c r="K444" i="87" s="1"/>
  <c r="J443" i="87"/>
  <c r="K443" i="87" s="1"/>
  <c r="J442" i="87"/>
  <c r="K442" i="87"/>
  <c r="J441" i="87"/>
  <c r="K441" i="87"/>
  <c r="J440" i="87"/>
  <c r="K440" i="87"/>
  <c r="J439" i="87"/>
  <c r="K439" i="87"/>
  <c r="J438" i="87"/>
  <c r="K438" i="87" s="1"/>
  <c r="J437" i="87"/>
  <c r="K437" i="87"/>
  <c r="J436" i="87"/>
  <c r="K436" i="87"/>
  <c r="J435" i="87"/>
  <c r="K435" i="87"/>
  <c r="J434" i="87"/>
  <c r="K434" i="87" s="1"/>
  <c r="J433" i="87"/>
  <c r="K433" i="87" s="1"/>
  <c r="J432" i="87"/>
  <c r="K432" i="87" s="1"/>
  <c r="J431" i="87"/>
  <c r="K431" i="87" s="1"/>
  <c r="J430" i="87"/>
  <c r="K430" i="87"/>
  <c r="J429" i="87"/>
  <c r="K429" i="87"/>
  <c r="J426" i="87"/>
  <c r="K426" i="87" s="1"/>
  <c r="J425" i="87"/>
  <c r="K425" i="87" s="1"/>
  <c r="J424" i="87"/>
  <c r="K424" i="87"/>
  <c r="J419" i="87"/>
  <c r="K419" i="87"/>
  <c r="J418" i="87"/>
  <c r="K418" i="87"/>
  <c r="J417" i="87"/>
  <c r="K417" i="87"/>
  <c r="J416" i="87"/>
  <c r="K416" i="87" s="1"/>
  <c r="J415" i="87"/>
  <c r="K415" i="87" s="1"/>
  <c r="J414" i="87"/>
  <c r="K414" i="87" s="1"/>
  <c r="J413" i="87"/>
  <c r="K413" i="87"/>
  <c r="J412" i="87"/>
  <c r="K412" i="87"/>
  <c r="J411" i="87"/>
  <c r="K411" i="87"/>
  <c r="J410" i="87"/>
  <c r="K410" i="87" s="1"/>
  <c r="J409" i="87"/>
  <c r="K409" i="87"/>
  <c r="J408" i="87"/>
  <c r="K408" i="87"/>
  <c r="J407" i="87"/>
  <c r="K407" i="87" s="1"/>
  <c r="J406" i="87"/>
  <c r="K406" i="87"/>
  <c r="J405" i="87"/>
  <c r="K405" i="87" s="1"/>
  <c r="J404" i="87"/>
  <c r="K404" i="87" s="1"/>
  <c r="J403" i="87"/>
  <c r="K403" i="87" s="1"/>
  <c r="J402" i="87"/>
  <c r="K402" i="87" s="1"/>
  <c r="J401" i="87"/>
  <c r="K401" i="87"/>
  <c r="J400" i="87"/>
  <c r="K400" i="87" s="1"/>
  <c r="J399" i="87"/>
  <c r="K399" i="87" s="1"/>
  <c r="J398" i="87"/>
  <c r="K398" i="87"/>
  <c r="J397" i="87"/>
  <c r="K397" i="87"/>
  <c r="J396" i="87"/>
  <c r="K396" i="87" s="1"/>
  <c r="J395" i="87"/>
  <c r="K395" i="87" s="1"/>
  <c r="J394" i="87"/>
  <c r="K394" i="87" s="1"/>
  <c r="J393" i="87"/>
  <c r="K393" i="87" s="1"/>
  <c r="J392" i="87"/>
  <c r="K392" i="87"/>
  <c r="J389" i="87"/>
  <c r="K389" i="87"/>
  <c r="J388" i="87"/>
  <c r="K388" i="87"/>
  <c r="J387" i="87"/>
  <c r="K387" i="87"/>
  <c r="J386" i="87"/>
  <c r="K386" i="87" s="1"/>
  <c r="J385" i="87"/>
  <c r="K385" i="87" s="1"/>
  <c r="J384" i="87"/>
  <c r="K384" i="87" s="1"/>
  <c r="J383" i="87"/>
  <c r="K383" i="87"/>
  <c r="J382" i="87"/>
  <c r="K382" i="87" s="1"/>
  <c r="J381" i="87"/>
  <c r="K381" i="87"/>
  <c r="J380" i="87"/>
  <c r="K380" i="87"/>
  <c r="J375" i="87"/>
  <c r="K375" i="87" s="1"/>
  <c r="J374" i="87"/>
  <c r="K374" i="87" s="1"/>
  <c r="J373" i="87"/>
  <c r="K373" i="87" s="1"/>
  <c r="J372" i="87"/>
  <c r="K372" i="87" s="1"/>
  <c r="J371" i="87"/>
  <c r="K371" i="87" s="1"/>
  <c r="J370" i="87"/>
  <c r="K370" i="87"/>
  <c r="J369" i="87"/>
  <c r="K369" i="87" s="1"/>
  <c r="J368" i="87"/>
  <c r="K368" i="87"/>
  <c r="J367" i="87"/>
  <c r="K367" i="87" s="1"/>
  <c r="J366" i="87"/>
  <c r="K366" i="87" s="1"/>
  <c r="J365" i="87"/>
  <c r="K365" i="87" s="1"/>
  <c r="J364" i="87"/>
  <c r="K364" i="87"/>
  <c r="J363" i="87"/>
  <c r="K363" i="87"/>
  <c r="J362" i="87"/>
  <c r="K362" i="87"/>
  <c r="J361" i="87"/>
  <c r="K361" i="87"/>
  <c r="J360" i="87"/>
  <c r="K360" i="87"/>
  <c r="J359" i="87"/>
  <c r="K359" i="87" s="1"/>
  <c r="J358" i="87"/>
  <c r="K358" i="87" s="1"/>
  <c r="J357" i="87"/>
  <c r="K357" i="87" s="1"/>
  <c r="J356" i="87"/>
  <c r="K356" i="87"/>
  <c r="J355" i="87"/>
  <c r="K355" i="87"/>
  <c r="J354" i="87"/>
  <c r="K354" i="87"/>
  <c r="J353" i="87"/>
  <c r="K353" i="87"/>
  <c r="J352" i="87"/>
  <c r="K352" i="87"/>
  <c r="J351" i="87"/>
  <c r="K351" i="87"/>
  <c r="J350" i="87"/>
  <c r="K350" i="87" s="1"/>
  <c r="J349" i="87"/>
  <c r="K349" i="87" s="1"/>
  <c r="J348" i="87"/>
  <c r="K348" i="87"/>
  <c r="J347" i="87"/>
  <c r="K347" i="87"/>
  <c r="J346" i="87"/>
  <c r="K346" i="87"/>
  <c r="J345" i="87"/>
  <c r="K345" i="87"/>
  <c r="J344" i="87"/>
  <c r="K344" i="87"/>
  <c r="J343" i="87"/>
  <c r="K343" i="87" s="1"/>
  <c r="J342" i="87"/>
  <c r="K342" i="87" s="1"/>
  <c r="J341" i="87"/>
  <c r="K341" i="87" s="1"/>
  <c r="J340" i="87"/>
  <c r="K340" i="87"/>
  <c r="J339" i="87"/>
  <c r="K339" i="87"/>
  <c r="J338" i="87"/>
  <c r="K338" i="87" s="1"/>
  <c r="J335" i="87"/>
  <c r="K335" i="87" s="1"/>
  <c r="J334" i="87"/>
  <c r="K334" i="87" s="1"/>
  <c r="J333" i="87"/>
  <c r="K333" i="87"/>
  <c r="J328" i="87"/>
  <c r="K328" i="87"/>
  <c r="J327" i="87"/>
  <c r="K327" i="87"/>
  <c r="J326" i="87"/>
  <c r="K326" i="87"/>
  <c r="J325" i="87"/>
  <c r="K325" i="87"/>
  <c r="J324" i="87"/>
  <c r="K324" i="87"/>
  <c r="J323" i="87"/>
  <c r="K323" i="87" s="1"/>
  <c r="J322" i="87"/>
  <c r="K322" i="87"/>
  <c r="J321" i="87"/>
  <c r="K321" i="87"/>
  <c r="J320" i="87"/>
  <c r="K320" i="87"/>
  <c r="J319" i="87"/>
  <c r="K319" i="87"/>
  <c r="J318" i="87"/>
  <c r="K318" i="87"/>
  <c r="J317" i="87"/>
  <c r="K317" i="87" s="1"/>
  <c r="J316" i="87"/>
  <c r="K316" i="87"/>
  <c r="J315" i="87"/>
  <c r="K315" i="87" s="1"/>
  <c r="J314" i="87"/>
  <c r="K314" i="87" s="1"/>
  <c r="J313" i="87"/>
  <c r="K313" i="87" s="1"/>
  <c r="J312" i="87"/>
  <c r="K312" i="87"/>
  <c r="J311" i="87"/>
  <c r="K311" i="87" s="1"/>
  <c r="J310" i="87"/>
  <c r="K310" i="87"/>
  <c r="J309" i="87"/>
  <c r="K309" i="87"/>
  <c r="J308" i="87"/>
  <c r="K308" i="87" s="1"/>
  <c r="J307" i="87"/>
  <c r="K307" i="87" s="1"/>
  <c r="J306" i="87"/>
  <c r="J305" i="87"/>
  <c r="K305" i="87" s="1"/>
  <c r="K336" i="87" s="1"/>
  <c r="J304" i="87"/>
  <c r="K304" i="87" s="1"/>
  <c r="J303" i="87"/>
  <c r="K303" i="87" s="1"/>
  <c r="J302" i="87"/>
  <c r="K302" i="87"/>
  <c r="J301" i="87"/>
  <c r="K301" i="87" s="1"/>
  <c r="J298" i="87"/>
  <c r="K298" i="87" s="1"/>
  <c r="J297" i="87"/>
  <c r="K297" i="87"/>
  <c r="J296" i="87"/>
  <c r="K296" i="87"/>
  <c r="J295" i="87"/>
  <c r="K295" i="87"/>
  <c r="J294" i="87"/>
  <c r="K294" i="87" s="1"/>
  <c r="J293" i="87"/>
  <c r="K293" i="87" s="1"/>
  <c r="J292" i="87"/>
  <c r="K292" i="87" s="1"/>
  <c r="J291" i="87"/>
  <c r="K291" i="87" s="1"/>
  <c r="J290" i="87"/>
  <c r="J289" i="87"/>
  <c r="K289" i="87"/>
  <c r="J284" i="87"/>
  <c r="K284" i="87" s="1"/>
  <c r="J283" i="87"/>
  <c r="K283" i="87" s="1"/>
  <c r="J282" i="87"/>
  <c r="K282" i="87"/>
  <c r="J281" i="87"/>
  <c r="K281" i="87"/>
  <c r="J280" i="87"/>
  <c r="K280" i="87"/>
  <c r="J279" i="87"/>
  <c r="K279" i="87"/>
  <c r="J278" i="87"/>
  <c r="K278" i="87" s="1"/>
  <c r="J277" i="87"/>
  <c r="K277" i="87"/>
  <c r="J276" i="87"/>
  <c r="K276" i="87"/>
  <c r="J275" i="87"/>
  <c r="K275" i="87"/>
  <c r="J274" i="87"/>
  <c r="K274" i="87"/>
  <c r="J273" i="87"/>
  <c r="K273" i="87" s="1"/>
  <c r="J272" i="87"/>
  <c r="K272" i="87" s="1"/>
  <c r="J271" i="87"/>
  <c r="K271" i="87" s="1"/>
  <c r="J270" i="87"/>
  <c r="K270" i="87"/>
  <c r="J269" i="87"/>
  <c r="K269" i="87" s="1"/>
  <c r="J268" i="87"/>
  <c r="K268" i="87" s="1"/>
  <c r="J267" i="87"/>
  <c r="K267" i="87"/>
  <c r="J266" i="87"/>
  <c r="K266" i="87" s="1"/>
  <c r="J265" i="87"/>
  <c r="K265" i="87" s="1"/>
  <c r="J264" i="87"/>
  <c r="K264" i="87" s="1"/>
  <c r="J263" i="87"/>
  <c r="K263" i="87"/>
  <c r="J262" i="87"/>
  <c r="K262" i="87"/>
  <c r="J261" i="87"/>
  <c r="K261" i="87" s="1"/>
  <c r="J260" i="87"/>
  <c r="K260" i="87" s="1"/>
  <c r="J259" i="87"/>
  <c r="K259" i="87"/>
  <c r="J258" i="87"/>
  <c r="K258" i="87"/>
  <c r="J257" i="87"/>
  <c r="K257" i="87" s="1"/>
  <c r="J256" i="87"/>
  <c r="K256" i="87" s="1"/>
  <c r="J255" i="87"/>
  <c r="K255" i="87"/>
  <c r="J254" i="87"/>
  <c r="K254" i="87"/>
  <c r="J253" i="87"/>
  <c r="K253" i="87"/>
  <c r="J252" i="87"/>
  <c r="K252" i="87" s="1"/>
  <c r="J251" i="87"/>
  <c r="K251" i="87"/>
  <c r="J250" i="87"/>
  <c r="K250" i="87" s="1"/>
  <c r="J249" i="87"/>
  <c r="K249" i="87"/>
  <c r="J248" i="87"/>
  <c r="K248" i="87" s="1"/>
  <c r="J247" i="87"/>
  <c r="K247" i="87"/>
  <c r="J244" i="87"/>
  <c r="K244" i="87"/>
  <c r="J243" i="87"/>
  <c r="K243" i="87"/>
  <c r="J242" i="87"/>
  <c r="K242" i="87" s="1"/>
  <c r="J241" i="87"/>
  <c r="K241" i="87"/>
  <c r="J240" i="87"/>
  <c r="K240" i="87"/>
  <c r="J239" i="87"/>
  <c r="K239" i="87"/>
  <c r="J238" i="87"/>
  <c r="K238" i="87" s="1"/>
  <c r="J237" i="87"/>
  <c r="K237" i="87"/>
  <c r="J236" i="87"/>
  <c r="K236" i="87"/>
  <c r="J235" i="87"/>
  <c r="K235" i="87"/>
  <c r="J234" i="87"/>
  <c r="K234" i="87" s="1"/>
  <c r="J227" i="87"/>
  <c r="K227" i="87" s="1"/>
  <c r="J226" i="87"/>
  <c r="K226" i="87"/>
  <c r="J225" i="87"/>
  <c r="K225" i="87"/>
  <c r="J224" i="87"/>
  <c r="K224" i="87" s="1"/>
  <c r="J223" i="87"/>
  <c r="K223" i="87"/>
  <c r="J222" i="87"/>
  <c r="K222" i="87"/>
  <c r="J221" i="87"/>
  <c r="K221" i="87"/>
  <c r="J220" i="87"/>
  <c r="K220" i="87" s="1"/>
  <c r="J219" i="87"/>
  <c r="K219" i="87" s="1"/>
  <c r="J218" i="87"/>
  <c r="K218" i="87"/>
  <c r="J217" i="87"/>
  <c r="K217" i="87"/>
  <c r="J216" i="87"/>
  <c r="K216" i="87"/>
  <c r="J215" i="87"/>
  <c r="K215" i="87"/>
  <c r="J214" i="87"/>
  <c r="K214" i="87"/>
  <c r="J213" i="87"/>
  <c r="K213" i="87"/>
  <c r="J212" i="87"/>
  <c r="K212" i="87" s="1"/>
  <c r="J211" i="87"/>
  <c r="K211" i="87" s="1"/>
  <c r="J210" i="87"/>
  <c r="K210" i="87"/>
  <c r="J209" i="87"/>
  <c r="K209" i="87"/>
  <c r="J208" i="87"/>
  <c r="K208" i="87"/>
  <c r="J207" i="87"/>
  <c r="K207" i="87"/>
  <c r="J206" i="87"/>
  <c r="K206" i="87"/>
  <c r="J205" i="87"/>
  <c r="K205" i="87" s="1"/>
  <c r="J204" i="87"/>
  <c r="K204" i="87"/>
  <c r="J203" i="87"/>
  <c r="K203" i="87" s="1"/>
  <c r="J202" i="87"/>
  <c r="K202" i="87" s="1"/>
  <c r="J201" i="87"/>
  <c r="K201" i="87" s="1"/>
  <c r="J200" i="87"/>
  <c r="K200" i="87"/>
  <c r="J199" i="87"/>
  <c r="K199" i="87"/>
  <c r="J198" i="87"/>
  <c r="K198" i="87"/>
  <c r="J197" i="87"/>
  <c r="K197" i="87"/>
  <c r="J196" i="87"/>
  <c r="K196" i="87"/>
  <c r="J195" i="87"/>
  <c r="K195" i="87" s="1"/>
  <c r="J194" i="87"/>
  <c r="K194" i="87" s="1"/>
  <c r="J193" i="87"/>
  <c r="K193" i="87" s="1"/>
  <c r="J192" i="87"/>
  <c r="K192" i="87"/>
  <c r="J191" i="87"/>
  <c r="K191" i="87" s="1"/>
  <c r="J188" i="87"/>
  <c r="K188" i="87"/>
  <c r="J187" i="87"/>
  <c r="K187" i="87"/>
  <c r="J186" i="87"/>
  <c r="K186" i="87"/>
  <c r="J181" i="87"/>
  <c r="K181" i="87" s="1"/>
  <c r="J180" i="87"/>
  <c r="K180" i="87" s="1"/>
  <c r="J179" i="87"/>
  <c r="K179" i="87" s="1"/>
  <c r="J178" i="87"/>
  <c r="K178" i="87" s="1"/>
  <c r="J177" i="87"/>
  <c r="K177" i="87"/>
  <c r="J176" i="87"/>
  <c r="K176" i="87" s="1"/>
  <c r="J175" i="87"/>
  <c r="K175" i="87" s="1"/>
  <c r="J174" i="87"/>
  <c r="K174" i="87"/>
  <c r="J173" i="87"/>
  <c r="K173" i="87"/>
  <c r="J172" i="87"/>
  <c r="K172" i="87" s="1"/>
  <c r="J171" i="87"/>
  <c r="K171" i="87" s="1"/>
  <c r="J170" i="87"/>
  <c r="K170" i="87" s="1"/>
  <c r="J169" i="87"/>
  <c r="K169" i="87"/>
  <c r="J168" i="87"/>
  <c r="K168" i="87"/>
  <c r="J167" i="87"/>
  <c r="K167" i="87" s="1"/>
  <c r="J166" i="87"/>
  <c r="K166" i="87"/>
  <c r="J165" i="87"/>
  <c r="K165" i="87"/>
  <c r="J164" i="87"/>
  <c r="K164" i="87"/>
  <c r="J163" i="87"/>
  <c r="K163" i="87"/>
  <c r="J162" i="87"/>
  <c r="K162" i="87"/>
  <c r="J161" i="87"/>
  <c r="K161" i="87"/>
  <c r="J160" i="87"/>
  <c r="K160" i="87" s="1"/>
  <c r="J159" i="87"/>
  <c r="K159" i="87" s="1"/>
  <c r="J158" i="87"/>
  <c r="K158" i="87"/>
  <c r="J155" i="87"/>
  <c r="K155" i="87" s="1"/>
  <c r="J154" i="87"/>
  <c r="K154" i="87"/>
  <c r="J153" i="87"/>
  <c r="K153" i="87"/>
  <c r="J152" i="87"/>
  <c r="K152" i="87"/>
  <c r="J151" i="87"/>
  <c r="K151" i="87"/>
  <c r="J150" i="87"/>
  <c r="K150" i="87" s="1"/>
  <c r="J149" i="87"/>
  <c r="K149" i="87" s="1"/>
  <c r="J148" i="87"/>
  <c r="K148" i="87"/>
  <c r="J147" i="87"/>
  <c r="K147" i="87" s="1"/>
  <c r="J146" i="87"/>
  <c r="K146" i="87"/>
  <c r="J141" i="87"/>
  <c r="K141" i="87"/>
  <c r="J140" i="87"/>
  <c r="K140" i="87"/>
  <c r="J139" i="87"/>
  <c r="K139" i="87" s="1"/>
  <c r="J138" i="87"/>
  <c r="K138" i="87"/>
  <c r="J137" i="87"/>
  <c r="K137" i="87" s="1"/>
  <c r="J136" i="87"/>
  <c r="K136" i="87" s="1"/>
  <c r="J135" i="87"/>
  <c r="K135" i="87" s="1"/>
  <c r="J134" i="87"/>
  <c r="K134" i="87" s="1"/>
  <c r="J133" i="87"/>
  <c r="K133" i="87" s="1"/>
  <c r="J132" i="87"/>
  <c r="K132" i="87" s="1"/>
  <c r="J131" i="87"/>
  <c r="K131" i="87"/>
  <c r="J130" i="87"/>
  <c r="K130" i="87"/>
  <c r="J129" i="87"/>
  <c r="K129" i="87"/>
  <c r="J128" i="87"/>
  <c r="K128" i="87"/>
  <c r="J127" i="87"/>
  <c r="K127" i="87" s="1"/>
  <c r="J126" i="87"/>
  <c r="K126" i="87"/>
  <c r="J125" i="87"/>
  <c r="K125" i="87" s="1"/>
  <c r="J124" i="87"/>
  <c r="K124" i="87" s="1"/>
  <c r="J123" i="87"/>
  <c r="K123" i="87" s="1"/>
  <c r="J122" i="87"/>
  <c r="K122" i="87"/>
  <c r="J121" i="87"/>
  <c r="K121" i="87"/>
  <c r="J120" i="87"/>
  <c r="K120" i="87"/>
  <c r="J119" i="87"/>
  <c r="K119" i="87" s="1"/>
  <c r="J118" i="87"/>
  <c r="K118" i="87"/>
  <c r="J115" i="87"/>
  <c r="K115" i="87" s="1"/>
  <c r="J114" i="87"/>
  <c r="K114" i="87" s="1"/>
  <c r="J113" i="87"/>
  <c r="K113" i="87" s="1"/>
  <c r="J112" i="87"/>
  <c r="K112" i="87" s="1"/>
  <c r="J111" i="87"/>
  <c r="K111" i="87"/>
  <c r="J110" i="87"/>
  <c r="K110" i="87" s="1"/>
  <c r="J109" i="87"/>
  <c r="K109" i="87" s="1"/>
  <c r="J108" i="87"/>
  <c r="K108" i="87" s="1"/>
  <c r="J107" i="87"/>
  <c r="K107" i="87"/>
  <c r="J106" i="87"/>
  <c r="K106" i="87"/>
  <c r="J101" i="87"/>
  <c r="K101" i="87" s="1"/>
  <c r="J100" i="87"/>
  <c r="K100" i="87" s="1"/>
  <c r="J99" i="87"/>
  <c r="K99" i="87"/>
  <c r="J98" i="87"/>
  <c r="K98" i="87"/>
  <c r="J97" i="87"/>
  <c r="K97" i="87" s="1"/>
  <c r="J96" i="87"/>
  <c r="K96" i="87" s="1"/>
  <c r="J95" i="87"/>
  <c r="K95" i="87"/>
  <c r="J94" i="87"/>
  <c r="K94" i="87" s="1"/>
  <c r="J93" i="87"/>
  <c r="K93" i="87" s="1"/>
  <c r="J92" i="87"/>
  <c r="K92" i="87" s="1"/>
  <c r="J91" i="87"/>
  <c r="K91" i="87"/>
  <c r="J90" i="87"/>
  <c r="K90" i="87"/>
  <c r="J89" i="87"/>
  <c r="K89" i="87" s="1"/>
  <c r="J88" i="87"/>
  <c r="K88" i="87" s="1"/>
  <c r="J87" i="87"/>
  <c r="K87" i="87"/>
  <c r="J86" i="87"/>
  <c r="K86" i="87" s="1"/>
  <c r="J85" i="87"/>
  <c r="K85" i="87"/>
  <c r="J84" i="87"/>
  <c r="K84" i="87"/>
  <c r="J83" i="87"/>
  <c r="K83" i="87"/>
  <c r="J82" i="87"/>
  <c r="K82" i="87" s="1"/>
  <c r="J81" i="87"/>
  <c r="K81" i="87" s="1"/>
  <c r="J80" i="87"/>
  <c r="K80" i="87" s="1"/>
  <c r="J79" i="87"/>
  <c r="K79" i="87"/>
  <c r="J78" i="87"/>
  <c r="K78" i="87"/>
  <c r="J75" i="87"/>
  <c r="K75" i="87"/>
  <c r="J74" i="87"/>
  <c r="K74" i="87"/>
  <c r="J73" i="87"/>
  <c r="K73" i="87"/>
  <c r="J68" i="87"/>
  <c r="K68" i="87"/>
  <c r="J67" i="87"/>
  <c r="K67" i="87"/>
  <c r="J66" i="87"/>
  <c r="K66" i="87" s="1"/>
  <c r="J65" i="87"/>
  <c r="K65" i="87" s="1"/>
  <c r="J64" i="87"/>
  <c r="K64" i="87"/>
  <c r="J63" i="87"/>
  <c r="K63" i="87"/>
  <c r="J62" i="87"/>
  <c r="K62" i="87"/>
  <c r="J61" i="87"/>
  <c r="K61" i="87"/>
  <c r="J60" i="87"/>
  <c r="K60" i="87" s="1"/>
  <c r="J59" i="87"/>
  <c r="K59" i="87" s="1"/>
  <c r="J58" i="87"/>
  <c r="K58" i="87"/>
  <c r="J57" i="87"/>
  <c r="K57" i="87"/>
  <c r="J56" i="87"/>
  <c r="K56" i="87" s="1"/>
  <c r="J55" i="87"/>
  <c r="K55" i="87" s="1"/>
  <c r="J54" i="87"/>
  <c r="K54" i="87"/>
  <c r="J53" i="87"/>
  <c r="K53" i="87" s="1"/>
  <c r="J52" i="87"/>
  <c r="K52" i="87"/>
  <c r="J51" i="87"/>
  <c r="K51" i="87"/>
  <c r="J50" i="87"/>
  <c r="K50" i="87"/>
  <c r="J49" i="87"/>
  <c r="K49" i="87"/>
  <c r="J48" i="87"/>
  <c r="K48" i="87" s="1"/>
  <c r="J47" i="87"/>
  <c r="K47" i="87" s="1"/>
  <c r="J46" i="87"/>
  <c r="K46" i="87"/>
  <c r="J43" i="87"/>
  <c r="K43" i="87"/>
  <c r="J42" i="87"/>
  <c r="K42" i="87" s="1"/>
  <c r="J41" i="87"/>
  <c r="K41" i="87"/>
  <c r="J40" i="87"/>
  <c r="K40" i="87"/>
  <c r="J39" i="87"/>
  <c r="K39" i="87"/>
  <c r="J38" i="87"/>
  <c r="K38" i="87" s="1"/>
  <c r="J37" i="87"/>
  <c r="K37" i="87" s="1"/>
  <c r="J36" i="87"/>
  <c r="K36" i="87"/>
  <c r="J35" i="87"/>
  <c r="J34" i="87"/>
  <c r="K34" i="87" s="1"/>
  <c r="J30" i="87"/>
  <c r="K30" i="87"/>
  <c r="J29" i="87"/>
  <c r="K29" i="87" s="1"/>
  <c r="J28" i="87"/>
  <c r="K28" i="87"/>
  <c r="J27" i="87"/>
  <c r="K27" i="87"/>
  <c r="J26" i="87"/>
  <c r="K26" i="87"/>
  <c r="J25" i="87"/>
  <c r="K25" i="87"/>
  <c r="J24" i="87"/>
  <c r="K24" i="87"/>
  <c r="J23" i="87"/>
  <c r="K23" i="87" s="1"/>
  <c r="J22" i="87"/>
  <c r="K22" i="87" s="1"/>
  <c r="J21" i="87"/>
  <c r="K21" i="87" s="1"/>
  <c r="J20" i="87"/>
  <c r="K20" i="87"/>
  <c r="J19" i="87"/>
  <c r="K19" i="87" s="1"/>
  <c r="J18" i="87"/>
  <c r="K18" i="87"/>
  <c r="J17" i="87"/>
  <c r="K17" i="87"/>
  <c r="J16" i="87"/>
  <c r="K16" i="87" s="1"/>
  <c r="J15" i="87"/>
  <c r="K15" i="87"/>
  <c r="J14" i="87"/>
  <c r="K14" i="87" s="1"/>
  <c r="J13" i="87"/>
  <c r="K13" i="87" s="1"/>
  <c r="J12" i="87"/>
  <c r="K12" i="87"/>
  <c r="J11" i="87"/>
  <c r="K11" i="87"/>
  <c r="J10" i="87"/>
  <c r="K10" i="87"/>
  <c r="J9" i="87"/>
  <c r="K9" i="87" s="1"/>
  <c r="J8" i="87"/>
  <c r="K8" i="87" s="1"/>
  <c r="J7" i="87"/>
  <c r="K7" i="87"/>
  <c r="J57" i="88"/>
  <c r="J56" i="88"/>
  <c r="J55" i="88"/>
  <c r="J54" i="88"/>
  <c r="J51" i="88"/>
  <c r="J50" i="88"/>
  <c r="J49" i="88"/>
  <c r="J48" i="88"/>
  <c r="J45" i="88"/>
  <c r="J44" i="88"/>
  <c r="J43" i="88"/>
  <c r="K43" i="88" s="1"/>
  <c r="J42" i="88"/>
  <c r="J39" i="88"/>
  <c r="K39" i="88" s="1"/>
  <c r="J38" i="88"/>
  <c r="K38" i="88"/>
  <c r="J37" i="88"/>
  <c r="K37" i="88" s="1"/>
  <c r="J36" i="88"/>
  <c r="K36" i="88"/>
  <c r="J33" i="88"/>
  <c r="K33" i="88" s="1"/>
  <c r="J32" i="88"/>
  <c r="J31" i="88"/>
  <c r="K31" i="88" s="1"/>
  <c r="K34" i="88" s="1"/>
  <c r="J30" i="88"/>
  <c r="K30" i="88"/>
  <c r="J27" i="88"/>
  <c r="K27" i="88"/>
  <c r="J26" i="88"/>
  <c r="J25" i="88"/>
  <c r="K25" i="88" s="1"/>
  <c r="K28" i="88" s="1"/>
  <c r="J24" i="88"/>
  <c r="K24" i="88"/>
  <c r="J21" i="88"/>
  <c r="J20" i="88"/>
  <c r="K20" i="88"/>
  <c r="J19" i="88"/>
  <c r="J18" i="88"/>
  <c r="K18" i="88" s="1"/>
  <c r="J15" i="88"/>
  <c r="J14" i="88"/>
  <c r="K14" i="88" s="1"/>
  <c r="J13" i="88"/>
  <c r="J12" i="88"/>
  <c r="K12" i="88" s="1"/>
  <c r="J6" i="87"/>
  <c r="K6" i="87"/>
  <c r="J6" i="89"/>
  <c r="K6" i="89"/>
  <c r="J271" i="94"/>
  <c r="K271" i="94"/>
  <c r="J269" i="94"/>
  <c r="K269" i="94"/>
  <c r="J268" i="94"/>
  <c r="K268" i="94"/>
  <c r="J267" i="94"/>
  <c r="K267" i="94" s="1"/>
  <c r="J251" i="94"/>
  <c r="K251" i="94" s="1"/>
  <c r="J250" i="94"/>
  <c r="K250" i="94" s="1"/>
  <c r="J249" i="94"/>
  <c r="K249" i="94"/>
  <c r="J248" i="94"/>
  <c r="K248" i="94" s="1"/>
  <c r="J247" i="94"/>
  <c r="K247" i="94" s="1"/>
  <c r="J246" i="94"/>
  <c r="K246" i="94" s="1"/>
  <c r="J245" i="94"/>
  <c r="K245" i="94"/>
  <c r="J244" i="94"/>
  <c r="K244" i="94"/>
  <c r="J243" i="94"/>
  <c r="K243" i="94" s="1"/>
  <c r="J242" i="94"/>
  <c r="K242" i="94" s="1"/>
  <c r="J241" i="94"/>
  <c r="K241" i="94"/>
  <c r="J240" i="94"/>
  <c r="K240" i="94" s="1"/>
  <c r="J239" i="94"/>
  <c r="K239" i="94" s="1"/>
  <c r="J238" i="94"/>
  <c r="K238" i="94" s="1"/>
  <c r="K273" i="94" s="1"/>
  <c r="J237" i="94"/>
  <c r="K237" i="94"/>
  <c r="J236" i="94"/>
  <c r="K236" i="94" s="1"/>
  <c r="J235" i="94"/>
  <c r="K235" i="94" s="1"/>
  <c r="J234" i="94"/>
  <c r="K234" i="94" s="1"/>
  <c r="J233" i="94"/>
  <c r="K233" i="94"/>
  <c r="J232" i="94"/>
  <c r="K232" i="94"/>
  <c r="J231" i="94"/>
  <c r="K231" i="94" s="1"/>
  <c r="J230" i="94"/>
  <c r="K230" i="94" s="1"/>
  <c r="J229" i="94"/>
  <c r="K229" i="94"/>
  <c r="J228" i="94"/>
  <c r="K228" i="94"/>
  <c r="J227" i="94"/>
  <c r="K227" i="94" s="1"/>
  <c r="J226" i="94"/>
  <c r="K226" i="94" s="1"/>
  <c r="J225" i="94"/>
  <c r="K225" i="94"/>
  <c r="J224" i="94"/>
  <c r="K224" i="94" s="1"/>
  <c r="J223" i="94"/>
  <c r="K223" i="94"/>
  <c r="J222" i="94"/>
  <c r="K222" i="94" s="1"/>
  <c r="J221" i="94"/>
  <c r="K221" i="94"/>
  <c r="J220" i="94"/>
  <c r="K220" i="94"/>
  <c r="J217" i="94"/>
  <c r="K217" i="94" s="1"/>
  <c r="J216" i="94"/>
  <c r="K216" i="94" s="1"/>
  <c r="J215" i="94"/>
  <c r="K215" i="94"/>
  <c r="J214" i="94"/>
  <c r="K214" i="94"/>
  <c r="J213" i="94"/>
  <c r="K213" i="94"/>
  <c r="J212" i="94"/>
  <c r="K212" i="94"/>
  <c r="J211" i="94"/>
  <c r="K211" i="94"/>
  <c r="J210" i="94"/>
  <c r="K210" i="94" s="1"/>
  <c r="J209" i="94"/>
  <c r="K209" i="94" s="1"/>
  <c r="J208" i="94"/>
  <c r="K208" i="94" s="1"/>
  <c r="J207" i="94"/>
  <c r="K207" i="94"/>
  <c r="J206" i="94"/>
  <c r="K206" i="94"/>
  <c r="J205" i="94"/>
  <c r="K205" i="94" s="1"/>
  <c r="J204" i="94"/>
  <c r="K204" i="94" s="1"/>
  <c r="J203" i="94"/>
  <c r="K203" i="94"/>
  <c r="J202" i="94"/>
  <c r="K202" i="94"/>
  <c r="J201" i="94"/>
  <c r="K201" i="94" s="1"/>
  <c r="J200" i="94"/>
  <c r="K200" i="94" s="1"/>
  <c r="J199" i="94"/>
  <c r="K199" i="94"/>
  <c r="J198" i="94"/>
  <c r="K198" i="94"/>
  <c r="J197" i="94"/>
  <c r="K197" i="94"/>
  <c r="J196" i="94"/>
  <c r="K196" i="94" s="1"/>
  <c r="J195" i="94"/>
  <c r="K195" i="94"/>
  <c r="J194" i="94"/>
  <c r="J193" i="94"/>
  <c r="K193" i="94"/>
  <c r="J192" i="94"/>
  <c r="K192" i="94"/>
  <c r="J191" i="94"/>
  <c r="K191" i="94"/>
  <c r="J190" i="94"/>
  <c r="K190" i="94"/>
  <c r="J189" i="94"/>
  <c r="K189" i="94"/>
  <c r="J188" i="94"/>
  <c r="K188" i="94"/>
  <c r="J187" i="94"/>
  <c r="K187" i="94" s="1"/>
  <c r="J186" i="94"/>
  <c r="K186" i="94" s="1"/>
  <c r="J185" i="94"/>
  <c r="K185" i="94"/>
  <c r="J184" i="94"/>
  <c r="K184" i="94"/>
  <c r="J183" i="94"/>
  <c r="K183" i="94"/>
  <c r="J182" i="94"/>
  <c r="K182" i="94" s="1"/>
  <c r="J181" i="94"/>
  <c r="K181" i="94"/>
  <c r="J180" i="94"/>
  <c r="K180" i="94"/>
  <c r="J179" i="94"/>
  <c r="K179" i="94" s="1"/>
  <c r="J178" i="94"/>
  <c r="K178" i="94" s="1"/>
  <c r="J177" i="94"/>
  <c r="K177" i="94" s="1"/>
  <c r="J176" i="94"/>
  <c r="K176" i="94" s="1"/>
  <c r="J175" i="94"/>
  <c r="K175" i="94" s="1"/>
  <c r="J174" i="94"/>
  <c r="K174" i="94" s="1"/>
  <c r="J173" i="94"/>
  <c r="K173" i="94" s="1"/>
  <c r="J172" i="94"/>
  <c r="K172" i="94"/>
  <c r="J171" i="94"/>
  <c r="K171" i="94"/>
  <c r="J170" i="94"/>
  <c r="K170" i="94"/>
  <c r="J169" i="94"/>
  <c r="K169" i="94" s="1"/>
  <c r="J168" i="94"/>
  <c r="K168" i="94" s="1"/>
  <c r="J167" i="94"/>
  <c r="K167" i="94" s="1"/>
  <c r="J166" i="94"/>
  <c r="K166" i="94"/>
  <c r="J165" i="94"/>
  <c r="J164" i="94"/>
  <c r="K164" i="94"/>
  <c r="J163" i="94"/>
  <c r="K163" i="94"/>
  <c r="J162" i="94"/>
  <c r="K162" i="94" s="1"/>
  <c r="J161" i="94"/>
  <c r="K161" i="94"/>
  <c r="J160" i="94"/>
  <c r="K160" i="94" s="1"/>
  <c r="J159" i="94"/>
  <c r="K159" i="94"/>
  <c r="J158" i="94"/>
  <c r="J157" i="94"/>
  <c r="K157" i="94" s="1"/>
  <c r="J156" i="94"/>
  <c r="K156" i="94"/>
  <c r="J155" i="94"/>
  <c r="K155" i="94"/>
  <c r="J154" i="94"/>
  <c r="K154" i="94"/>
  <c r="J153" i="94"/>
  <c r="K153" i="94"/>
  <c r="J152" i="94"/>
  <c r="K152" i="94" s="1"/>
  <c r="K281" i="94" s="1"/>
  <c r="J151" i="94"/>
  <c r="K151" i="94" s="1"/>
  <c r="J148" i="94"/>
  <c r="K148" i="94" s="1"/>
  <c r="J147" i="94"/>
  <c r="K147" i="94" s="1"/>
  <c r="J146" i="94"/>
  <c r="K146" i="94" s="1"/>
  <c r="J145" i="94"/>
  <c r="K145" i="94"/>
  <c r="J144" i="94"/>
  <c r="K144" i="94"/>
  <c r="J143" i="94"/>
  <c r="K143" i="94"/>
  <c r="J142" i="94"/>
  <c r="K142" i="94" s="1"/>
  <c r="J141" i="94"/>
  <c r="K141" i="94" s="1"/>
  <c r="J140" i="94"/>
  <c r="K140" i="94" s="1"/>
  <c r="J139" i="94"/>
  <c r="K139" i="94" s="1"/>
  <c r="J136" i="94"/>
  <c r="K136" i="94"/>
  <c r="J135" i="94"/>
  <c r="K135" i="94" s="1"/>
  <c r="J134" i="94"/>
  <c r="K134" i="94"/>
  <c r="J133" i="94"/>
  <c r="K133" i="94"/>
  <c r="J132" i="94"/>
  <c r="K132" i="94"/>
  <c r="J131" i="94"/>
  <c r="K131" i="94" s="1"/>
  <c r="J130" i="94"/>
  <c r="K130" i="94" s="1"/>
  <c r="J129" i="94"/>
  <c r="K129" i="94"/>
  <c r="J128" i="94"/>
  <c r="K128" i="94" s="1"/>
  <c r="J127" i="94"/>
  <c r="K127" i="94" s="1"/>
  <c r="J126" i="94"/>
  <c r="K126" i="94" s="1"/>
  <c r="J125" i="94"/>
  <c r="K125" i="94"/>
  <c r="J124" i="94"/>
  <c r="K124" i="94"/>
  <c r="J123" i="94"/>
  <c r="K123" i="94" s="1"/>
  <c r="J122" i="94"/>
  <c r="K122" i="94" s="1"/>
  <c r="J121" i="94"/>
  <c r="K121" i="94"/>
  <c r="J120" i="94"/>
  <c r="K120" i="94" s="1"/>
  <c r="J111" i="94"/>
  <c r="K111" i="94"/>
  <c r="J110" i="94"/>
  <c r="K110" i="94" s="1"/>
  <c r="J109" i="94"/>
  <c r="K109" i="94"/>
  <c r="J108" i="94"/>
  <c r="K108" i="94"/>
  <c r="J107" i="94"/>
  <c r="K107" i="94" s="1"/>
  <c r="J106" i="94"/>
  <c r="K106" i="94" s="1"/>
  <c r="J105" i="94"/>
  <c r="K105" i="94"/>
  <c r="J104" i="94"/>
  <c r="K104" i="94"/>
  <c r="J103" i="94"/>
  <c r="K103" i="94" s="1"/>
  <c r="J102" i="94"/>
  <c r="K102" i="94" s="1"/>
  <c r="J101" i="94"/>
  <c r="K101" i="94"/>
  <c r="J100" i="94"/>
  <c r="K100" i="94" s="1"/>
  <c r="J99" i="94"/>
  <c r="K99" i="94" s="1"/>
  <c r="J98" i="94"/>
  <c r="K98" i="94" s="1"/>
  <c r="J97" i="94"/>
  <c r="K97" i="94"/>
  <c r="J96" i="94"/>
  <c r="K96" i="94"/>
  <c r="J95" i="94"/>
  <c r="K95" i="94" s="1"/>
  <c r="J94" i="94"/>
  <c r="K94" i="94"/>
  <c r="J93" i="94"/>
  <c r="K93" i="94"/>
  <c r="J92" i="94"/>
  <c r="K92" i="94" s="1"/>
  <c r="J91" i="94"/>
  <c r="K91" i="94" s="1"/>
  <c r="J90" i="94"/>
  <c r="K90" i="94" s="1"/>
  <c r="J89" i="94"/>
  <c r="K89" i="94"/>
  <c r="J88" i="94"/>
  <c r="K88" i="94"/>
  <c r="J87" i="94"/>
  <c r="K87" i="94"/>
  <c r="J86" i="94"/>
  <c r="K86" i="94" s="1"/>
  <c r="J85" i="94"/>
  <c r="K85" i="94"/>
  <c r="J84" i="94"/>
  <c r="K84" i="94"/>
  <c r="J83" i="94"/>
  <c r="K83" i="94" s="1"/>
  <c r="J82" i="94"/>
  <c r="K82" i="94" s="1"/>
  <c r="K137" i="94" s="1"/>
  <c r="J81" i="94"/>
  <c r="K81" i="94" s="1"/>
  <c r="J80" i="94"/>
  <c r="K80" i="94"/>
  <c r="J77" i="94"/>
  <c r="K77" i="94"/>
  <c r="J76" i="94"/>
  <c r="K76" i="94"/>
  <c r="J75" i="94"/>
  <c r="K75" i="94"/>
  <c r="J74" i="94"/>
  <c r="J73" i="94"/>
  <c r="K73" i="94"/>
  <c r="J72" i="94"/>
  <c r="K72" i="94"/>
  <c r="J71" i="94"/>
  <c r="K71" i="94"/>
  <c r="J70" i="94"/>
  <c r="K70" i="94"/>
  <c r="J69" i="94"/>
  <c r="K69" i="94" s="1"/>
  <c r="J68" i="94"/>
  <c r="K68" i="94" s="1"/>
  <c r="J67" i="94"/>
  <c r="K67" i="94" s="1"/>
  <c r="J66" i="94"/>
  <c r="K66" i="94"/>
  <c r="J65" i="94"/>
  <c r="K65" i="94"/>
  <c r="J64" i="94"/>
  <c r="K64" i="94"/>
  <c r="J63" i="94"/>
  <c r="K63" i="94"/>
  <c r="J62" i="94"/>
  <c r="K62" i="94" s="1"/>
  <c r="J61" i="94"/>
  <c r="K61" i="94"/>
  <c r="J60" i="94"/>
  <c r="K60" i="94"/>
  <c r="J59" i="94"/>
  <c r="K59" i="94" s="1"/>
  <c r="J58" i="94"/>
  <c r="K58" i="94"/>
  <c r="J57" i="94"/>
  <c r="K57" i="94"/>
  <c r="J56" i="94"/>
  <c r="K56" i="94"/>
  <c r="J55" i="94"/>
  <c r="K55" i="94"/>
  <c r="J54" i="94"/>
  <c r="K54" i="94"/>
  <c r="J53" i="94"/>
  <c r="K53" i="94"/>
  <c r="J52" i="94"/>
  <c r="K52" i="94" s="1"/>
  <c r="J51" i="94"/>
  <c r="K51" i="94" s="1"/>
  <c r="J50" i="94"/>
  <c r="K50" i="94"/>
  <c r="J49" i="94"/>
  <c r="K49" i="94"/>
  <c r="J48" i="94"/>
  <c r="K48" i="94"/>
  <c r="J47" i="94"/>
  <c r="K47" i="94"/>
  <c r="J46" i="94"/>
  <c r="K46" i="94"/>
  <c r="J45" i="94"/>
  <c r="K45" i="94" s="1"/>
  <c r="J44" i="94"/>
  <c r="K44" i="94"/>
  <c r="J43" i="94"/>
  <c r="K43" i="94" s="1"/>
  <c r="J42" i="94"/>
  <c r="K42" i="94" s="1"/>
  <c r="J41" i="94"/>
  <c r="K41" i="94"/>
  <c r="J40" i="94"/>
  <c r="K40" i="94"/>
  <c r="J39" i="94"/>
  <c r="K39" i="94"/>
  <c r="J38" i="94"/>
  <c r="K38" i="94" s="1"/>
  <c r="J37" i="94"/>
  <c r="K37" i="94" s="1"/>
  <c r="J36" i="94"/>
  <c r="K36" i="94"/>
  <c r="J35" i="94"/>
  <c r="K35" i="94" s="1"/>
  <c r="J34" i="94"/>
  <c r="K34" i="94"/>
  <c r="J33" i="94"/>
  <c r="K33" i="94"/>
  <c r="J32" i="94"/>
  <c r="K32" i="94"/>
  <c r="J31" i="94"/>
  <c r="K31" i="94"/>
  <c r="J30" i="94"/>
  <c r="K30" i="94"/>
  <c r="J29" i="94"/>
  <c r="K29" i="94"/>
  <c r="J28" i="94"/>
  <c r="K28" i="94" s="1"/>
  <c r="J27" i="94"/>
  <c r="K27" i="94" s="1"/>
  <c r="J26" i="94"/>
  <c r="K26" i="94" s="1"/>
  <c r="J25" i="94"/>
  <c r="K25" i="94" s="1"/>
  <c r="J24" i="94"/>
  <c r="J21" i="94"/>
  <c r="K21" i="94"/>
  <c r="J20" i="94"/>
  <c r="K20" i="94" s="1"/>
  <c r="J19" i="94"/>
  <c r="J18" i="94"/>
  <c r="K18" i="94"/>
  <c r="J17" i="94"/>
  <c r="K17" i="94" s="1"/>
  <c r="J16" i="94"/>
  <c r="K16" i="94"/>
  <c r="J15" i="94"/>
  <c r="K15" i="94"/>
  <c r="J14" i="94"/>
  <c r="K14" i="94"/>
  <c r="J13" i="94"/>
  <c r="K13" i="94"/>
  <c r="J12" i="94"/>
  <c r="K12" i="94"/>
  <c r="J11" i="94"/>
  <c r="K11" i="94"/>
  <c r="J10" i="94"/>
  <c r="K10" i="94" s="1"/>
  <c r="J9" i="94"/>
  <c r="K9" i="94" s="1"/>
  <c r="J8" i="94"/>
  <c r="K8" i="94"/>
  <c r="J7" i="94"/>
  <c r="K7" i="94" s="1"/>
  <c r="J6" i="94"/>
  <c r="K6" i="94"/>
  <c r="F13" i="101"/>
  <c r="I13" i="101"/>
  <c r="H14" i="101" s="1"/>
  <c r="F11" i="101"/>
  <c r="I11" i="101"/>
  <c r="F10" i="101"/>
  <c r="I10" i="101"/>
  <c r="H15" i="101" s="1"/>
  <c r="F9" i="100"/>
  <c r="O524" i="87"/>
  <c r="K32" i="88"/>
  <c r="K26" i="88"/>
  <c r="K21" i="88"/>
  <c r="K19" i="88"/>
  <c r="K15" i="88"/>
  <c r="K13" i="88"/>
  <c r="K16" i="88" s="1"/>
  <c r="K967" i="87"/>
  <c r="K966" i="87"/>
  <c r="K961" i="87"/>
  <c r="K960" i="87"/>
  <c r="K959" i="87"/>
  <c r="K958" i="87"/>
  <c r="K957" i="87"/>
  <c r="K956" i="87"/>
  <c r="K955" i="87"/>
  <c r="K954" i="87"/>
  <c r="K953" i="87"/>
  <c r="K952" i="87"/>
  <c r="K951" i="87"/>
  <c r="K950" i="87"/>
  <c r="K949" i="87"/>
  <c r="K948" i="87"/>
  <c r="K947" i="87"/>
  <c r="K946" i="87"/>
  <c r="K945" i="87"/>
  <c r="K944" i="87"/>
  <c r="K943" i="87"/>
  <c r="K942" i="87"/>
  <c r="K932" i="87"/>
  <c r="K931" i="87"/>
  <c r="K930" i="87"/>
  <c r="K929" i="87"/>
  <c r="K926" i="87"/>
  <c r="K923" i="87"/>
  <c r="K922" i="87"/>
  <c r="K921" i="87"/>
  <c r="K920" i="87"/>
  <c r="K893" i="87"/>
  <c r="K892" i="87"/>
  <c r="K891" i="87"/>
  <c r="K890" i="87"/>
  <c r="K856" i="87"/>
  <c r="K851" i="87"/>
  <c r="K796" i="87"/>
  <c r="K763" i="87"/>
  <c r="K758" i="87"/>
  <c r="K727" i="87"/>
  <c r="K726" i="87"/>
  <c r="K725" i="87"/>
  <c r="K724" i="87"/>
  <c r="K723" i="87"/>
  <c r="K722" i="87"/>
  <c r="K721" i="87"/>
  <c r="K720" i="87"/>
  <c r="K715" i="87"/>
  <c r="K709" i="87"/>
  <c r="K708" i="87"/>
  <c r="K707" i="87"/>
  <c r="K706" i="87"/>
  <c r="K705" i="87"/>
  <c r="K671" i="87"/>
  <c r="K666" i="87"/>
  <c r="K637" i="87"/>
  <c r="K635" i="87"/>
  <c r="K630" i="87"/>
  <c r="K606" i="87"/>
  <c r="K601" i="87"/>
  <c r="K542" i="87"/>
  <c r="K537" i="87"/>
  <c r="K507" i="87"/>
  <c r="K502" i="87"/>
  <c r="K475" i="87"/>
  <c r="K471" i="87"/>
  <c r="K470" i="87"/>
  <c r="K469" i="87"/>
  <c r="K468" i="87"/>
  <c r="K467" i="87"/>
  <c r="K466" i="87"/>
  <c r="K458" i="87"/>
  <c r="K306" i="87"/>
  <c r="K290" i="87"/>
  <c r="K233" i="87"/>
  <c r="K232" i="87"/>
  <c r="K231" i="87"/>
  <c r="K230" i="87"/>
  <c r="K229" i="87"/>
  <c r="K228" i="87"/>
  <c r="K33" i="87"/>
  <c r="K32" i="87"/>
  <c r="K31" i="87"/>
  <c r="K143" i="90"/>
  <c r="K142" i="90"/>
  <c r="K141" i="90"/>
  <c r="K140" i="90"/>
  <c r="K144" i="90"/>
  <c r="K137" i="90"/>
  <c r="K136" i="90"/>
  <c r="K135" i="90"/>
  <c r="K134" i="90"/>
  <c r="K138" i="90"/>
  <c r="K131" i="90"/>
  <c r="K130" i="90"/>
  <c r="K129" i="90"/>
  <c r="K128" i="90"/>
  <c r="K95" i="90"/>
  <c r="K94" i="90"/>
  <c r="K93" i="90"/>
  <c r="K92" i="90"/>
  <c r="K96" i="90"/>
  <c r="K77" i="90"/>
  <c r="K76" i="90"/>
  <c r="K75" i="90"/>
  <c r="K74" i="90"/>
  <c r="K65" i="90"/>
  <c r="K64" i="90"/>
  <c r="K63" i="90"/>
  <c r="K62" i="90"/>
  <c r="K66" i="90" s="1"/>
  <c r="K51" i="90"/>
  <c r="K41" i="90"/>
  <c r="K40" i="90"/>
  <c r="K39" i="90"/>
  <c r="K38" i="90"/>
  <c r="K162" i="90" s="1"/>
  <c r="K33" i="90"/>
  <c r="K27" i="90"/>
  <c r="K17" i="90"/>
  <c r="K16" i="90"/>
  <c r="K9" i="90"/>
  <c r="K8" i="90"/>
  <c r="K7" i="90"/>
  <c r="K6" i="90"/>
  <c r="K1013" i="89"/>
  <c r="K1012" i="89"/>
  <c r="K1011" i="89"/>
  <c r="K1010" i="89"/>
  <c r="K1009" i="89"/>
  <c r="K1008" i="89"/>
  <c r="K977" i="89"/>
  <c r="K976" i="89"/>
  <c r="K975" i="89"/>
  <c r="K974" i="89"/>
  <c r="K973" i="89"/>
  <c r="K972" i="89"/>
  <c r="K951" i="89"/>
  <c r="K944" i="89"/>
  <c r="K939" i="89"/>
  <c r="K909" i="89"/>
  <c r="K904" i="89"/>
  <c r="K882" i="89"/>
  <c r="K883" i="89"/>
  <c r="K877" i="89"/>
  <c r="K844" i="89"/>
  <c r="K843" i="89"/>
  <c r="K842" i="89"/>
  <c r="K841" i="89"/>
  <c r="K840" i="89"/>
  <c r="K839" i="89"/>
  <c r="K803" i="89"/>
  <c r="K802" i="89"/>
  <c r="K801" i="89"/>
  <c r="K800" i="89"/>
  <c r="K799" i="89"/>
  <c r="K798" i="89"/>
  <c r="K759" i="89"/>
  <c r="K758" i="89"/>
  <c r="K757" i="89"/>
  <c r="K756" i="89"/>
  <c r="K755" i="89"/>
  <c r="K754" i="89"/>
  <c r="K744" i="89"/>
  <c r="K740" i="89"/>
  <c r="K677" i="89"/>
  <c r="K640" i="89"/>
  <c r="K635" i="89"/>
  <c r="K587" i="89"/>
  <c r="K582" i="89"/>
  <c r="K545" i="89"/>
  <c r="K540" i="89"/>
  <c r="K492" i="89"/>
  <c r="K491" i="89"/>
  <c r="K490" i="89"/>
  <c r="K489" i="89"/>
  <c r="K460" i="89"/>
  <c r="K455" i="89"/>
  <c r="K437" i="89"/>
  <c r="K391" i="89"/>
  <c r="K386" i="89"/>
  <c r="K373" i="89"/>
  <c r="K368" i="89"/>
  <c r="K322" i="89"/>
  <c r="K317" i="89"/>
  <c r="K237" i="89"/>
  <c r="K232" i="89"/>
  <c r="K45" i="89"/>
  <c r="K44" i="89"/>
  <c r="K43" i="89"/>
  <c r="K42" i="89"/>
  <c r="K41" i="89"/>
  <c r="K40" i="89"/>
  <c r="K30" i="89"/>
  <c r="K272" i="94"/>
  <c r="K270" i="94"/>
  <c r="K266" i="94"/>
  <c r="K265" i="94"/>
  <c r="K264" i="94"/>
  <c r="K263" i="94"/>
  <c r="K262" i="94"/>
  <c r="K261" i="94"/>
  <c r="K260" i="94"/>
  <c r="K259" i="94"/>
  <c r="K258" i="94"/>
  <c r="K257" i="94"/>
  <c r="K256" i="94"/>
  <c r="K255" i="94"/>
  <c r="K254" i="94"/>
  <c r="K253" i="94"/>
  <c r="K252" i="94"/>
  <c r="K194" i="94"/>
  <c r="K165" i="94"/>
  <c r="K158" i="94"/>
  <c r="K150" i="94"/>
  <c r="K149" i="94"/>
  <c r="K118" i="94"/>
  <c r="K117" i="94"/>
  <c r="K116" i="94"/>
  <c r="K115" i="94"/>
  <c r="K112" i="94"/>
  <c r="K23" i="94"/>
  <c r="K22" i="94"/>
  <c r="H111" i="88"/>
  <c r="K111" i="88"/>
  <c r="H110" i="88"/>
  <c r="H109" i="88"/>
  <c r="K109" i="88"/>
  <c r="H108" i="88"/>
  <c r="K108" i="88"/>
  <c r="H105" i="88"/>
  <c r="K105" i="88"/>
  <c r="H104" i="88"/>
  <c r="K104" i="88"/>
  <c r="H103" i="88"/>
  <c r="K103" i="88"/>
  <c r="H102" i="88"/>
  <c r="K102" i="88" s="1"/>
  <c r="H99" i="88"/>
  <c r="K99" i="88" s="1"/>
  <c r="H98" i="88"/>
  <c r="K98" i="88"/>
  <c r="H97" i="88"/>
  <c r="H96" i="88"/>
  <c r="K96" i="88"/>
  <c r="H93" i="88"/>
  <c r="K93" i="88"/>
  <c r="H92" i="88"/>
  <c r="K92" i="88"/>
  <c r="H91" i="88"/>
  <c r="K91" i="88" s="1"/>
  <c r="K94" i="88" s="1"/>
  <c r="H90" i="88"/>
  <c r="K90" i="88" s="1"/>
  <c r="H87" i="88"/>
  <c r="K87" i="88" s="1"/>
  <c r="H86" i="88"/>
  <c r="K86" i="88"/>
  <c r="H85" i="88"/>
  <c r="K85" i="88"/>
  <c r="H84" i="88"/>
  <c r="K84" i="88" s="1"/>
  <c r="H81" i="88"/>
  <c r="K81" i="88"/>
  <c r="H80" i="88"/>
  <c r="K80" i="88"/>
  <c r="H79" i="88"/>
  <c r="K79" i="88"/>
  <c r="H78" i="88"/>
  <c r="K78" i="88" s="1"/>
  <c r="H75" i="88"/>
  <c r="K75" i="88" s="1"/>
  <c r="H74" i="88"/>
  <c r="K74" i="88"/>
  <c r="H73" i="88"/>
  <c r="K73" i="88"/>
  <c r="H72" i="88"/>
  <c r="K72" i="88" s="1"/>
  <c r="K76" i="88" s="1"/>
  <c r="H69" i="88"/>
  <c r="K69" i="88" s="1"/>
  <c r="H68" i="88"/>
  <c r="K68" i="88"/>
  <c r="H67" i="88"/>
  <c r="K67" i="88"/>
  <c r="H66" i="88"/>
  <c r="K66" i="88"/>
  <c r="H63" i="88"/>
  <c r="K63" i="88"/>
  <c r="H62" i="88"/>
  <c r="H61" i="88"/>
  <c r="K61" i="88" s="1"/>
  <c r="H60" i="88"/>
  <c r="K60" i="88"/>
  <c r="H57" i="88"/>
  <c r="K57" i="88" s="1"/>
  <c r="H56" i="88"/>
  <c r="K56" i="88"/>
  <c r="H55" i="88"/>
  <c r="K55" i="88" s="1"/>
  <c r="H54" i="88"/>
  <c r="H51" i="88"/>
  <c r="H50" i="88"/>
  <c r="O50" i="88" s="1"/>
  <c r="K50" i="88"/>
  <c r="H49" i="88"/>
  <c r="K49" i="88"/>
  <c r="H48" i="88"/>
  <c r="H45" i="88"/>
  <c r="K45" i="88"/>
  <c r="H44" i="88"/>
  <c r="K44" i="88"/>
  <c r="H43" i="88"/>
  <c r="H42" i="88"/>
  <c r="H107" i="90"/>
  <c r="H106" i="90"/>
  <c r="K106" i="90" s="1"/>
  <c r="H105" i="90"/>
  <c r="H104" i="90"/>
  <c r="K104" i="90"/>
  <c r="H101" i="90"/>
  <c r="S101" i="90" s="1"/>
  <c r="K101" i="90"/>
  <c r="H100" i="90"/>
  <c r="S100" i="90" s="1"/>
  <c r="K100" i="90"/>
  <c r="H99" i="90"/>
  <c r="S99" i="90" s="1"/>
  <c r="K99" i="90"/>
  <c r="H98" i="90"/>
  <c r="H89" i="90"/>
  <c r="S89" i="90" s="1"/>
  <c r="K89" i="90"/>
  <c r="H88" i="90"/>
  <c r="H87" i="90"/>
  <c r="S87" i="90" s="1"/>
  <c r="K87" i="90"/>
  <c r="H86" i="90"/>
  <c r="H83" i="90"/>
  <c r="S83" i="90" s="1"/>
  <c r="S84" i="90" s="1"/>
  <c r="K83" i="90"/>
  <c r="H82" i="90"/>
  <c r="S82" i="90" s="1"/>
  <c r="K82" i="90"/>
  <c r="H81" i="90"/>
  <c r="S81" i="90" s="1"/>
  <c r="K81" i="90"/>
  <c r="H80" i="90"/>
  <c r="S80" i="90" s="1"/>
  <c r="K80" i="90"/>
  <c r="H71" i="90"/>
  <c r="S71" i="90" s="1"/>
  <c r="H70" i="90"/>
  <c r="S70" i="90" s="1"/>
  <c r="K70" i="90"/>
  <c r="H69" i="90"/>
  <c r="S69" i="90" s="1"/>
  <c r="K69" i="90"/>
  <c r="H68" i="90"/>
  <c r="K68" i="90"/>
  <c r="H59" i="90"/>
  <c r="S59" i="90" s="1"/>
  <c r="K59" i="90"/>
  <c r="H58" i="90"/>
  <c r="S58" i="90" s="1"/>
  <c r="K58" i="90"/>
  <c r="H57" i="90"/>
  <c r="H56" i="90"/>
  <c r="S56" i="90" s="1"/>
  <c r="K56" i="90"/>
  <c r="H47" i="90"/>
  <c r="S47" i="90" s="1"/>
  <c r="K47" i="90"/>
  <c r="H46" i="90"/>
  <c r="S46" i="90" s="1"/>
  <c r="K46" i="90"/>
  <c r="H45" i="90"/>
  <c r="S45" i="90" s="1"/>
  <c r="K45" i="90"/>
  <c r="H44" i="90"/>
  <c r="S44" i="90" s="1"/>
  <c r="K44" i="90"/>
  <c r="K48" i="90" s="1"/>
  <c r="O18" i="88"/>
  <c r="O22" i="88" s="1"/>
  <c r="R18" i="88"/>
  <c r="O19" i="88"/>
  <c r="R19" i="88"/>
  <c r="O20" i="88"/>
  <c r="R20" i="88"/>
  <c r="O21" i="88"/>
  <c r="R21" i="88"/>
  <c r="O673" i="87"/>
  <c r="O977" i="89"/>
  <c r="O978" i="89"/>
  <c r="O979" i="89"/>
  <c r="O980" i="89"/>
  <c r="O981" i="89"/>
  <c r="O982" i="89"/>
  <c r="O983" i="89"/>
  <c r="AB983" i="89" s="1"/>
  <c r="O984" i="89"/>
  <c r="AB984" i="89" s="1"/>
  <c r="O985" i="89"/>
  <c r="O986" i="89"/>
  <c r="O987" i="89"/>
  <c r="X673" i="87"/>
  <c r="Y599" i="87"/>
  <c r="Z599" i="87"/>
  <c r="Y598" i="87"/>
  <c r="Y593" i="87"/>
  <c r="Y592" i="87"/>
  <c r="W642" i="87"/>
  <c r="W628" i="87"/>
  <c r="X628" i="87" s="1"/>
  <c r="W627" i="87"/>
  <c r="W622" i="87"/>
  <c r="X622" i="87" s="1"/>
  <c r="W621" i="87"/>
  <c r="X621" i="87" s="1"/>
  <c r="W499" i="87"/>
  <c r="W181" i="87"/>
  <c r="X181" i="87" s="1"/>
  <c r="AB181" i="87" s="1"/>
  <c r="W27" i="87"/>
  <c r="X27" i="87"/>
  <c r="AB27" i="87" s="1"/>
  <c r="W26" i="87"/>
  <c r="W6" i="87"/>
  <c r="V912" i="87"/>
  <c r="V907" i="87"/>
  <c r="V885" i="87"/>
  <c r="V880" i="87"/>
  <c r="V858" i="87"/>
  <c r="Z858" i="87" s="1"/>
  <c r="V857" i="87"/>
  <c r="X857" i="87"/>
  <c r="V856" i="87"/>
  <c r="X856" i="87" s="1"/>
  <c r="V851" i="87"/>
  <c r="X851" i="87" s="1"/>
  <c r="Z851" i="87"/>
  <c r="V850" i="87"/>
  <c r="V849" i="87"/>
  <c r="V848" i="87"/>
  <c r="V847" i="87"/>
  <c r="Z847" i="87" s="1"/>
  <c r="V846" i="87"/>
  <c r="X846" i="87"/>
  <c r="V845" i="87"/>
  <c r="Z845" i="87"/>
  <c r="V844" i="87"/>
  <c r="V843" i="87"/>
  <c r="Z843" i="87" s="1"/>
  <c r="X843" i="87"/>
  <c r="AB843" i="87" s="1"/>
  <c r="V842" i="87"/>
  <c r="V841" i="87"/>
  <c r="V840" i="87"/>
  <c r="V838" i="87"/>
  <c r="V837" i="87"/>
  <c r="V836" i="87"/>
  <c r="X836" i="87" s="1"/>
  <c r="AB836" i="87" s="1"/>
  <c r="Z836" i="87"/>
  <c r="AC836" i="87" s="1"/>
  <c r="V835" i="87"/>
  <c r="V834" i="87"/>
  <c r="V833" i="87"/>
  <c r="V832" i="87"/>
  <c r="V831" i="87"/>
  <c r="V830" i="87"/>
  <c r="V829" i="87"/>
  <c r="X829" i="87" s="1"/>
  <c r="AB829" i="87" s="1"/>
  <c r="V828" i="87"/>
  <c r="V827" i="87"/>
  <c r="V826" i="87"/>
  <c r="X826" i="87"/>
  <c r="V825" i="87"/>
  <c r="V820" i="87"/>
  <c r="V819" i="87"/>
  <c r="V814" i="87"/>
  <c r="V813" i="87"/>
  <c r="V812" i="87"/>
  <c r="Z812" i="87" s="1"/>
  <c r="V811" i="87"/>
  <c r="Z811" i="87" s="1"/>
  <c r="V810" i="87"/>
  <c r="V809" i="87"/>
  <c r="V808" i="87"/>
  <c r="V807" i="87"/>
  <c r="Z807" i="87" s="1"/>
  <c r="V806" i="87"/>
  <c r="Z806" i="87" s="1"/>
  <c r="V805" i="87"/>
  <c r="V804" i="87"/>
  <c r="V803" i="87"/>
  <c r="V802" i="87"/>
  <c r="Z802" i="87"/>
  <c r="V801" i="87"/>
  <c r="V796" i="87"/>
  <c r="V795" i="87"/>
  <c r="V794" i="87"/>
  <c r="Z794" i="87"/>
  <c r="V793" i="87"/>
  <c r="V792" i="87"/>
  <c r="X792" i="87" s="1"/>
  <c r="Z792" i="87"/>
  <c r="V791" i="87"/>
  <c r="V790" i="87"/>
  <c r="Z790" i="87" s="1"/>
  <c r="V789" i="87"/>
  <c r="Z789" i="87" s="1"/>
  <c r="V788" i="87"/>
  <c r="V787" i="87"/>
  <c r="V786" i="87"/>
  <c r="Z786" i="87"/>
  <c r="AC786" i="87"/>
  <c r="V785" i="87"/>
  <c r="V784" i="87"/>
  <c r="V783" i="87"/>
  <c r="V782" i="87"/>
  <c r="Z782" i="87"/>
  <c r="V781" i="87"/>
  <c r="V780" i="87"/>
  <c r="X780" i="87" s="1"/>
  <c r="V779" i="87"/>
  <c r="V778" i="87"/>
  <c r="V777" i="87"/>
  <c r="V776" i="87"/>
  <c r="X776" i="87" s="1"/>
  <c r="V775" i="87"/>
  <c r="V774" i="87"/>
  <c r="V773" i="87"/>
  <c r="Z773" i="87" s="1"/>
  <c r="V772" i="87"/>
  <c r="V771" i="87"/>
  <c r="V770" i="87"/>
  <c r="Z770" i="87" s="1"/>
  <c r="V769" i="87"/>
  <c r="V766" i="87"/>
  <c r="V765" i="87"/>
  <c r="Z765" i="87" s="1"/>
  <c r="V764" i="87"/>
  <c r="X764" i="87" s="1"/>
  <c r="Z764" i="87"/>
  <c r="V763" i="87"/>
  <c r="V758" i="87"/>
  <c r="V757" i="87"/>
  <c r="V756" i="87"/>
  <c r="Z756" i="87" s="1"/>
  <c r="V755" i="87"/>
  <c r="V754" i="87"/>
  <c r="V753" i="87"/>
  <c r="V752" i="87"/>
  <c r="V751" i="87"/>
  <c r="V750" i="87"/>
  <c r="Z750" i="87" s="1"/>
  <c r="V749" i="87"/>
  <c r="V748" i="87"/>
  <c r="Z748" i="87"/>
  <c r="V747" i="87"/>
  <c r="Z747" i="87" s="1"/>
  <c r="V746" i="87"/>
  <c r="V745" i="87"/>
  <c r="V744" i="87"/>
  <c r="Z744" i="87" s="1"/>
  <c r="V743" i="87"/>
  <c r="V742" i="87"/>
  <c r="V741" i="87"/>
  <c r="V740" i="87"/>
  <c r="Z740" i="87"/>
  <c r="V739" i="87"/>
  <c r="V738" i="87"/>
  <c r="Z738" i="87"/>
  <c r="V737" i="87"/>
  <c r="V736" i="87"/>
  <c r="V735" i="87"/>
  <c r="X735" i="87" s="1"/>
  <c r="V734" i="87"/>
  <c r="V733" i="87"/>
  <c r="Z733" i="87"/>
  <c r="V732" i="87"/>
  <c r="Z732" i="87" s="1"/>
  <c r="V731" i="87"/>
  <c r="V730" i="87"/>
  <c r="Z730" i="87"/>
  <c r="V727" i="87"/>
  <c r="V726" i="87"/>
  <c r="X726" i="87"/>
  <c r="V721" i="87"/>
  <c r="V717" i="87"/>
  <c r="V716" i="87"/>
  <c r="V715" i="87"/>
  <c r="X715" i="87" s="1"/>
  <c r="V714" i="87"/>
  <c r="Z714" i="87" s="1"/>
  <c r="V713" i="87"/>
  <c r="X713" i="87"/>
  <c r="V712" i="87"/>
  <c r="V711" i="87"/>
  <c r="Z711" i="87" s="1"/>
  <c r="V710" i="87"/>
  <c r="V709" i="87"/>
  <c r="V708" i="87"/>
  <c r="V707" i="87"/>
  <c r="V706" i="87"/>
  <c r="V705" i="87"/>
  <c r="Z705" i="87" s="1"/>
  <c r="AC705" i="87"/>
  <c r="V704" i="87"/>
  <c r="V703" i="87"/>
  <c r="X703" i="87" s="1"/>
  <c r="V702" i="87"/>
  <c r="V701" i="87"/>
  <c r="V700" i="87"/>
  <c r="V699" i="87"/>
  <c r="Z699" i="87" s="1"/>
  <c r="AC699" i="87" s="1"/>
  <c r="V698" i="87"/>
  <c r="V697" i="87"/>
  <c r="Z697" i="87" s="1"/>
  <c r="V696" i="87"/>
  <c r="X696" i="87" s="1"/>
  <c r="AB696" i="87" s="1"/>
  <c r="V695" i="87"/>
  <c r="X695" i="87"/>
  <c r="V694" i="87"/>
  <c r="V693" i="87"/>
  <c r="V692" i="87"/>
  <c r="V691" i="87"/>
  <c r="V690" i="87"/>
  <c r="Z690" i="87" s="1"/>
  <c r="V689" i="87"/>
  <c r="X689" i="87" s="1"/>
  <c r="AB689" i="87" s="1"/>
  <c r="V688" i="87"/>
  <c r="V687" i="87"/>
  <c r="V686" i="87"/>
  <c r="V685" i="87"/>
  <c r="V684" i="87"/>
  <c r="Z684" i="87" s="1"/>
  <c r="AC684" i="87" s="1"/>
  <c r="V683" i="87"/>
  <c r="V682" i="87"/>
  <c r="V681" i="87"/>
  <c r="X681" i="87" s="1"/>
  <c r="V680" i="87"/>
  <c r="X680" i="87" s="1"/>
  <c r="V679" i="87"/>
  <c r="Z679" i="87"/>
  <c r="V678" i="87"/>
  <c r="V677" i="87"/>
  <c r="V671" i="87"/>
  <c r="V666" i="87"/>
  <c r="V665" i="87"/>
  <c r="V662" i="87"/>
  <c r="X662" i="87"/>
  <c r="V657" i="87"/>
  <c r="V654" i="87"/>
  <c r="V653" i="87"/>
  <c r="V652" i="87"/>
  <c r="V651" i="87"/>
  <c r="V650" i="87"/>
  <c r="V649" i="87"/>
  <c r="V648" i="87"/>
  <c r="X648" i="87" s="1"/>
  <c r="Z648" i="87"/>
  <c r="V647" i="87"/>
  <c r="Z647" i="87"/>
  <c r="V644" i="87"/>
  <c r="V643" i="87"/>
  <c r="X643" i="87" s="1"/>
  <c r="V642" i="87"/>
  <c r="V641" i="87"/>
  <c r="V640" i="87"/>
  <c r="V639" i="87"/>
  <c r="V638" i="87"/>
  <c r="X638" i="87" s="1"/>
  <c r="AB638" i="87"/>
  <c r="V637" i="87"/>
  <c r="V636" i="87"/>
  <c r="X636" i="87" s="1"/>
  <c r="Z636" i="87"/>
  <c r="V635" i="87"/>
  <c r="V630" i="87"/>
  <c r="V629" i="87"/>
  <c r="V626" i="87"/>
  <c r="Z626" i="87" s="1"/>
  <c r="V621" i="87"/>
  <c r="Z621" i="87" s="1"/>
  <c r="V618" i="87"/>
  <c r="X618" i="87"/>
  <c r="V617" i="87"/>
  <c r="V616" i="87"/>
  <c r="V615" i="87"/>
  <c r="V614" i="87"/>
  <c r="Z614" i="87" s="1"/>
  <c r="AC614" i="87" s="1"/>
  <c r="V613" i="87"/>
  <c r="V612" i="87"/>
  <c r="V611" i="87"/>
  <c r="V608" i="87"/>
  <c r="X608" i="87"/>
  <c r="AB608" i="87" s="1"/>
  <c r="V607" i="87"/>
  <c r="Z607" i="87" s="1"/>
  <c r="V606" i="87"/>
  <c r="Z606" i="87" s="1"/>
  <c r="V601" i="87"/>
  <c r="Z601" i="87" s="1"/>
  <c r="AC601" i="87" s="1"/>
  <c r="V598" i="87"/>
  <c r="V593" i="87"/>
  <c r="V590" i="87"/>
  <c r="V589" i="87"/>
  <c r="V588" i="87"/>
  <c r="X588" i="87"/>
  <c r="V587" i="87"/>
  <c r="V586" i="87"/>
  <c r="X586" i="87" s="1"/>
  <c r="AB586" i="87" s="1"/>
  <c r="Z586" i="87"/>
  <c r="AC586" i="87" s="1"/>
  <c r="V585" i="87"/>
  <c r="X585" i="87" s="1"/>
  <c r="AB585" i="87" s="1"/>
  <c r="V584" i="87"/>
  <c r="V583" i="87"/>
  <c r="V580" i="87"/>
  <c r="V579" i="87"/>
  <c r="V578" i="87"/>
  <c r="V577" i="87"/>
  <c r="V576" i="87"/>
  <c r="Z576" i="87" s="1"/>
  <c r="V575" i="87"/>
  <c r="V574" i="87"/>
  <c r="V573" i="87"/>
  <c r="V572" i="87"/>
  <c r="Z572" i="87" s="1"/>
  <c r="V571" i="87"/>
  <c r="V566" i="87"/>
  <c r="Z566" i="87"/>
  <c r="V565" i="87"/>
  <c r="X565" i="87" s="1"/>
  <c r="AB565" i="87" s="1"/>
  <c r="V563" i="87"/>
  <c r="Z563" i="87" s="1"/>
  <c r="V558" i="87"/>
  <c r="V555" i="87"/>
  <c r="V554" i="87"/>
  <c r="V553" i="87"/>
  <c r="V552" i="87"/>
  <c r="V551" i="87"/>
  <c r="X551" i="87"/>
  <c r="V550" i="87"/>
  <c r="V549" i="87"/>
  <c r="V548" i="87"/>
  <c r="X548" i="87" s="1"/>
  <c r="V547" i="87"/>
  <c r="V544" i="87"/>
  <c r="V543" i="87"/>
  <c r="V542" i="87"/>
  <c r="V537" i="87"/>
  <c r="X537" i="87" s="1"/>
  <c r="AB537" i="87" s="1"/>
  <c r="V534" i="87"/>
  <c r="V529" i="87"/>
  <c r="V526" i="87"/>
  <c r="Z526" i="87" s="1"/>
  <c r="V525" i="87"/>
  <c r="Z525" i="87" s="1"/>
  <c r="V524" i="87"/>
  <c r="V523" i="87"/>
  <c r="V522" i="87"/>
  <c r="V521" i="87"/>
  <c r="Z521" i="87" s="1"/>
  <c r="V520" i="87"/>
  <c r="V519" i="87"/>
  <c r="X519" i="87"/>
  <c r="AB519" i="87" s="1"/>
  <c r="V516" i="87"/>
  <c r="V515" i="87"/>
  <c r="V514" i="87"/>
  <c r="V513" i="87"/>
  <c r="V512" i="87"/>
  <c r="V511" i="87"/>
  <c r="V510" i="87"/>
  <c r="V509" i="87"/>
  <c r="V508" i="87"/>
  <c r="V507" i="87"/>
  <c r="V502" i="87"/>
  <c r="V501" i="87"/>
  <c r="V500" i="87"/>
  <c r="V499" i="87"/>
  <c r="Z499" i="87" s="1"/>
  <c r="V494" i="87"/>
  <c r="V491" i="87"/>
  <c r="Z491" i="87" s="1"/>
  <c r="X491" i="87"/>
  <c r="V490" i="87"/>
  <c r="V489" i="87"/>
  <c r="V488" i="87"/>
  <c r="V487" i="87"/>
  <c r="V486" i="87"/>
  <c r="V485" i="87"/>
  <c r="Z485" i="87"/>
  <c r="V484" i="87"/>
  <c r="V483" i="87"/>
  <c r="V480" i="87"/>
  <c r="V479" i="87"/>
  <c r="V478" i="87"/>
  <c r="V477" i="87"/>
  <c r="V476" i="87"/>
  <c r="V475" i="87"/>
  <c r="Z475" i="87" s="1"/>
  <c r="X475" i="87"/>
  <c r="AB475" i="87" s="1"/>
  <c r="V473" i="87"/>
  <c r="V472" i="87"/>
  <c r="V471" i="87"/>
  <c r="V470" i="87"/>
  <c r="V469" i="87"/>
  <c r="Z469" i="87" s="1"/>
  <c r="AC469" i="87" s="1"/>
  <c r="V468" i="87"/>
  <c r="V467" i="87"/>
  <c r="V466" i="87"/>
  <c r="X466" i="87" s="1"/>
  <c r="V465" i="87"/>
  <c r="V464" i="87"/>
  <c r="Z464" i="87"/>
  <c r="V463" i="87"/>
  <c r="V462" i="87"/>
  <c r="V461" i="87"/>
  <c r="Z461" i="87" s="1"/>
  <c r="V460" i="87"/>
  <c r="V459" i="87"/>
  <c r="V458" i="87"/>
  <c r="Z458" i="87" s="1"/>
  <c r="V457" i="87"/>
  <c r="V453" i="87"/>
  <c r="X453" i="87"/>
  <c r="V448" i="87"/>
  <c r="V444" i="87"/>
  <c r="V443" i="87"/>
  <c r="V442" i="87"/>
  <c r="V441" i="87"/>
  <c r="X441" i="87" s="1"/>
  <c r="V440" i="87"/>
  <c r="X440" i="87"/>
  <c r="V439" i="87"/>
  <c r="V438" i="87"/>
  <c r="Z438" i="87"/>
  <c r="AC438" i="87" s="1"/>
  <c r="V437" i="87"/>
  <c r="V436" i="87"/>
  <c r="V435" i="87"/>
  <c r="V434" i="87"/>
  <c r="V433" i="87"/>
  <c r="V432" i="87"/>
  <c r="V431" i="87"/>
  <c r="V430" i="87"/>
  <c r="Z430" i="87"/>
  <c r="V426" i="87"/>
  <c r="V425" i="87"/>
  <c r="Z425" i="87" s="1"/>
  <c r="V424" i="87"/>
  <c r="V419" i="87"/>
  <c r="V418" i="87"/>
  <c r="V417" i="87"/>
  <c r="V416" i="87"/>
  <c r="V415" i="87"/>
  <c r="Z415" i="87"/>
  <c r="V414" i="87"/>
  <c r="V413" i="87"/>
  <c r="Z413" i="87" s="1"/>
  <c r="V412" i="87"/>
  <c r="V411" i="87"/>
  <c r="V409" i="87"/>
  <c r="V408" i="87"/>
  <c r="V406" i="87"/>
  <c r="V405" i="87"/>
  <c r="Z405" i="87"/>
  <c r="V404" i="87"/>
  <c r="Z404" i="87" s="1"/>
  <c r="V403" i="87"/>
  <c r="Z403" i="87" s="1"/>
  <c r="V402" i="87"/>
  <c r="V401" i="87"/>
  <c r="V400" i="87"/>
  <c r="V399" i="87"/>
  <c r="V398" i="87"/>
  <c r="V397" i="87"/>
  <c r="Z397" i="87"/>
  <c r="V396" i="87"/>
  <c r="V395" i="87"/>
  <c r="V394" i="87"/>
  <c r="V393" i="87"/>
  <c r="V392" i="87"/>
  <c r="V389" i="87"/>
  <c r="Z389" i="87"/>
  <c r="V388" i="87"/>
  <c r="V387" i="87"/>
  <c r="X387" i="87"/>
  <c r="V386" i="87"/>
  <c r="V385" i="87"/>
  <c r="V384" i="87"/>
  <c r="V383" i="87"/>
  <c r="V382" i="87"/>
  <c r="V381" i="87"/>
  <c r="Z381" i="87"/>
  <c r="V380" i="87"/>
  <c r="V375" i="87"/>
  <c r="V374" i="87"/>
  <c r="Z374" i="87" s="1"/>
  <c r="V373" i="87"/>
  <c r="V372" i="87"/>
  <c r="V371" i="87"/>
  <c r="X371" i="87" s="1"/>
  <c r="V370" i="87"/>
  <c r="Z370" i="87"/>
  <c r="V369" i="87"/>
  <c r="Z369" i="87" s="1"/>
  <c r="V368" i="87"/>
  <c r="Z368" i="87" s="1"/>
  <c r="V367" i="87"/>
  <c r="Z367" i="87"/>
  <c r="AC367" i="87" s="1"/>
  <c r="V366" i="87"/>
  <c r="V365" i="87"/>
  <c r="V362" i="87"/>
  <c r="V357" i="87"/>
  <c r="V356" i="87"/>
  <c r="V354" i="87"/>
  <c r="Z354" i="87" s="1"/>
  <c r="V353" i="87"/>
  <c r="V352" i="87"/>
  <c r="X352" i="87"/>
  <c r="V351" i="87"/>
  <c r="V350" i="87"/>
  <c r="V349" i="87"/>
  <c r="X349" i="87" s="1"/>
  <c r="V348" i="87"/>
  <c r="X348" i="87" s="1"/>
  <c r="AB348" i="87" s="1"/>
  <c r="V347" i="87"/>
  <c r="V346" i="87"/>
  <c r="X346" i="87" s="1"/>
  <c r="Z346" i="87"/>
  <c r="V345" i="87"/>
  <c r="V344" i="87"/>
  <c r="X344" i="87"/>
  <c r="V343" i="87"/>
  <c r="V342" i="87"/>
  <c r="V341" i="87"/>
  <c r="V340" i="87"/>
  <c r="Z340" i="87" s="1"/>
  <c r="V339" i="87"/>
  <c r="V335" i="87"/>
  <c r="X335" i="87" s="1"/>
  <c r="V334" i="87"/>
  <c r="V333" i="87"/>
  <c r="X333" i="87" s="1"/>
  <c r="V328" i="87"/>
  <c r="V327" i="87"/>
  <c r="V326" i="87"/>
  <c r="Z326" i="87" s="1"/>
  <c r="AC326" i="87" s="1"/>
  <c r="V325" i="87"/>
  <c r="V324" i="87"/>
  <c r="V323" i="87"/>
  <c r="X323" i="87"/>
  <c r="V322" i="87"/>
  <c r="V321" i="87"/>
  <c r="Z321" i="87" s="1"/>
  <c r="V320" i="87"/>
  <c r="V318" i="87"/>
  <c r="V317" i="87"/>
  <c r="V315" i="87"/>
  <c r="Z315" i="87" s="1"/>
  <c r="V314" i="87"/>
  <c r="V313" i="87"/>
  <c r="Z313" i="87"/>
  <c r="V312" i="87"/>
  <c r="Z312" i="87" s="1"/>
  <c r="AC312" i="87" s="1"/>
  <c r="V311" i="87"/>
  <c r="X311" i="87" s="1"/>
  <c r="AB311" i="87" s="1"/>
  <c r="V310" i="87"/>
  <c r="X310" i="87" s="1"/>
  <c r="V309" i="87"/>
  <c r="V308" i="87"/>
  <c r="V307" i="87"/>
  <c r="Z307" i="87" s="1"/>
  <c r="V306" i="87"/>
  <c r="V305" i="87"/>
  <c r="X305" i="87"/>
  <c r="V304" i="87"/>
  <c r="V303" i="87"/>
  <c r="X303" i="87" s="1"/>
  <c r="V302" i="87"/>
  <c r="X302" i="87" s="1"/>
  <c r="V301" i="87"/>
  <c r="V298" i="87"/>
  <c r="V297" i="87"/>
  <c r="V296" i="87"/>
  <c r="V295" i="87"/>
  <c r="X295" i="87" s="1"/>
  <c r="V294" i="87"/>
  <c r="V293" i="87"/>
  <c r="Z293" i="87"/>
  <c r="V292" i="87"/>
  <c r="V291" i="87"/>
  <c r="V290" i="87"/>
  <c r="V289" i="87"/>
  <c r="V284" i="87"/>
  <c r="Z284" i="87" s="1"/>
  <c r="V283" i="87"/>
  <c r="Z283" i="87" s="1"/>
  <c r="V282" i="87"/>
  <c r="V281" i="87"/>
  <c r="X281" i="87"/>
  <c r="V280" i="87"/>
  <c r="V279" i="87"/>
  <c r="V278" i="87"/>
  <c r="V277" i="87"/>
  <c r="V276" i="87"/>
  <c r="V275" i="87"/>
  <c r="Z275" i="87" s="1"/>
  <c r="V274" i="87"/>
  <c r="V272" i="87"/>
  <c r="X272" i="87"/>
  <c r="AB272" i="87" s="1"/>
  <c r="V271" i="87"/>
  <c r="Z271" i="87" s="1"/>
  <c r="V266" i="87"/>
  <c r="V265" i="87"/>
  <c r="X265" i="87" s="1"/>
  <c r="V263" i="87"/>
  <c r="V262" i="87"/>
  <c r="V261" i="87"/>
  <c r="Z261" i="87"/>
  <c r="V260" i="87"/>
  <c r="V259" i="87"/>
  <c r="X259" i="87"/>
  <c r="V258" i="87"/>
  <c r="V257" i="87"/>
  <c r="V256" i="87"/>
  <c r="V255" i="87"/>
  <c r="V254" i="87"/>
  <c r="V253" i="87"/>
  <c r="V252" i="87"/>
  <c r="V251" i="87"/>
  <c r="V250" i="87"/>
  <c r="V249" i="87"/>
  <c r="V248" i="87"/>
  <c r="V247" i="87"/>
  <c r="X247" i="87" s="1"/>
  <c r="V244" i="87"/>
  <c r="V243" i="87"/>
  <c r="X243" i="87"/>
  <c r="V242" i="87"/>
  <c r="V241" i="87"/>
  <c r="Z241" i="87"/>
  <c r="V240" i="87"/>
  <c r="V239" i="87"/>
  <c r="V238" i="87"/>
  <c r="V237" i="87"/>
  <c r="V236" i="87"/>
  <c r="V235" i="87"/>
  <c r="V234" i="87"/>
  <c r="V233" i="87"/>
  <c r="Z233" i="87"/>
  <c r="AC233" i="87"/>
  <c r="V232" i="87"/>
  <c r="V231" i="87"/>
  <c r="V230" i="87"/>
  <c r="V229" i="87"/>
  <c r="V228" i="87"/>
  <c r="V227" i="87"/>
  <c r="Z227" i="87" s="1"/>
  <c r="V226" i="87"/>
  <c r="Z226" i="87" s="1"/>
  <c r="V225" i="87"/>
  <c r="X225" i="87"/>
  <c r="V224" i="87"/>
  <c r="V223" i="87"/>
  <c r="V222" i="87"/>
  <c r="V221" i="87"/>
  <c r="Z221" i="87" s="1"/>
  <c r="V220" i="87"/>
  <c r="V219" i="87"/>
  <c r="V218" i="87"/>
  <c r="V217" i="87"/>
  <c r="V216" i="87"/>
  <c r="V215" i="87"/>
  <c r="V210" i="87"/>
  <c r="V209" i="87"/>
  <c r="V208" i="87"/>
  <c r="V207" i="87"/>
  <c r="V206" i="87"/>
  <c r="V205" i="87"/>
  <c r="Z205" i="87"/>
  <c r="V204" i="87"/>
  <c r="V203" i="87"/>
  <c r="V202" i="87"/>
  <c r="V201" i="87"/>
  <c r="V200" i="87"/>
  <c r="V199" i="87"/>
  <c r="V198" i="87"/>
  <c r="V197" i="87"/>
  <c r="Z197" i="87" s="1"/>
  <c r="V196" i="87"/>
  <c r="V195" i="87"/>
  <c r="V194" i="87"/>
  <c r="V193" i="87"/>
  <c r="V192" i="87"/>
  <c r="V191" i="87"/>
  <c r="V188" i="87"/>
  <c r="Z188" i="87" s="1"/>
  <c r="V177" i="87"/>
  <c r="Z177" i="87"/>
  <c r="V176" i="87"/>
  <c r="V175" i="87"/>
  <c r="V171" i="87"/>
  <c r="V170" i="87"/>
  <c r="V159" i="87"/>
  <c r="V158" i="87"/>
  <c r="X158" i="87"/>
  <c r="V155" i="87"/>
  <c r="V150" i="87"/>
  <c r="X150" i="87" s="1"/>
  <c r="Z150" i="87"/>
  <c r="V137" i="87"/>
  <c r="V136" i="87"/>
  <c r="V135" i="87"/>
  <c r="V134" i="87"/>
  <c r="V133" i="87"/>
  <c r="V132" i="87"/>
  <c r="V131" i="87"/>
  <c r="V130" i="87"/>
  <c r="Z130" i="87" s="1"/>
  <c r="V129" i="87"/>
  <c r="V128" i="87"/>
  <c r="V118" i="87"/>
  <c r="V115" i="87"/>
  <c r="V110" i="87"/>
  <c r="V97" i="87"/>
  <c r="V96" i="87"/>
  <c r="V95" i="87"/>
  <c r="Z95" i="87" s="1"/>
  <c r="AC95" i="87" s="1"/>
  <c r="V94" i="87"/>
  <c r="X94" i="87" s="1"/>
  <c r="V93" i="87"/>
  <c r="V92" i="87"/>
  <c r="V91" i="87"/>
  <c r="V90" i="87"/>
  <c r="Z90" i="87" s="1"/>
  <c r="AC90" i="87" s="1"/>
  <c r="V89" i="87"/>
  <c r="Z89" i="87" s="1"/>
  <c r="V88" i="87"/>
  <c r="V78" i="87"/>
  <c r="Z78" i="87" s="1"/>
  <c r="V75" i="87"/>
  <c r="X75" i="87" s="1"/>
  <c r="AB75" i="87" s="1"/>
  <c r="V64" i="87"/>
  <c r="V63" i="87"/>
  <c r="V58" i="87"/>
  <c r="Z58" i="87" s="1"/>
  <c r="V57" i="87"/>
  <c r="V46" i="87"/>
  <c r="X46" i="87" s="1"/>
  <c r="AB46" i="87" s="1"/>
  <c r="Z46" i="87"/>
  <c r="V43" i="87"/>
  <c r="V38" i="87"/>
  <c r="X38" i="87"/>
  <c r="V25" i="87"/>
  <c r="V24" i="87"/>
  <c r="V23" i="87"/>
  <c r="V22" i="87"/>
  <c r="V21" i="87"/>
  <c r="V20" i="87"/>
  <c r="Z20" i="87"/>
  <c r="V19" i="87"/>
  <c r="V18" i="87"/>
  <c r="V17" i="87"/>
  <c r="V16" i="87"/>
  <c r="V6" i="87"/>
  <c r="O323" i="89"/>
  <c r="V1007" i="89"/>
  <c r="Z1007" i="89"/>
  <c r="V1006" i="89"/>
  <c r="V1001" i="89"/>
  <c r="Z1001" i="89"/>
  <c r="V1000" i="89"/>
  <c r="V971" i="89"/>
  <c r="V965" i="89"/>
  <c r="Z965" i="89" s="1"/>
  <c r="V948" i="89"/>
  <c r="X948" i="89"/>
  <c r="V938" i="89"/>
  <c r="V932" i="89"/>
  <c r="V915" i="89"/>
  <c r="X915" i="89"/>
  <c r="AB915" i="89" s="1"/>
  <c r="V903" i="89"/>
  <c r="Z903" i="89"/>
  <c r="AC903" i="89" s="1"/>
  <c r="V897" i="89"/>
  <c r="X897" i="89"/>
  <c r="V883" i="89"/>
  <c r="Z883" i="89"/>
  <c r="V874" i="89"/>
  <c r="Z874" i="89" s="1"/>
  <c r="V871" i="89"/>
  <c r="V868" i="89"/>
  <c r="V855" i="89"/>
  <c r="X855" i="89"/>
  <c r="V836" i="89"/>
  <c r="V830" i="89"/>
  <c r="X830" i="89" s="1"/>
  <c r="Z830" i="89"/>
  <c r="AC830" i="89" s="1"/>
  <c r="V814" i="89"/>
  <c r="X814" i="89" s="1"/>
  <c r="Z814" i="89"/>
  <c r="AC814" i="89" s="1"/>
  <c r="V795" i="89"/>
  <c r="X795" i="89" s="1"/>
  <c r="Z795" i="89"/>
  <c r="V789" i="89"/>
  <c r="X789" i="89" s="1"/>
  <c r="V769" i="89"/>
  <c r="V764" i="89"/>
  <c r="V763" i="89"/>
  <c r="X763" i="89"/>
  <c r="V762" i="89"/>
  <c r="V761" i="89"/>
  <c r="Z761" i="89" s="1"/>
  <c r="AC761" i="89" s="1"/>
  <c r="V760" i="89"/>
  <c r="V759" i="89"/>
  <c r="V758" i="89"/>
  <c r="X758" i="89" s="1"/>
  <c r="V757" i="89"/>
  <c r="V756" i="89"/>
  <c r="V755" i="89"/>
  <c r="X755" i="89"/>
  <c r="AB755" i="89" s="1"/>
  <c r="V754" i="89"/>
  <c r="X754" i="89" s="1"/>
  <c r="AB754" i="89" s="1"/>
  <c r="V753" i="89"/>
  <c r="Z753" i="89"/>
  <c r="V752" i="89"/>
  <c r="Z752" i="89" s="1"/>
  <c r="V751" i="89"/>
  <c r="X751" i="89" s="1"/>
  <c r="V750" i="89"/>
  <c r="V744" i="89"/>
  <c r="V743" i="89"/>
  <c r="Z743" i="89" s="1"/>
  <c r="AC743" i="89" s="1"/>
  <c r="V741" i="89"/>
  <c r="V740" i="89"/>
  <c r="V717" i="89"/>
  <c r="V716" i="89"/>
  <c r="X716" i="89" s="1"/>
  <c r="V715" i="89"/>
  <c r="V714" i="89"/>
  <c r="X714" i="89" s="1"/>
  <c r="V713" i="89"/>
  <c r="V712" i="89"/>
  <c r="X712" i="89" s="1"/>
  <c r="AB712" i="89" s="1"/>
  <c r="V711" i="89"/>
  <c r="Z711" i="89" s="1"/>
  <c r="V710" i="89"/>
  <c r="Z710" i="89" s="1"/>
  <c r="V709" i="89"/>
  <c r="Z709" i="89" s="1"/>
  <c r="V708" i="89"/>
  <c r="V707" i="89"/>
  <c r="V706" i="89"/>
  <c r="V705" i="89"/>
  <c r="V704" i="89"/>
  <c r="V703" i="89"/>
  <c r="V702" i="89"/>
  <c r="V701" i="89"/>
  <c r="X701" i="89"/>
  <c r="V691" i="89"/>
  <c r="V690" i="89"/>
  <c r="Z690" i="89" s="1"/>
  <c r="V689" i="89"/>
  <c r="V688" i="89"/>
  <c r="V687" i="89"/>
  <c r="V686" i="89"/>
  <c r="V685" i="89"/>
  <c r="Z685" i="89"/>
  <c r="V684" i="89"/>
  <c r="V683" i="89"/>
  <c r="V682" i="89"/>
  <c r="X682" i="89" s="1"/>
  <c r="V677" i="89"/>
  <c r="V676" i="89"/>
  <c r="V669" i="89"/>
  <c r="V668" i="89"/>
  <c r="X668" i="89" s="1"/>
  <c r="V667" i="89"/>
  <c r="Z667" i="89"/>
  <c r="V666" i="89"/>
  <c r="Z666" i="89"/>
  <c r="V665" i="89"/>
  <c r="X665" i="89"/>
  <c r="V664" i="89"/>
  <c r="Z664" i="89"/>
  <c r="V663" i="89"/>
  <c r="V662" i="89"/>
  <c r="V661" i="89"/>
  <c r="V660" i="89"/>
  <c r="X660" i="89"/>
  <c r="V659" i="89"/>
  <c r="V658" i="89"/>
  <c r="V657" i="89"/>
  <c r="V656" i="89"/>
  <c r="V655" i="89"/>
  <c r="V654" i="89"/>
  <c r="V653" i="89"/>
  <c r="Z653" i="89" s="1"/>
  <c r="V643" i="89"/>
  <c r="X643" i="89"/>
  <c r="AB643" i="89" s="1"/>
  <c r="V642" i="89"/>
  <c r="V641" i="89"/>
  <c r="Z641" i="89"/>
  <c r="V640" i="89"/>
  <c r="V635" i="89"/>
  <c r="V634" i="89"/>
  <c r="V633" i="89"/>
  <c r="Z633" i="89" s="1"/>
  <c r="V632" i="89"/>
  <c r="V631" i="89"/>
  <c r="V630" i="89"/>
  <c r="X630" i="89" s="1"/>
  <c r="V629" i="89"/>
  <c r="Z629" i="89" s="1"/>
  <c r="V628" i="89"/>
  <c r="V622" i="89"/>
  <c r="X622" i="89" s="1"/>
  <c r="V621" i="89"/>
  <c r="V620" i="89"/>
  <c r="V619" i="89"/>
  <c r="V618" i="89"/>
  <c r="X618" i="89" s="1"/>
  <c r="AB618" i="89" s="1"/>
  <c r="V617" i="89"/>
  <c r="V616" i="89"/>
  <c r="Z616" i="89" s="1"/>
  <c r="V615" i="89"/>
  <c r="V614" i="89"/>
  <c r="V613" i="89"/>
  <c r="V612" i="89"/>
  <c r="V611" i="89"/>
  <c r="Z611" i="89"/>
  <c r="V610" i="89"/>
  <c r="V609" i="89"/>
  <c r="X609" i="89"/>
  <c r="V608" i="89"/>
  <c r="Z608" i="89" s="1"/>
  <c r="AC608" i="89" s="1"/>
  <c r="V607" i="89"/>
  <c r="Z607" i="89" s="1"/>
  <c r="V606" i="89"/>
  <c r="V596" i="89"/>
  <c r="Z596" i="89" s="1"/>
  <c r="V595" i="89"/>
  <c r="Z595" i="89"/>
  <c r="V594" i="89"/>
  <c r="V593" i="89"/>
  <c r="X593" i="89"/>
  <c r="V592" i="89"/>
  <c r="Z592" i="89"/>
  <c r="V591" i="89"/>
  <c r="V590" i="89"/>
  <c r="V589" i="89"/>
  <c r="Z589" i="89"/>
  <c r="V588" i="89"/>
  <c r="V587" i="89"/>
  <c r="V582" i="89"/>
  <c r="V581" i="89"/>
  <c r="V579" i="89"/>
  <c r="V574" i="89"/>
  <c r="Z574" i="89"/>
  <c r="V573" i="89"/>
  <c r="V572" i="89"/>
  <c r="V571" i="89"/>
  <c r="V570" i="89"/>
  <c r="V569" i="89"/>
  <c r="X569" i="89" s="1"/>
  <c r="AB569" i="89" s="1"/>
  <c r="V568" i="89"/>
  <c r="X568" i="89" s="1"/>
  <c r="V567" i="89"/>
  <c r="V566" i="89"/>
  <c r="X566" i="89" s="1"/>
  <c r="V565" i="89"/>
  <c r="V564" i="89"/>
  <c r="V563" i="89"/>
  <c r="X563" i="89" s="1"/>
  <c r="AB563" i="89" s="1"/>
  <c r="V562" i="89"/>
  <c r="Z562" i="89"/>
  <c r="V561" i="89"/>
  <c r="V560" i="89"/>
  <c r="X560" i="89"/>
  <c r="V559" i="89"/>
  <c r="V558" i="89"/>
  <c r="Z558" i="89" s="1"/>
  <c r="V549" i="89"/>
  <c r="V548" i="89"/>
  <c r="V547" i="89"/>
  <c r="V546" i="89"/>
  <c r="V545" i="89"/>
  <c r="V540" i="89"/>
  <c r="X540" i="89" s="1"/>
  <c r="V539" i="89"/>
  <c r="Z539" i="89" s="1"/>
  <c r="V538" i="89"/>
  <c r="X538" i="89"/>
  <c r="Z538" i="89"/>
  <c r="V537" i="89"/>
  <c r="Z537" i="89" s="1"/>
  <c r="V536" i="89"/>
  <c r="V535" i="89"/>
  <c r="V534" i="89"/>
  <c r="V533" i="89"/>
  <c r="V531" i="89"/>
  <c r="V527" i="89"/>
  <c r="Z527" i="89"/>
  <c r="V526" i="89"/>
  <c r="X526" i="89"/>
  <c r="V525" i="89"/>
  <c r="X525" i="89"/>
  <c r="V524" i="89"/>
  <c r="X524" i="89"/>
  <c r="AB524" i="89" s="1"/>
  <c r="V523" i="89"/>
  <c r="V522" i="89"/>
  <c r="Z522" i="89" s="1"/>
  <c r="V521" i="89"/>
  <c r="V520" i="89"/>
  <c r="X520" i="89"/>
  <c r="V519" i="89"/>
  <c r="V518" i="89"/>
  <c r="Z518" i="89" s="1"/>
  <c r="V517" i="89"/>
  <c r="Z517" i="89"/>
  <c r="V516" i="89"/>
  <c r="V515" i="89"/>
  <c r="V514" i="89"/>
  <c r="V513" i="89"/>
  <c r="V512" i="89"/>
  <c r="V511" i="89"/>
  <c r="V510" i="89"/>
  <c r="V501" i="89"/>
  <c r="X501" i="89" s="1"/>
  <c r="V500" i="89"/>
  <c r="V499" i="89"/>
  <c r="V498" i="89"/>
  <c r="V497" i="89"/>
  <c r="Z497" i="89" s="1"/>
  <c r="V496" i="89"/>
  <c r="V495" i="89"/>
  <c r="V494" i="89"/>
  <c r="V493" i="89"/>
  <c r="V492" i="89"/>
  <c r="Z492" i="89"/>
  <c r="AC492" i="89" s="1"/>
  <c r="V491" i="89"/>
  <c r="X491" i="89"/>
  <c r="V490" i="89"/>
  <c r="V489" i="89"/>
  <c r="V488" i="89"/>
  <c r="X488" i="89" s="1"/>
  <c r="V487" i="89"/>
  <c r="X487" i="89" s="1"/>
  <c r="AB487" i="89" s="1"/>
  <c r="V486" i="89"/>
  <c r="Z486" i="89"/>
  <c r="V485" i="89"/>
  <c r="V484" i="89"/>
  <c r="V481" i="89"/>
  <c r="V470" i="89"/>
  <c r="V465" i="89"/>
  <c r="V464" i="89"/>
  <c r="Z464" i="89"/>
  <c r="V463" i="89"/>
  <c r="X463" i="89"/>
  <c r="V462" i="89"/>
  <c r="V461" i="89"/>
  <c r="V460" i="89"/>
  <c r="X460" i="89" s="1"/>
  <c r="AB460" i="89" s="1"/>
  <c r="V455" i="89"/>
  <c r="Z455" i="89" s="1"/>
  <c r="V452" i="89"/>
  <c r="V451" i="89"/>
  <c r="X451" i="89" s="1"/>
  <c r="V445" i="89"/>
  <c r="Z445" i="89"/>
  <c r="V436" i="89"/>
  <c r="V435" i="89"/>
  <c r="Z435" i="89" s="1"/>
  <c r="V434" i="89"/>
  <c r="V433" i="89"/>
  <c r="Z433" i="89"/>
  <c r="V428" i="89"/>
  <c r="Z428" i="89" s="1"/>
  <c r="X428" i="89"/>
  <c r="V427" i="89"/>
  <c r="V426" i="89"/>
  <c r="V425" i="89"/>
  <c r="V424" i="89"/>
  <c r="Z424" i="89" s="1"/>
  <c r="V423" i="89"/>
  <c r="Z423" i="89" s="1"/>
  <c r="V422" i="89"/>
  <c r="V421" i="89"/>
  <c r="V420" i="89"/>
  <c r="X420" i="89"/>
  <c r="V419" i="89"/>
  <c r="V418" i="89"/>
  <c r="V417" i="89"/>
  <c r="Z417" i="89" s="1"/>
  <c r="V416" i="89"/>
  <c r="V415" i="89"/>
  <c r="Z415" i="89" s="1"/>
  <c r="V412" i="89"/>
  <c r="Z412" i="89"/>
  <c r="V401" i="89"/>
  <c r="Z401" i="89" s="1"/>
  <c r="X401" i="89"/>
  <c r="V396" i="89"/>
  <c r="V1029" i="89" s="1"/>
  <c r="V395" i="89"/>
  <c r="V394" i="89"/>
  <c r="V393" i="89"/>
  <c r="Z393" i="89" s="1"/>
  <c r="V392" i="89"/>
  <c r="V391" i="89"/>
  <c r="Z391" i="89"/>
  <c r="V386" i="89"/>
  <c r="V383" i="89"/>
  <c r="Z383" i="89" s="1"/>
  <c r="V382" i="89"/>
  <c r="V376" i="89"/>
  <c r="V367" i="89"/>
  <c r="V366" i="89"/>
  <c r="V365" i="89"/>
  <c r="X365" i="89" s="1"/>
  <c r="V364" i="89"/>
  <c r="V359" i="89"/>
  <c r="V358" i="89"/>
  <c r="Z358" i="89"/>
  <c r="V357" i="89"/>
  <c r="V356" i="89"/>
  <c r="V355" i="89"/>
  <c r="V354" i="89"/>
  <c r="Z354" i="89" s="1"/>
  <c r="V353" i="89"/>
  <c r="Z353" i="89" s="1"/>
  <c r="V352" i="89"/>
  <c r="X352" i="89"/>
  <c r="V351" i="89"/>
  <c r="Z351" i="89" s="1"/>
  <c r="AC351" i="89" s="1"/>
  <c r="X351" i="89"/>
  <c r="V350" i="89"/>
  <c r="Z350" i="89"/>
  <c r="V349" i="89"/>
  <c r="V348" i="89"/>
  <c r="V347" i="89"/>
  <c r="V346" i="89"/>
  <c r="X346" i="89"/>
  <c r="V343" i="89"/>
  <c r="V332" i="89"/>
  <c r="X332" i="89" s="1"/>
  <c r="V327" i="89"/>
  <c r="X327" i="89" s="1"/>
  <c r="V326" i="89"/>
  <c r="V325" i="89"/>
  <c r="V324" i="89"/>
  <c r="V323" i="89"/>
  <c r="Z323" i="89" s="1"/>
  <c r="AC323" i="89" s="1"/>
  <c r="V322" i="89"/>
  <c r="Z322" i="89" s="1"/>
  <c r="X322" i="89"/>
  <c r="AB322" i="89" s="1"/>
  <c r="V317" i="89"/>
  <c r="V314" i="89"/>
  <c r="X314" i="89"/>
  <c r="V313" i="89"/>
  <c r="X313" i="89"/>
  <c r="V307" i="89"/>
  <c r="V298" i="89"/>
  <c r="V297" i="89"/>
  <c r="V296" i="89"/>
  <c r="V295" i="89"/>
  <c r="X295" i="89"/>
  <c r="V290" i="89"/>
  <c r="X290" i="89"/>
  <c r="V289" i="89"/>
  <c r="X289" i="89" s="1"/>
  <c r="AB289" i="89" s="1"/>
  <c r="Z289" i="89"/>
  <c r="V288" i="89"/>
  <c r="X288" i="89" s="1"/>
  <c r="AB288" i="89" s="1"/>
  <c r="V287" i="89"/>
  <c r="V286" i="89"/>
  <c r="V285" i="89"/>
  <c r="X285" i="89"/>
  <c r="V284" i="89"/>
  <c r="Z284" i="89"/>
  <c r="V283" i="89"/>
  <c r="Z283" i="89" s="1"/>
  <c r="AC283" i="89" s="1"/>
  <c r="V282" i="89"/>
  <c r="X282" i="89" s="1"/>
  <c r="V281" i="89"/>
  <c r="X281" i="89"/>
  <c r="V280" i="89"/>
  <c r="X280" i="89"/>
  <c r="V279" i="89"/>
  <c r="V278" i="89"/>
  <c r="V277" i="89"/>
  <c r="V274" i="89"/>
  <c r="X274" i="89" s="1"/>
  <c r="V273" i="89"/>
  <c r="X273" i="89" s="1"/>
  <c r="V268" i="89"/>
  <c r="V267" i="89"/>
  <c r="V266" i="89"/>
  <c r="V265" i="89"/>
  <c r="V264" i="89"/>
  <c r="V263" i="89"/>
  <c r="V262" i="89"/>
  <c r="X262" i="89"/>
  <c r="V257" i="89"/>
  <c r="Z257" i="89" s="1"/>
  <c r="V256" i="89"/>
  <c r="V255" i="89"/>
  <c r="X255" i="89" s="1"/>
  <c r="V254" i="89"/>
  <c r="V253" i="89"/>
  <c r="V252" i="89"/>
  <c r="V251" i="89"/>
  <c r="X251" i="89" s="1"/>
  <c r="V250" i="89"/>
  <c r="V249" i="89"/>
  <c r="V248" i="89"/>
  <c r="X248" i="89" s="1"/>
  <c r="V247" i="89"/>
  <c r="X247" i="89" s="1"/>
  <c r="V246" i="89"/>
  <c r="V245" i="89"/>
  <c r="V244" i="89"/>
  <c r="V243" i="89"/>
  <c r="Z243" i="89" s="1"/>
  <c r="V240" i="89"/>
  <c r="V222" i="89"/>
  <c r="X222" i="89" s="1"/>
  <c r="V217" i="89"/>
  <c r="V213" i="89"/>
  <c r="V212" i="89"/>
  <c r="Z212" i="89" s="1"/>
  <c r="X212" i="89"/>
  <c r="V211" i="89"/>
  <c r="V210" i="89"/>
  <c r="V209" i="89"/>
  <c r="V208" i="89"/>
  <c r="X208" i="89"/>
  <c r="V207" i="89"/>
  <c r="X207" i="89" s="1"/>
  <c r="V206" i="89"/>
  <c r="X206" i="89" s="1"/>
  <c r="V205" i="89"/>
  <c r="Z205" i="89"/>
  <c r="AC205" i="89" s="1"/>
  <c r="V204" i="89"/>
  <c r="Z204" i="89"/>
  <c r="V203" i="89"/>
  <c r="V202" i="89"/>
  <c r="X202" i="89"/>
  <c r="V201" i="89"/>
  <c r="X201" i="89" s="1"/>
  <c r="Z201" i="89"/>
  <c r="V200" i="89"/>
  <c r="X200" i="89"/>
  <c r="V199" i="89"/>
  <c r="X199" i="89"/>
  <c r="V195" i="89"/>
  <c r="Z195" i="89" s="1"/>
  <c r="V194" i="89"/>
  <c r="Z194" i="89" s="1"/>
  <c r="V193" i="89"/>
  <c r="Z193" i="89"/>
  <c r="AC193" i="89" s="1"/>
  <c r="V192" i="89"/>
  <c r="Z192" i="89" s="1"/>
  <c r="AC192" i="89" s="1"/>
  <c r="V191" i="89"/>
  <c r="V190" i="89"/>
  <c r="V189" i="89"/>
  <c r="Z189" i="89"/>
  <c r="X189" i="89"/>
  <c r="V171" i="89"/>
  <c r="X171" i="89" s="1"/>
  <c r="AB171" i="89" s="1"/>
  <c r="V170" i="89"/>
  <c r="V167" i="89"/>
  <c r="Z167" i="89"/>
  <c r="V151" i="89"/>
  <c r="V148" i="89"/>
  <c r="V130" i="89"/>
  <c r="V125" i="89"/>
  <c r="V121" i="89"/>
  <c r="Z121" i="89"/>
  <c r="V120" i="89"/>
  <c r="X120" i="89"/>
  <c r="V119" i="89"/>
  <c r="V118" i="89"/>
  <c r="V117" i="89"/>
  <c r="V116" i="89"/>
  <c r="V115" i="89"/>
  <c r="V114" i="89"/>
  <c r="V113" i="89"/>
  <c r="V112" i="89"/>
  <c r="Z112" i="89"/>
  <c r="V111" i="89"/>
  <c r="Z111" i="89"/>
  <c r="V110" i="89"/>
  <c r="V109" i="89"/>
  <c r="Z109" i="89"/>
  <c r="AC109" i="89" s="1"/>
  <c r="V108" i="89"/>
  <c r="V107" i="89"/>
  <c r="Z107" i="89" s="1"/>
  <c r="AC107" i="89" s="1"/>
  <c r="V103" i="89"/>
  <c r="V98" i="89"/>
  <c r="V97" i="89"/>
  <c r="Z97" i="89" s="1"/>
  <c r="AC97" i="89" s="1"/>
  <c r="V96" i="89"/>
  <c r="V95" i="89"/>
  <c r="V94" i="89"/>
  <c r="Z94" i="89"/>
  <c r="V93" i="89"/>
  <c r="V88" i="89"/>
  <c r="V87" i="89"/>
  <c r="Z87" i="89"/>
  <c r="V86" i="89"/>
  <c r="Z86" i="89" s="1"/>
  <c r="V85" i="89"/>
  <c r="Z85" i="89"/>
  <c r="V84" i="89"/>
  <c r="X84" i="89"/>
  <c r="V83" i="89"/>
  <c r="X83" i="89" s="1"/>
  <c r="V82" i="89"/>
  <c r="V81" i="89"/>
  <c r="Z81" i="89" s="1"/>
  <c r="V80" i="89"/>
  <c r="X80" i="89" s="1"/>
  <c r="V79" i="89"/>
  <c r="X79" i="89" s="1"/>
  <c r="V78" i="89"/>
  <c r="V75" i="89"/>
  <c r="Z75" i="89"/>
  <c r="V74" i="89"/>
  <c r="Z74" i="89"/>
  <c r="V73" i="89"/>
  <c r="X73" i="89" s="1"/>
  <c r="V72" i="89"/>
  <c r="V71" i="89"/>
  <c r="Z71" i="89"/>
  <c r="V70" i="89"/>
  <c r="V69" i="89"/>
  <c r="V68" i="89"/>
  <c r="V67" i="89"/>
  <c r="Z67" i="89"/>
  <c r="V66" i="89"/>
  <c r="V65" i="89"/>
  <c r="V64" i="89"/>
  <c r="V63" i="89"/>
  <c r="V62" i="89"/>
  <c r="Z62" i="89"/>
  <c r="V61" i="89"/>
  <c r="Z61" i="89" s="1"/>
  <c r="AC61" i="89" s="1"/>
  <c r="V60" i="89"/>
  <c r="V59" i="89"/>
  <c r="Z59" i="89"/>
  <c r="V55" i="89"/>
  <c r="V54" i="89"/>
  <c r="V53" i="89"/>
  <c r="V52" i="89"/>
  <c r="X52" i="89"/>
  <c r="V51" i="89"/>
  <c r="V50" i="89"/>
  <c r="V49" i="89"/>
  <c r="X49" i="89"/>
  <c r="V48" i="89"/>
  <c r="Z48" i="89"/>
  <c r="V47" i="89"/>
  <c r="X47" i="89" s="1"/>
  <c r="V46" i="89"/>
  <c r="V45" i="89"/>
  <c r="V44" i="89"/>
  <c r="V43" i="89"/>
  <c r="Z43" i="89"/>
  <c r="AC43" i="89" s="1"/>
  <c r="V42" i="89"/>
  <c r="V41" i="89"/>
  <c r="V40" i="89"/>
  <c r="Z40" i="89"/>
  <c r="AC40" i="89" s="1"/>
  <c r="V39" i="89"/>
  <c r="Z39" i="89"/>
  <c r="V38" i="89"/>
  <c r="X38" i="89"/>
  <c r="V37" i="89"/>
  <c r="V36" i="89"/>
  <c r="Z36" i="89" s="1"/>
  <c r="V35" i="89"/>
  <c r="V34" i="89"/>
  <c r="V31" i="89"/>
  <c r="Z31" i="89" s="1"/>
  <c r="V25" i="89"/>
  <c r="Z25" i="89" s="1"/>
  <c r="V24" i="89"/>
  <c r="V21" i="89"/>
  <c r="Z21" i="89"/>
  <c r="V20" i="89"/>
  <c r="V19" i="89"/>
  <c r="V18" i="89"/>
  <c r="V17" i="89"/>
  <c r="V16" i="89"/>
  <c r="Z16" i="89"/>
  <c r="V15" i="89"/>
  <c r="V14" i="89"/>
  <c r="X14" i="89"/>
  <c r="V13" i="89"/>
  <c r="X13" i="89"/>
  <c r="AB13" i="89" s="1"/>
  <c r="V12" i="89"/>
  <c r="Z12" i="89"/>
  <c r="V11" i="89"/>
  <c r="V10" i="89"/>
  <c r="V9" i="89"/>
  <c r="V8" i="89"/>
  <c r="X8" i="89"/>
  <c r="V7" i="89"/>
  <c r="Z7" i="89"/>
  <c r="V6" i="89"/>
  <c r="Z6" i="89"/>
  <c r="Y692" i="89"/>
  <c r="Z692" i="89"/>
  <c r="Y674" i="89"/>
  <c r="Z674" i="89" s="1"/>
  <c r="Y623" i="89"/>
  <c r="Z623" i="89" s="1"/>
  <c r="Y622" i="89"/>
  <c r="Y597" i="89"/>
  <c r="Z597" i="89"/>
  <c r="AC597" i="89" s="1"/>
  <c r="Y579" i="89"/>
  <c r="Y484" i="89"/>
  <c r="Y376" i="89"/>
  <c r="Y365" i="89"/>
  <c r="Y364" i="89"/>
  <c r="Y359" i="89"/>
  <c r="Y346" i="89"/>
  <c r="W987" i="89"/>
  <c r="X987" i="89"/>
  <c r="W986" i="89"/>
  <c r="X986" i="89"/>
  <c r="W985" i="89"/>
  <c r="X985" i="89"/>
  <c r="AB985" i="89" s="1"/>
  <c r="W984" i="89"/>
  <c r="X984" i="89" s="1"/>
  <c r="W981" i="89"/>
  <c r="X981" i="89"/>
  <c r="W980" i="89"/>
  <c r="X980" i="89"/>
  <c r="W597" i="89"/>
  <c r="X597" i="89"/>
  <c r="W579" i="89"/>
  <c r="W484" i="89"/>
  <c r="W365" i="89"/>
  <c r="W364" i="89"/>
  <c r="W359" i="89"/>
  <c r="X359" i="89" s="1"/>
  <c r="AB359" i="89" s="1"/>
  <c r="W18" i="89"/>
  <c r="W16" i="89"/>
  <c r="W15" i="89"/>
  <c r="W12" i="89"/>
  <c r="Z967" i="87"/>
  <c r="AC967" i="87"/>
  <c r="X967" i="87"/>
  <c r="Z966" i="87"/>
  <c r="X966" i="87"/>
  <c r="Z965" i="87"/>
  <c r="X965" i="87"/>
  <c r="Z964" i="87"/>
  <c r="X964" i="87"/>
  <c r="Z963" i="87"/>
  <c r="X963" i="87"/>
  <c r="Z962" i="87"/>
  <c r="X962" i="87"/>
  <c r="Z961" i="87"/>
  <c r="X961" i="87"/>
  <c r="Z960" i="87"/>
  <c r="X960" i="87"/>
  <c r="Z959" i="87"/>
  <c r="X959" i="87"/>
  <c r="Z958" i="87"/>
  <c r="X958" i="87"/>
  <c r="Z957" i="87"/>
  <c r="X957" i="87"/>
  <c r="Z956" i="87"/>
  <c r="X956" i="87"/>
  <c r="Z955" i="87"/>
  <c r="X955" i="87"/>
  <c r="Z954" i="87"/>
  <c r="X954" i="87"/>
  <c r="Z953" i="87"/>
  <c r="X953" i="87"/>
  <c r="Z952" i="87"/>
  <c r="X952" i="87"/>
  <c r="AB952" i="87" s="1"/>
  <c r="Z951" i="87"/>
  <c r="X951" i="87"/>
  <c r="Z950" i="87"/>
  <c r="X950" i="87"/>
  <c r="Z949" i="87"/>
  <c r="AC949" i="87"/>
  <c r="X949" i="87"/>
  <c r="Z948" i="87"/>
  <c r="X948" i="87"/>
  <c r="Z947" i="87"/>
  <c r="AC947" i="87" s="1"/>
  <c r="X947" i="87"/>
  <c r="Z946" i="87"/>
  <c r="X946" i="87"/>
  <c r="Z945" i="87"/>
  <c r="AC945" i="87"/>
  <c r="X945" i="87"/>
  <c r="Z944" i="87"/>
  <c r="X944" i="87"/>
  <c r="Z943" i="87"/>
  <c r="X943" i="87"/>
  <c r="Z942" i="87"/>
  <c r="X942" i="87"/>
  <c r="Z941" i="87"/>
  <c r="X941" i="87"/>
  <c r="Z940" i="87"/>
  <c r="X940" i="87"/>
  <c r="AB940" i="87" s="1"/>
  <c r="Z939" i="87"/>
  <c r="X939" i="87"/>
  <c r="Z938" i="87"/>
  <c r="X938" i="87"/>
  <c r="Z937" i="87"/>
  <c r="X937" i="87"/>
  <c r="Z936" i="87"/>
  <c r="X936" i="87"/>
  <c r="Z935" i="87"/>
  <c r="X935" i="87"/>
  <c r="Z934" i="87"/>
  <c r="X934" i="87"/>
  <c r="Z933" i="87"/>
  <c r="X933" i="87"/>
  <c r="Z932" i="87"/>
  <c r="X932" i="87"/>
  <c r="Z931" i="87"/>
  <c r="X931" i="87"/>
  <c r="Z930" i="87"/>
  <c r="X930" i="87"/>
  <c r="Z929" i="87"/>
  <c r="X929" i="87"/>
  <c r="Z928" i="87"/>
  <c r="X928" i="87"/>
  <c r="Z927" i="87"/>
  <c r="X927" i="87"/>
  <c r="Z926" i="87"/>
  <c r="X926" i="87"/>
  <c r="Z925" i="87"/>
  <c r="X925" i="87"/>
  <c r="Z924" i="87"/>
  <c r="AC924" i="87"/>
  <c r="X924" i="87"/>
  <c r="Z923" i="87"/>
  <c r="X923" i="87"/>
  <c r="Z922" i="87"/>
  <c r="X922" i="87"/>
  <c r="Z921" i="87"/>
  <c r="X921" i="87"/>
  <c r="Z920" i="87"/>
  <c r="X920" i="87"/>
  <c r="Z919" i="87"/>
  <c r="X919" i="87"/>
  <c r="Z918" i="87"/>
  <c r="AC918" i="87" s="1"/>
  <c r="X918" i="87"/>
  <c r="Z917" i="87"/>
  <c r="X917" i="87"/>
  <c r="Z916" i="87"/>
  <c r="X916" i="87"/>
  <c r="Z913" i="87"/>
  <c r="X913" i="87"/>
  <c r="Z912" i="87"/>
  <c r="X912" i="87"/>
  <c r="Z911" i="87"/>
  <c r="X911" i="87"/>
  <c r="Z910" i="87"/>
  <c r="X910" i="87"/>
  <c r="Z909" i="87"/>
  <c r="X909" i="87"/>
  <c r="Z908" i="87"/>
  <c r="X908" i="87"/>
  <c r="Z907" i="87"/>
  <c r="AC907" i="87"/>
  <c r="X907" i="87"/>
  <c r="Z906" i="87"/>
  <c r="X906" i="87"/>
  <c r="Z905" i="87"/>
  <c r="X905" i="87"/>
  <c r="Z904" i="87"/>
  <c r="X904" i="87"/>
  <c r="Z903" i="87"/>
  <c r="X903" i="87"/>
  <c r="Z902" i="87"/>
  <c r="X902" i="87"/>
  <c r="Z901" i="87"/>
  <c r="X901" i="87"/>
  <c r="Z900" i="87"/>
  <c r="X900" i="87"/>
  <c r="Z899" i="87"/>
  <c r="AC899" i="87"/>
  <c r="X899" i="87"/>
  <c r="Z898" i="87"/>
  <c r="X898" i="87"/>
  <c r="Z897" i="87"/>
  <c r="X897" i="87"/>
  <c r="Z896" i="87"/>
  <c r="X896" i="87"/>
  <c r="Z895" i="87"/>
  <c r="X895" i="87"/>
  <c r="Z894" i="87"/>
  <c r="X894" i="87"/>
  <c r="Z893" i="87"/>
  <c r="X893" i="87"/>
  <c r="Z892" i="87"/>
  <c r="AC892" i="87" s="1"/>
  <c r="X892" i="87"/>
  <c r="AB892" i="87" s="1"/>
  <c r="Z891" i="87"/>
  <c r="AC891" i="87" s="1"/>
  <c r="X891" i="87"/>
  <c r="Z890" i="87"/>
  <c r="AC890" i="87" s="1"/>
  <c r="X890" i="87"/>
  <c r="Z889" i="87"/>
  <c r="X889" i="87"/>
  <c r="Z888" i="87"/>
  <c r="X888" i="87"/>
  <c r="Z887" i="87"/>
  <c r="X887" i="87"/>
  <c r="Z886" i="87"/>
  <c r="X886" i="87"/>
  <c r="AB886" i="87" s="1"/>
  <c r="Z884" i="87"/>
  <c r="X884" i="87"/>
  <c r="AB884" i="87" s="1"/>
  <c r="Z883" i="87"/>
  <c r="X883" i="87"/>
  <c r="Z882" i="87"/>
  <c r="X882" i="87"/>
  <c r="Z881" i="87"/>
  <c r="X881" i="87"/>
  <c r="Z880" i="87"/>
  <c r="X880" i="87"/>
  <c r="Z879" i="87"/>
  <c r="X879" i="87"/>
  <c r="Z878" i="87"/>
  <c r="X878" i="87"/>
  <c r="Z877" i="87"/>
  <c r="X877" i="87"/>
  <c r="Z876" i="87"/>
  <c r="X876" i="87"/>
  <c r="Z875" i="87"/>
  <c r="X875" i="87"/>
  <c r="Z874" i="87"/>
  <c r="X874" i="87"/>
  <c r="Z873" i="87"/>
  <c r="X873" i="87"/>
  <c r="Z872" i="87"/>
  <c r="X872" i="87"/>
  <c r="Z871" i="87"/>
  <c r="X871" i="87"/>
  <c r="Z870" i="87"/>
  <c r="X870" i="87"/>
  <c r="Z869" i="87"/>
  <c r="X869" i="87"/>
  <c r="Z868" i="87"/>
  <c r="X868" i="87"/>
  <c r="Z867" i="87"/>
  <c r="X867" i="87"/>
  <c r="X914" i="87" s="1"/>
  <c r="Z866" i="87"/>
  <c r="X866" i="87"/>
  <c r="Z865" i="87"/>
  <c r="X865" i="87"/>
  <c r="Z864" i="87"/>
  <c r="X864" i="87"/>
  <c r="Z863" i="87"/>
  <c r="X863" i="87"/>
  <c r="Z862" i="87"/>
  <c r="X862" i="87"/>
  <c r="Z859" i="87"/>
  <c r="X859" i="87"/>
  <c r="X858" i="87"/>
  <c r="Z857" i="87"/>
  <c r="AC857" i="87" s="1"/>
  <c r="Z856" i="87"/>
  <c r="AC856" i="87" s="1"/>
  <c r="Z846" i="87"/>
  <c r="X845" i="87"/>
  <c r="Z844" i="87"/>
  <c r="X844" i="87"/>
  <c r="Z839" i="87"/>
  <c r="X839" i="87"/>
  <c r="Z835" i="87"/>
  <c r="X835" i="87"/>
  <c r="Z832" i="87"/>
  <c r="X832" i="87"/>
  <c r="Z830" i="87"/>
  <c r="X830" i="87"/>
  <c r="Z829" i="87"/>
  <c r="Z824" i="87"/>
  <c r="X824" i="87"/>
  <c r="Z823" i="87"/>
  <c r="X823" i="87"/>
  <c r="Z818" i="87"/>
  <c r="X818" i="87"/>
  <c r="AB818" i="87" s="1"/>
  <c r="Z817" i="87"/>
  <c r="AC817" i="87" s="1"/>
  <c r="X817" i="87"/>
  <c r="AB817" i="87" s="1"/>
  <c r="Z816" i="87"/>
  <c r="X816" i="87"/>
  <c r="AB816" i="87" s="1"/>
  <c r="Z815" i="87"/>
  <c r="X815" i="87"/>
  <c r="Z813" i="87"/>
  <c r="X813" i="87"/>
  <c r="X812" i="87"/>
  <c r="X811" i="87"/>
  <c r="Z809" i="87"/>
  <c r="X809" i="87"/>
  <c r="Z808" i="87"/>
  <c r="X808" i="87"/>
  <c r="Z803" i="87"/>
  <c r="X803" i="87"/>
  <c r="AB803" i="87" s="1"/>
  <c r="X802" i="87"/>
  <c r="Z801" i="87"/>
  <c r="AC801" i="87" s="1"/>
  <c r="X801" i="87"/>
  <c r="Z796" i="87"/>
  <c r="X796" i="87"/>
  <c r="Z793" i="87"/>
  <c r="X793" i="87"/>
  <c r="X789" i="87"/>
  <c r="Z788" i="87"/>
  <c r="X788" i="87"/>
  <c r="Z785" i="87"/>
  <c r="X785" i="87"/>
  <c r="Z783" i="87"/>
  <c r="X783" i="87"/>
  <c r="Z781" i="87"/>
  <c r="X781" i="87"/>
  <c r="Z780" i="87"/>
  <c r="AC780" i="87" s="1"/>
  <c r="X773" i="87"/>
  <c r="Z772" i="87"/>
  <c r="X772" i="87"/>
  <c r="AB772" i="87" s="1"/>
  <c r="X765" i="87"/>
  <c r="AB764" i="87"/>
  <c r="Z753" i="87"/>
  <c r="X753" i="87"/>
  <c r="Z751" i="87"/>
  <c r="X751" i="87"/>
  <c r="X750" i="87"/>
  <c r="AC747" i="87"/>
  <c r="X747" i="87"/>
  <c r="Z745" i="87"/>
  <c r="X745" i="87"/>
  <c r="X744" i="87"/>
  <c r="AB744" i="87" s="1"/>
  <c r="Z743" i="87"/>
  <c r="X743" i="87"/>
  <c r="Z739" i="87"/>
  <c r="X739" i="87"/>
  <c r="X738" i="87"/>
  <c r="Z737" i="87"/>
  <c r="X737" i="87"/>
  <c r="Z735" i="87"/>
  <c r="Z734" i="87"/>
  <c r="X734" i="87"/>
  <c r="AB734" i="87" s="1"/>
  <c r="Z731" i="87"/>
  <c r="X731" i="87"/>
  <c r="X730" i="87"/>
  <c r="Z727" i="87"/>
  <c r="X727" i="87"/>
  <c r="AB727" i="87" s="1"/>
  <c r="Z725" i="87"/>
  <c r="X725" i="87"/>
  <c r="Z724" i="87"/>
  <c r="AC724" i="87"/>
  <c r="X724" i="87"/>
  <c r="Z723" i="87"/>
  <c r="X723" i="87"/>
  <c r="Z722" i="87"/>
  <c r="AC722" i="87" s="1"/>
  <c r="X722" i="87"/>
  <c r="Z721" i="87"/>
  <c r="AC721" i="87" s="1"/>
  <c r="X721" i="87"/>
  <c r="Z720" i="87"/>
  <c r="X720" i="87"/>
  <c r="Z719" i="87"/>
  <c r="AC719" i="87" s="1"/>
  <c r="X719" i="87"/>
  <c r="Z718" i="87"/>
  <c r="X718" i="87"/>
  <c r="Z715" i="87"/>
  <c r="Z713" i="87"/>
  <c r="X711" i="87"/>
  <c r="Z710" i="87"/>
  <c r="AC710" i="87" s="1"/>
  <c r="X710" i="87"/>
  <c r="AB710" i="87" s="1"/>
  <c r="Z709" i="87"/>
  <c r="X709" i="87"/>
  <c r="Z707" i="87"/>
  <c r="X707" i="87"/>
  <c r="Z706" i="87"/>
  <c r="AC706" i="87"/>
  <c r="X706" i="87"/>
  <c r="Z704" i="87"/>
  <c r="X704" i="87"/>
  <c r="Z702" i="87"/>
  <c r="X702" i="87"/>
  <c r="AB702" i="87" s="1"/>
  <c r="Z701" i="87"/>
  <c r="X701" i="87"/>
  <c r="X697" i="87"/>
  <c r="AB697" i="87" s="1"/>
  <c r="Z696" i="87"/>
  <c r="AC696" i="87" s="1"/>
  <c r="Z695" i="87"/>
  <c r="Z694" i="87"/>
  <c r="X694" i="87"/>
  <c r="Z693" i="87"/>
  <c r="X693" i="87"/>
  <c r="Z691" i="87"/>
  <c r="X691" i="87"/>
  <c r="Z689" i="87"/>
  <c r="AC689" i="87" s="1"/>
  <c r="Z688" i="87"/>
  <c r="X688" i="87"/>
  <c r="Z682" i="87"/>
  <c r="X682" i="87"/>
  <c r="Z681" i="87"/>
  <c r="Z680" i="87"/>
  <c r="Z678" i="87"/>
  <c r="AC678" i="87" s="1"/>
  <c r="X678" i="87"/>
  <c r="Z676" i="87"/>
  <c r="X676" i="87"/>
  <c r="Z673" i="87"/>
  <c r="Z672" i="87"/>
  <c r="X672" i="87"/>
  <c r="AB672" i="87" s="1"/>
  <c r="Z665" i="87"/>
  <c r="X665" i="87"/>
  <c r="Z664" i="87"/>
  <c r="X664" i="87"/>
  <c r="Z663" i="87"/>
  <c r="X663" i="87"/>
  <c r="Z662" i="87"/>
  <c r="Z661" i="87"/>
  <c r="X661" i="87"/>
  <c r="AB661" i="87" s="1"/>
  <c r="Z660" i="87"/>
  <c r="X660" i="87"/>
  <c r="Z659" i="87"/>
  <c r="X659" i="87"/>
  <c r="Z658" i="87"/>
  <c r="X658" i="87"/>
  <c r="Z656" i="87"/>
  <c r="X656" i="87"/>
  <c r="Z655" i="87"/>
  <c r="X655" i="87"/>
  <c r="Z653" i="87"/>
  <c r="X653" i="87"/>
  <c r="Z652" i="87"/>
  <c r="X652" i="87"/>
  <c r="AB652" i="87" s="1"/>
  <c r="Z650" i="87"/>
  <c r="X650" i="87"/>
  <c r="X647" i="87"/>
  <c r="Z643" i="87"/>
  <c r="Z640" i="87"/>
  <c r="X640" i="87"/>
  <c r="AB640" i="87" s="1"/>
  <c r="Z639" i="87"/>
  <c r="X639" i="87"/>
  <c r="AB639" i="87"/>
  <c r="Z638" i="87"/>
  <c r="Z637" i="87"/>
  <c r="X637" i="87"/>
  <c r="Z628" i="87"/>
  <c r="Z627" i="87"/>
  <c r="X627" i="87"/>
  <c r="AB627" i="87" s="1"/>
  <c r="X626" i="87"/>
  <c r="AB626" i="87"/>
  <c r="Z625" i="87"/>
  <c r="AC625" i="87" s="1"/>
  <c r="X625" i="87"/>
  <c r="AB625" i="87" s="1"/>
  <c r="Z624" i="87"/>
  <c r="AC624" i="87" s="1"/>
  <c r="X624" i="87"/>
  <c r="Z623" i="87"/>
  <c r="X623" i="87"/>
  <c r="Z622" i="87"/>
  <c r="Z620" i="87"/>
  <c r="AC620" i="87" s="1"/>
  <c r="X620" i="87"/>
  <c r="Z619" i="87"/>
  <c r="X619" i="87"/>
  <c r="Z618" i="87"/>
  <c r="Z617" i="87"/>
  <c r="X617" i="87"/>
  <c r="Z615" i="87"/>
  <c r="X615" i="87"/>
  <c r="AB615" i="87" s="1"/>
  <c r="Z608" i="87"/>
  <c r="AC608" i="87" s="1"/>
  <c r="AC607" i="87"/>
  <c r="X607" i="87"/>
  <c r="X606" i="87"/>
  <c r="X601" i="87"/>
  <c r="Z600" i="87"/>
  <c r="X600" i="87"/>
  <c r="X599" i="87"/>
  <c r="AB599" i="87" s="1"/>
  <c r="Z598" i="87"/>
  <c r="X598" i="87"/>
  <c r="AB598" i="87" s="1"/>
  <c r="Z597" i="87"/>
  <c r="X597" i="87"/>
  <c r="Z596" i="87"/>
  <c r="X596" i="87"/>
  <c r="Z595" i="87"/>
  <c r="AC595" i="87" s="1"/>
  <c r="X595" i="87"/>
  <c r="AB595" i="87" s="1"/>
  <c r="Z594" i="87"/>
  <c r="AC594" i="87" s="1"/>
  <c r="X594" i="87"/>
  <c r="AB594" i="87" s="1"/>
  <c r="Z592" i="87"/>
  <c r="X592" i="87"/>
  <c r="Z591" i="87"/>
  <c r="X591" i="87"/>
  <c r="Z590" i="87"/>
  <c r="X590" i="87"/>
  <c r="Z589" i="87"/>
  <c r="X589" i="87"/>
  <c r="AB589" i="87" s="1"/>
  <c r="Z588" i="87"/>
  <c r="Z587" i="87"/>
  <c r="X587" i="87"/>
  <c r="AB587" i="87" s="1"/>
  <c r="Z580" i="87"/>
  <c r="X580" i="87"/>
  <c r="AB580" i="87" s="1"/>
  <c r="X576" i="87"/>
  <c r="AB576" i="87" s="1"/>
  <c r="Z575" i="87"/>
  <c r="X575" i="87"/>
  <c r="Z574" i="87"/>
  <c r="X574" i="87"/>
  <c r="Z571" i="87"/>
  <c r="X571" i="87"/>
  <c r="AB571" i="87" s="1"/>
  <c r="X566" i="87"/>
  <c r="AB566" i="87" s="1"/>
  <c r="Z565" i="87"/>
  <c r="AC565" i="87" s="1"/>
  <c r="Z564" i="87"/>
  <c r="X564" i="87"/>
  <c r="Z562" i="87"/>
  <c r="X562" i="87"/>
  <c r="Z561" i="87"/>
  <c r="X561" i="87"/>
  <c r="AB561" i="87" s="1"/>
  <c r="Z560" i="87"/>
  <c r="AC560" i="87" s="1"/>
  <c r="X560" i="87"/>
  <c r="AB560" i="87" s="1"/>
  <c r="Z559" i="87"/>
  <c r="X559" i="87"/>
  <c r="Z558" i="87"/>
  <c r="X558" i="87"/>
  <c r="Z557" i="87"/>
  <c r="AC557" i="87"/>
  <c r="X557" i="87"/>
  <c r="AB557" i="87" s="1"/>
  <c r="Z556" i="87"/>
  <c r="X556" i="87"/>
  <c r="Z552" i="87"/>
  <c r="X552" i="87"/>
  <c r="Z551" i="87"/>
  <c r="Z550" i="87"/>
  <c r="X550" i="87"/>
  <c r="AB550" i="87" s="1"/>
  <c r="Z548" i="87"/>
  <c r="Z547" i="87"/>
  <c r="X547" i="87"/>
  <c r="Z536" i="87"/>
  <c r="X536" i="87"/>
  <c r="Z535" i="87"/>
  <c r="X535" i="87"/>
  <c r="Z533" i="87"/>
  <c r="X533" i="87"/>
  <c r="Z532" i="87"/>
  <c r="X532" i="87"/>
  <c r="AB532" i="87" s="1"/>
  <c r="Z531" i="87"/>
  <c r="X531" i="87"/>
  <c r="AB531" i="87" s="1"/>
  <c r="Z530" i="87"/>
  <c r="X530" i="87"/>
  <c r="Z528" i="87"/>
  <c r="X528" i="87"/>
  <c r="Z527" i="87"/>
  <c r="X527" i="87"/>
  <c r="X526" i="87"/>
  <c r="Z523" i="87"/>
  <c r="X523" i="87"/>
  <c r="Z522" i="87"/>
  <c r="X522" i="87"/>
  <c r="X521" i="87"/>
  <c r="Z519" i="87"/>
  <c r="Z516" i="87"/>
  <c r="X516" i="87"/>
  <c r="Z508" i="87"/>
  <c r="X508" i="87"/>
  <c r="Z507" i="87"/>
  <c r="X507" i="87"/>
  <c r="Z501" i="87"/>
  <c r="X501" i="87"/>
  <c r="Z500" i="87"/>
  <c r="X500" i="87"/>
  <c r="Z498" i="87"/>
  <c r="X498" i="87"/>
  <c r="Z497" i="87"/>
  <c r="AC497" i="87" s="1"/>
  <c r="X497" i="87"/>
  <c r="Z496" i="87"/>
  <c r="X496" i="87"/>
  <c r="Z495" i="87"/>
  <c r="X495" i="87"/>
  <c r="Z493" i="87"/>
  <c r="X493" i="87"/>
  <c r="Z492" i="87"/>
  <c r="X492" i="87"/>
  <c r="X485" i="87"/>
  <c r="Z484" i="87"/>
  <c r="X484" i="87"/>
  <c r="Z480" i="87"/>
  <c r="X480" i="87"/>
  <c r="Z479" i="87"/>
  <c r="X479" i="87"/>
  <c r="AB479" i="87" s="1"/>
  <c r="Z474" i="87"/>
  <c r="X474" i="87"/>
  <c r="Z468" i="87"/>
  <c r="X468" i="87"/>
  <c r="Z467" i="87"/>
  <c r="AC467" i="87" s="1"/>
  <c r="X467" i="87"/>
  <c r="AB467" i="87" s="1"/>
  <c r="Z466" i="87"/>
  <c r="Z465" i="87"/>
  <c r="X465" i="87"/>
  <c r="X464" i="87"/>
  <c r="Z456" i="87"/>
  <c r="X456" i="87"/>
  <c r="Z455" i="87"/>
  <c r="AC455" i="87" s="1"/>
  <c r="X455" i="87"/>
  <c r="Z454" i="87"/>
  <c r="AC454" i="87" s="1"/>
  <c r="X454" i="87"/>
  <c r="Z453" i="87"/>
  <c r="Z452" i="87"/>
  <c r="X452" i="87"/>
  <c r="Z451" i="87"/>
  <c r="X451" i="87"/>
  <c r="Z450" i="87"/>
  <c r="X450" i="87"/>
  <c r="Z449" i="87"/>
  <c r="X449" i="87"/>
  <c r="Z448" i="87"/>
  <c r="X448" i="87"/>
  <c r="Z447" i="87"/>
  <c r="X447" i="87"/>
  <c r="Z446" i="87"/>
  <c r="X446" i="87"/>
  <c r="Z445" i="87"/>
  <c r="X445" i="87"/>
  <c r="Z444" i="87"/>
  <c r="X444" i="87"/>
  <c r="AB444" i="87" s="1"/>
  <c r="Z442" i="87"/>
  <c r="X442" i="87"/>
  <c r="Z441" i="87"/>
  <c r="Z440" i="87"/>
  <c r="Z437" i="87"/>
  <c r="X437" i="87"/>
  <c r="Z436" i="87"/>
  <c r="X436" i="87"/>
  <c r="Z433" i="87"/>
  <c r="X433" i="87"/>
  <c r="Z431" i="87"/>
  <c r="X431" i="87"/>
  <c r="AB431" i="87"/>
  <c r="X430" i="87"/>
  <c r="Z429" i="87"/>
  <c r="X429" i="87"/>
  <c r="Z426" i="87"/>
  <c r="X426" i="87"/>
  <c r="Z419" i="87"/>
  <c r="X419" i="87"/>
  <c r="Z411" i="87"/>
  <c r="X411" i="87"/>
  <c r="Z410" i="87"/>
  <c r="X410" i="87"/>
  <c r="Z409" i="87"/>
  <c r="X409" i="87"/>
  <c r="Z407" i="87"/>
  <c r="X407" i="87"/>
  <c r="X405" i="87"/>
  <c r="X404" i="87"/>
  <c r="X403" i="87"/>
  <c r="Z398" i="87"/>
  <c r="X398" i="87"/>
  <c r="X397" i="87"/>
  <c r="AB397" i="87" s="1"/>
  <c r="Z396" i="87"/>
  <c r="X396" i="87"/>
  <c r="Z395" i="87"/>
  <c r="X395" i="87"/>
  <c r="Z392" i="87"/>
  <c r="X392" i="87"/>
  <c r="X389" i="87"/>
  <c r="Z388" i="87"/>
  <c r="X388" i="87"/>
  <c r="Z387" i="87"/>
  <c r="Z383" i="87"/>
  <c r="X383" i="87"/>
  <c r="AB383" i="87" s="1"/>
  <c r="X381" i="87"/>
  <c r="Z380" i="87"/>
  <c r="X380" i="87"/>
  <c r="X374" i="87"/>
  <c r="Z373" i="87"/>
  <c r="X373" i="87"/>
  <c r="Z371" i="87"/>
  <c r="X367" i="87"/>
  <c r="Z365" i="87"/>
  <c r="X365" i="87"/>
  <c r="Z364" i="87"/>
  <c r="X364" i="87"/>
  <c r="Z363" i="87"/>
  <c r="X363" i="87"/>
  <c r="AB363" i="87" s="1"/>
  <c r="Z361" i="87"/>
  <c r="X361" i="87"/>
  <c r="Z360" i="87"/>
  <c r="X360" i="87"/>
  <c r="Z359" i="87"/>
  <c r="X359" i="87"/>
  <c r="AB359" i="87" s="1"/>
  <c r="Z358" i="87"/>
  <c r="AC358" i="87" s="1"/>
  <c r="X358" i="87"/>
  <c r="AB358" i="87" s="1"/>
  <c r="Z357" i="87"/>
  <c r="X357" i="87"/>
  <c r="Z356" i="87"/>
  <c r="X356" i="87"/>
  <c r="Z355" i="87"/>
  <c r="X355" i="87"/>
  <c r="X354" i="87"/>
  <c r="AB354" i="87" s="1"/>
  <c r="Z353" i="87"/>
  <c r="X353" i="87"/>
  <c r="Z352" i="87"/>
  <c r="Z351" i="87"/>
  <c r="X351" i="87"/>
  <c r="Z350" i="87"/>
  <c r="X350" i="87"/>
  <c r="Z348" i="87"/>
  <c r="Z345" i="87"/>
  <c r="X345" i="87"/>
  <c r="Z343" i="87"/>
  <c r="X343" i="87"/>
  <c r="AB343" i="87" s="1"/>
  <c r="Z342" i="87"/>
  <c r="X342" i="87"/>
  <c r="AB342" i="87" s="1"/>
  <c r="X340" i="87"/>
  <c r="Z339" i="87"/>
  <c r="X339" i="87"/>
  <c r="Z338" i="87"/>
  <c r="X338" i="87"/>
  <c r="Z325" i="87"/>
  <c r="X325" i="87"/>
  <c r="AB325" i="87" s="1"/>
  <c r="Z324" i="87"/>
  <c r="X324" i="87"/>
  <c r="AB324" i="87" s="1"/>
  <c r="Z323" i="87"/>
  <c r="Z322" i="87"/>
  <c r="X322" i="87"/>
  <c r="X321" i="87"/>
  <c r="Z320" i="87"/>
  <c r="AC320" i="87" s="1"/>
  <c r="X320" i="87"/>
  <c r="Z319" i="87"/>
  <c r="X319" i="87"/>
  <c r="Z316" i="87"/>
  <c r="X316" i="87"/>
  <c r="X315" i="87"/>
  <c r="X313" i="87"/>
  <c r="X312" i="87"/>
  <c r="AB312" i="87" s="1"/>
  <c r="Z310" i="87"/>
  <c r="AC310" i="87" s="1"/>
  <c r="Z309" i="87"/>
  <c r="X309" i="87"/>
  <c r="Z302" i="87"/>
  <c r="Z301" i="87"/>
  <c r="X301" i="87"/>
  <c r="Z294" i="87"/>
  <c r="X294" i="87"/>
  <c r="X293" i="87"/>
  <c r="Z292" i="87"/>
  <c r="X292" i="87"/>
  <c r="X284" i="87"/>
  <c r="X283" i="87"/>
  <c r="AB283" i="87" s="1"/>
  <c r="Z282" i="87"/>
  <c r="X282" i="87"/>
  <c r="AB282" i="87" s="1"/>
  <c r="Z281" i="87"/>
  <c r="AC281" i="87"/>
  <c r="Z277" i="87"/>
  <c r="X277" i="87"/>
  <c r="Z276" i="87"/>
  <c r="X276" i="87"/>
  <c r="X275" i="87"/>
  <c r="Z274" i="87"/>
  <c r="X274" i="87"/>
  <c r="Z273" i="87"/>
  <c r="X273" i="87"/>
  <c r="Z272" i="87"/>
  <c r="AC272" i="87" s="1"/>
  <c r="X271" i="87"/>
  <c r="AB271" i="87" s="1"/>
  <c r="Z270" i="87"/>
  <c r="X270" i="87"/>
  <c r="Z269" i="87"/>
  <c r="X269" i="87"/>
  <c r="Z268" i="87"/>
  <c r="X268" i="87"/>
  <c r="Z267" i="87"/>
  <c r="X267" i="87"/>
  <c r="Z266" i="87"/>
  <c r="X266" i="87"/>
  <c r="Z264" i="87"/>
  <c r="X264" i="87"/>
  <c r="Z263" i="87"/>
  <c r="X263" i="87"/>
  <c r="AB263" i="87" s="1"/>
  <c r="Z262" i="87"/>
  <c r="X262" i="87"/>
  <c r="AB262" i="87" s="1"/>
  <c r="X261" i="87"/>
  <c r="Z259" i="87"/>
  <c r="Z258" i="87"/>
  <c r="X258" i="87"/>
  <c r="Z255" i="87"/>
  <c r="X255" i="87"/>
  <c r="Z254" i="87"/>
  <c r="X254" i="87"/>
  <c r="AB254" i="87" s="1"/>
  <c r="Z252" i="87"/>
  <c r="X252" i="87"/>
  <c r="Z249" i="87"/>
  <c r="X249" i="87"/>
  <c r="Z247" i="87"/>
  <c r="Z243" i="87"/>
  <c r="Z242" i="87"/>
  <c r="X242" i="87"/>
  <c r="Z239" i="87"/>
  <c r="AC239" i="87" s="1"/>
  <c r="X239" i="87"/>
  <c r="AB239" i="87" s="1"/>
  <c r="Z237" i="87"/>
  <c r="X237" i="87"/>
  <c r="AB237" i="87" s="1"/>
  <c r="Z236" i="87"/>
  <c r="X236" i="87"/>
  <c r="AB236" i="87" s="1"/>
  <c r="Z234" i="87"/>
  <c r="X234" i="87"/>
  <c r="AB234" i="87" s="1"/>
  <c r="X233" i="87"/>
  <c r="Z231" i="87"/>
  <c r="X231" i="87"/>
  <c r="Z229" i="87"/>
  <c r="X229" i="87"/>
  <c r="Z228" i="87"/>
  <c r="X228" i="87"/>
  <c r="AB228" i="87" s="1"/>
  <c r="X227" i="87"/>
  <c r="AB227" i="87" s="1"/>
  <c r="Z225" i="87"/>
  <c r="AC225" i="87" s="1"/>
  <c r="Z224" i="87"/>
  <c r="X224" i="87"/>
  <c r="Z223" i="87"/>
  <c r="X223" i="87"/>
  <c r="AB223" i="87" s="1"/>
  <c r="X221" i="87"/>
  <c r="Z220" i="87"/>
  <c r="X220" i="87"/>
  <c r="Z216" i="87"/>
  <c r="X216" i="87"/>
  <c r="Z215" i="87"/>
  <c r="X215" i="87"/>
  <c r="Z214" i="87"/>
  <c r="X214" i="87"/>
  <c r="AB214" i="87" s="1"/>
  <c r="Z213" i="87"/>
  <c r="X213" i="87"/>
  <c r="AB213" i="87" s="1"/>
  <c r="Z212" i="87"/>
  <c r="AC212" i="87" s="1"/>
  <c r="X212" i="87"/>
  <c r="Z211" i="87"/>
  <c r="X211" i="87"/>
  <c r="Z208" i="87"/>
  <c r="X208" i="87"/>
  <c r="X205" i="87"/>
  <c r="Z204" i="87"/>
  <c r="X204" i="87"/>
  <c r="Z203" i="87"/>
  <c r="AC203" i="87" s="1"/>
  <c r="X203" i="87"/>
  <c r="Z201" i="87"/>
  <c r="X201" i="87"/>
  <c r="Z198" i="87"/>
  <c r="X198" i="87"/>
  <c r="X197" i="87"/>
  <c r="AB197" i="87" s="1"/>
  <c r="Z195" i="87"/>
  <c r="X195" i="87"/>
  <c r="Z192" i="87"/>
  <c r="X192" i="87"/>
  <c r="X188" i="87"/>
  <c r="Z187" i="87"/>
  <c r="X187" i="87"/>
  <c r="Z186" i="87"/>
  <c r="X186" i="87"/>
  <c r="Z181" i="87"/>
  <c r="Z180" i="87"/>
  <c r="X180" i="87"/>
  <c r="Z179" i="87"/>
  <c r="AC179" i="87" s="1"/>
  <c r="X179" i="87"/>
  <c r="Z178" i="87"/>
  <c r="X178" i="87"/>
  <c r="X177" i="87"/>
  <c r="Z176" i="87"/>
  <c r="X176" i="87"/>
  <c r="Z175" i="87"/>
  <c r="X175" i="87"/>
  <c r="Z174" i="87"/>
  <c r="X174" i="87"/>
  <c r="Z173" i="87"/>
  <c r="X173" i="87"/>
  <c r="Z172" i="87"/>
  <c r="X172" i="87"/>
  <c r="AB172" i="87" s="1"/>
  <c r="Z170" i="87"/>
  <c r="X170" i="87"/>
  <c r="Z169" i="87"/>
  <c r="X169" i="87"/>
  <c r="Z168" i="87"/>
  <c r="X168" i="87"/>
  <c r="Z167" i="87"/>
  <c r="X167" i="87"/>
  <c r="Z166" i="87"/>
  <c r="X166" i="87"/>
  <c r="Z165" i="87"/>
  <c r="X165" i="87"/>
  <c r="Z164" i="87"/>
  <c r="X164" i="87"/>
  <c r="Z163" i="87"/>
  <c r="X163" i="87"/>
  <c r="AB163" i="87" s="1"/>
  <c r="Z162" i="87"/>
  <c r="X162" i="87"/>
  <c r="AB162" i="87" s="1"/>
  <c r="Z161" i="87"/>
  <c r="X161" i="87"/>
  <c r="Z160" i="87"/>
  <c r="X160" i="87"/>
  <c r="Z159" i="87"/>
  <c r="AC159" i="87" s="1"/>
  <c r="X159" i="87"/>
  <c r="Z158" i="87"/>
  <c r="Z155" i="87"/>
  <c r="X155" i="87"/>
  <c r="Z154" i="87"/>
  <c r="X154" i="87"/>
  <c r="AB154" i="87" s="1"/>
  <c r="Z153" i="87"/>
  <c r="X153" i="87"/>
  <c r="AB153" i="87" s="1"/>
  <c r="Z152" i="87"/>
  <c r="X152" i="87"/>
  <c r="AB152" i="87" s="1"/>
  <c r="Z151" i="87"/>
  <c r="AC151" i="87" s="1"/>
  <c r="X151" i="87"/>
  <c r="Z149" i="87"/>
  <c r="X149" i="87"/>
  <c r="Z148" i="87"/>
  <c r="AC148" i="87"/>
  <c r="X148" i="87"/>
  <c r="Z147" i="87"/>
  <c r="X147" i="87"/>
  <c r="Z146" i="87"/>
  <c r="X146" i="87"/>
  <c r="Z141" i="87"/>
  <c r="X141" i="87"/>
  <c r="Z140" i="87"/>
  <c r="X140" i="87"/>
  <c r="AB140" i="87" s="1"/>
  <c r="Z139" i="87"/>
  <c r="X139" i="87"/>
  <c r="Z138" i="87"/>
  <c r="X138" i="87"/>
  <c r="Z134" i="87"/>
  <c r="X134" i="87"/>
  <c r="Z133" i="87"/>
  <c r="X133" i="87"/>
  <c r="Z131" i="87"/>
  <c r="X131" i="87"/>
  <c r="X130" i="87"/>
  <c r="Z129" i="87"/>
  <c r="X129" i="87"/>
  <c r="Z128" i="87"/>
  <c r="AC128" i="87" s="1"/>
  <c r="X128" i="87"/>
  <c r="AB128" i="87" s="1"/>
  <c r="Z127" i="87"/>
  <c r="X127" i="87"/>
  <c r="Z126" i="87"/>
  <c r="X126" i="87"/>
  <c r="Z125" i="87"/>
  <c r="X125" i="87"/>
  <c r="Z124" i="87"/>
  <c r="X124" i="87"/>
  <c r="Z123" i="87"/>
  <c r="X123" i="87"/>
  <c r="Z122" i="87"/>
  <c r="X122" i="87"/>
  <c r="Z121" i="87"/>
  <c r="X121" i="87"/>
  <c r="AB121" i="87" s="1"/>
  <c r="Z120" i="87"/>
  <c r="X120" i="87"/>
  <c r="AB120" i="87" s="1"/>
  <c r="Z119" i="87"/>
  <c r="X119" i="87"/>
  <c r="AB119" i="87" s="1"/>
  <c r="Z114" i="87"/>
  <c r="X114" i="87"/>
  <c r="Z113" i="87"/>
  <c r="X113" i="87"/>
  <c r="Z112" i="87"/>
  <c r="AC112" i="87" s="1"/>
  <c r="X112" i="87"/>
  <c r="AB112" i="87" s="1"/>
  <c r="Z111" i="87"/>
  <c r="X111" i="87"/>
  <c r="Z110" i="87"/>
  <c r="X110" i="87"/>
  <c r="AB110" i="87" s="1"/>
  <c r="Z109" i="87"/>
  <c r="X109" i="87"/>
  <c r="AB109" i="87" s="1"/>
  <c r="Z108" i="87"/>
  <c r="X108" i="87"/>
  <c r="AB108" i="87" s="1"/>
  <c r="Z107" i="87"/>
  <c r="X107" i="87"/>
  <c r="Z106" i="87"/>
  <c r="X106" i="87"/>
  <c r="Z101" i="87"/>
  <c r="X101" i="87"/>
  <c r="Z100" i="87"/>
  <c r="X100" i="87"/>
  <c r="AB100" i="87" s="1"/>
  <c r="Z99" i="87"/>
  <c r="AC99" i="87" s="1"/>
  <c r="X99" i="87"/>
  <c r="AB99" i="87" s="1"/>
  <c r="Z98" i="87"/>
  <c r="X98" i="87"/>
  <c r="X95" i="87"/>
  <c r="Z94" i="87"/>
  <c r="Z93" i="87"/>
  <c r="X93" i="87"/>
  <c r="Z91" i="87"/>
  <c r="X91" i="87"/>
  <c r="X90" i="87"/>
  <c r="X89" i="87"/>
  <c r="Z88" i="87"/>
  <c r="X88" i="87"/>
  <c r="Z87" i="87"/>
  <c r="AC87" i="87" s="1"/>
  <c r="X87" i="87"/>
  <c r="AB87" i="87" s="1"/>
  <c r="Z86" i="87"/>
  <c r="X86" i="87"/>
  <c r="AB86" i="87" s="1"/>
  <c r="Z85" i="87"/>
  <c r="X85" i="87"/>
  <c r="Z84" i="87"/>
  <c r="X84" i="87"/>
  <c r="Z83" i="87"/>
  <c r="X83" i="87"/>
  <c r="Z82" i="87"/>
  <c r="X82" i="87"/>
  <c r="Z81" i="87"/>
  <c r="X81" i="87"/>
  <c r="AB81" i="87" s="1"/>
  <c r="Z80" i="87"/>
  <c r="X80" i="87"/>
  <c r="Z79" i="87"/>
  <c r="X79" i="87"/>
  <c r="X78" i="87"/>
  <c r="AB78" i="87" s="1"/>
  <c r="Z75" i="87"/>
  <c r="Z74" i="87"/>
  <c r="X74" i="87"/>
  <c r="Z73" i="87"/>
  <c r="X73" i="87"/>
  <c r="Z68" i="87"/>
  <c r="X68" i="87"/>
  <c r="Z67" i="87"/>
  <c r="X67" i="87"/>
  <c r="Z66" i="87"/>
  <c r="AC66" i="87" s="1"/>
  <c r="X66" i="87"/>
  <c r="AB66" i="87"/>
  <c r="Z65" i="87"/>
  <c r="X65" i="87"/>
  <c r="Z64" i="87"/>
  <c r="AC64" i="87" s="1"/>
  <c r="X64" i="87"/>
  <c r="Z62" i="87"/>
  <c r="X62" i="87"/>
  <c r="Z61" i="87"/>
  <c r="X61" i="87"/>
  <c r="Z60" i="87"/>
  <c r="X60" i="87"/>
  <c r="Z59" i="87"/>
  <c r="X59" i="87"/>
  <c r="X58" i="87"/>
  <c r="AB58" i="87" s="1"/>
  <c r="Z56" i="87"/>
  <c r="AC56" i="87" s="1"/>
  <c r="X56" i="87"/>
  <c r="Z55" i="87"/>
  <c r="X55" i="87"/>
  <c r="Z54" i="87"/>
  <c r="X54" i="87"/>
  <c r="Z53" i="87"/>
  <c r="X53" i="87"/>
  <c r="Z52" i="87"/>
  <c r="X52" i="87"/>
  <c r="Z51" i="87"/>
  <c r="X51" i="87"/>
  <c r="Z50" i="87"/>
  <c r="X50" i="87"/>
  <c r="Z49" i="87"/>
  <c r="X49" i="87"/>
  <c r="Z48" i="87"/>
  <c r="X48" i="87"/>
  <c r="Z47" i="87"/>
  <c r="X47" i="87"/>
  <c r="AB47" i="87" s="1"/>
  <c r="Z42" i="87"/>
  <c r="X42" i="87"/>
  <c r="Z41" i="87"/>
  <c r="X41" i="87"/>
  <c r="AB41" i="87" s="1"/>
  <c r="Z40" i="87"/>
  <c r="X40" i="87"/>
  <c r="Z39" i="87"/>
  <c r="X39" i="87"/>
  <c r="Z38" i="87"/>
  <c r="AC38" i="87"/>
  <c r="Z37" i="87"/>
  <c r="X37" i="87"/>
  <c r="AB37" i="87" s="1"/>
  <c r="Z36" i="87"/>
  <c r="X36" i="87"/>
  <c r="Z35" i="87"/>
  <c r="X35" i="87"/>
  <c r="Z34" i="87"/>
  <c r="AC34" i="87" s="1"/>
  <c r="X34" i="87"/>
  <c r="Z33" i="87"/>
  <c r="X33" i="87"/>
  <c r="AB33" i="87" s="1"/>
  <c r="Z32" i="87"/>
  <c r="X32" i="87"/>
  <c r="Z31" i="87"/>
  <c r="AC31" i="87"/>
  <c r="X31" i="87"/>
  <c r="Z30" i="87"/>
  <c r="X30" i="87"/>
  <c r="Z29" i="87"/>
  <c r="X29" i="87"/>
  <c r="Z28" i="87"/>
  <c r="X28" i="87"/>
  <c r="AB28" i="87" s="1"/>
  <c r="Z27" i="87"/>
  <c r="Z26" i="87"/>
  <c r="X26" i="87"/>
  <c r="AB26" i="87" s="1"/>
  <c r="Z25" i="87"/>
  <c r="AC25" i="87" s="1"/>
  <c r="X25" i="87"/>
  <c r="Z24" i="87"/>
  <c r="X24" i="87"/>
  <c r="Z22" i="87"/>
  <c r="X22" i="87"/>
  <c r="Z17" i="87"/>
  <c r="AC17" i="87" s="1"/>
  <c r="X17" i="87"/>
  <c r="Z15" i="87"/>
  <c r="X15" i="87"/>
  <c r="Z14" i="87"/>
  <c r="X14" i="87"/>
  <c r="AB14" i="87" s="1"/>
  <c r="Z13" i="87"/>
  <c r="X13" i="87"/>
  <c r="Z12" i="87"/>
  <c r="X12" i="87"/>
  <c r="Z11" i="87"/>
  <c r="X11" i="87"/>
  <c r="Z10" i="87"/>
  <c r="X10" i="87"/>
  <c r="AB10" i="87" s="1"/>
  <c r="Z9" i="87"/>
  <c r="X9" i="87"/>
  <c r="Z8" i="87"/>
  <c r="X8" i="87"/>
  <c r="Z7" i="87"/>
  <c r="X7" i="87"/>
  <c r="Z1023" i="89"/>
  <c r="X1023" i="89"/>
  <c r="AB1023" i="89" s="1"/>
  <c r="Z1022" i="89"/>
  <c r="X1022" i="89"/>
  <c r="Z1021" i="89"/>
  <c r="X1021" i="89"/>
  <c r="Z1020" i="89"/>
  <c r="X1020" i="89"/>
  <c r="Z1019" i="89"/>
  <c r="AC1019" i="89"/>
  <c r="X1019" i="89"/>
  <c r="AB1019" i="89"/>
  <c r="Z1018" i="89"/>
  <c r="X1018" i="89"/>
  <c r="Z1017" i="89"/>
  <c r="X1017" i="89"/>
  <c r="Z1016" i="89"/>
  <c r="X1016" i="89"/>
  <c r="Z1015" i="89"/>
  <c r="X1015" i="89"/>
  <c r="AB1015" i="89" s="1"/>
  <c r="Z1014" i="89"/>
  <c r="X1014" i="89"/>
  <c r="Z1013" i="89"/>
  <c r="X1013" i="89"/>
  <c r="Z1012" i="89"/>
  <c r="AC1012" i="89"/>
  <c r="X1012" i="89"/>
  <c r="Z1011" i="89"/>
  <c r="AC1011" i="89" s="1"/>
  <c r="X1011" i="89"/>
  <c r="Z1010" i="89"/>
  <c r="AC1010" i="89" s="1"/>
  <c r="X1010" i="89"/>
  <c r="Z1009" i="89"/>
  <c r="X1009" i="89"/>
  <c r="Z1008" i="89"/>
  <c r="X1008" i="89"/>
  <c r="Z1005" i="89"/>
  <c r="X1005" i="89"/>
  <c r="Z1004" i="89"/>
  <c r="X1004" i="89"/>
  <c r="Z1003" i="89"/>
  <c r="X1003" i="89"/>
  <c r="AB1003" i="89" s="1"/>
  <c r="Z1002" i="89"/>
  <c r="AC1002" i="89"/>
  <c r="X1002" i="89"/>
  <c r="AB1002" i="89" s="1"/>
  <c r="Z999" i="89"/>
  <c r="X999" i="89"/>
  <c r="Z998" i="89"/>
  <c r="X998" i="89"/>
  <c r="Z997" i="89"/>
  <c r="X997" i="89"/>
  <c r="Z996" i="89"/>
  <c r="X996" i="89"/>
  <c r="Z995" i="89"/>
  <c r="X995" i="89"/>
  <c r="Z994" i="89"/>
  <c r="X994" i="89"/>
  <c r="Z993" i="89"/>
  <c r="AC993" i="89" s="1"/>
  <c r="X993" i="89"/>
  <c r="AB993" i="89" s="1"/>
  <c r="Z992" i="89"/>
  <c r="X992" i="89"/>
  <c r="AB992" i="89" s="1"/>
  <c r="Z989" i="89"/>
  <c r="X989" i="89"/>
  <c r="Z988" i="89"/>
  <c r="X988" i="89"/>
  <c r="Z987" i="89"/>
  <c r="Z986" i="89"/>
  <c r="Z985" i="89"/>
  <c r="Z984" i="89"/>
  <c r="Z983" i="89"/>
  <c r="X983" i="89"/>
  <c r="Z982" i="89"/>
  <c r="AC982" i="89"/>
  <c r="X982" i="89"/>
  <c r="AB982" i="89" s="1"/>
  <c r="Z981" i="89"/>
  <c r="Z980" i="89"/>
  <c r="AC980" i="89" s="1"/>
  <c r="Z979" i="89"/>
  <c r="X979" i="89"/>
  <c r="AB979" i="89"/>
  <c r="Z978" i="89"/>
  <c r="X978" i="89"/>
  <c r="Z977" i="89"/>
  <c r="X977" i="89"/>
  <c r="Z976" i="89"/>
  <c r="AC976" i="89"/>
  <c r="X976" i="89"/>
  <c r="Z975" i="89"/>
  <c r="AC975" i="89"/>
  <c r="X975" i="89"/>
  <c r="Z974" i="89"/>
  <c r="AC974" i="89" s="1"/>
  <c r="X974" i="89"/>
  <c r="AB974" i="89" s="1"/>
  <c r="Z973" i="89"/>
  <c r="AC973" i="89" s="1"/>
  <c r="X973" i="89"/>
  <c r="Z972" i="89"/>
  <c r="AC972" i="89" s="1"/>
  <c r="X972" i="89"/>
  <c r="Z970" i="89"/>
  <c r="X970" i="89"/>
  <c r="Z969" i="89"/>
  <c r="X969" i="89"/>
  <c r="Z968" i="89"/>
  <c r="X968" i="89"/>
  <c r="Z967" i="89"/>
  <c r="X967" i="89"/>
  <c r="Z966" i="89"/>
  <c r="X966" i="89"/>
  <c r="Z964" i="89"/>
  <c r="AC964" i="89" s="1"/>
  <c r="X964" i="89"/>
  <c r="AB964" i="89" s="1"/>
  <c r="Z963" i="89"/>
  <c r="X963" i="89"/>
  <c r="Z962" i="89"/>
  <c r="X962" i="89"/>
  <c r="Z961" i="89"/>
  <c r="X961" i="89"/>
  <c r="Z960" i="89"/>
  <c r="X960" i="89"/>
  <c r="Z959" i="89"/>
  <c r="AC959" i="89" s="1"/>
  <c r="X959" i="89"/>
  <c r="AB959" i="89"/>
  <c r="Z958" i="89"/>
  <c r="X958" i="89"/>
  <c r="Z957" i="89"/>
  <c r="X957" i="89"/>
  <c r="Z956" i="89"/>
  <c r="X956" i="89"/>
  <c r="Z955" i="89"/>
  <c r="X955" i="89"/>
  <c r="Z954" i="89"/>
  <c r="X954" i="89"/>
  <c r="Z951" i="89"/>
  <c r="X951" i="89"/>
  <c r="Z950" i="89"/>
  <c r="X950" i="89"/>
  <c r="Z949" i="89"/>
  <c r="AC949" i="89"/>
  <c r="X949" i="89"/>
  <c r="AB949" i="89" s="1"/>
  <c r="Z947" i="89"/>
  <c r="AC947" i="89" s="1"/>
  <c r="X947" i="89"/>
  <c r="Z946" i="89"/>
  <c r="AC946" i="89" s="1"/>
  <c r="X946" i="89"/>
  <c r="Z945" i="89"/>
  <c r="X945" i="89"/>
  <c r="Z944" i="89"/>
  <c r="X944" i="89"/>
  <c r="Z939" i="89"/>
  <c r="X939" i="89"/>
  <c r="Z937" i="89"/>
  <c r="X937" i="89"/>
  <c r="Z936" i="89"/>
  <c r="X936" i="89"/>
  <c r="Z935" i="89"/>
  <c r="X935" i="89"/>
  <c r="Z934" i="89"/>
  <c r="AC934" i="89" s="1"/>
  <c r="X934" i="89"/>
  <c r="AB934" i="89" s="1"/>
  <c r="Z933" i="89"/>
  <c r="AC933" i="89" s="1"/>
  <c r="X933" i="89"/>
  <c r="AB933" i="89" s="1"/>
  <c r="Z931" i="89"/>
  <c r="X931" i="89"/>
  <c r="Z930" i="89"/>
  <c r="X930" i="89"/>
  <c r="Z929" i="89"/>
  <c r="X929" i="89"/>
  <c r="Z928" i="89"/>
  <c r="X928" i="89"/>
  <c r="Z927" i="89"/>
  <c r="X927" i="89"/>
  <c r="Z926" i="89"/>
  <c r="X926" i="89"/>
  <c r="Z925" i="89"/>
  <c r="AC925" i="89" s="1"/>
  <c r="X925" i="89"/>
  <c r="AB925" i="89" s="1"/>
  <c r="Z924" i="89"/>
  <c r="AC924" i="89" s="1"/>
  <c r="X924" i="89"/>
  <c r="Z921" i="89"/>
  <c r="AC921" i="89" s="1"/>
  <c r="X921" i="89"/>
  <c r="Z920" i="89"/>
  <c r="X920" i="89"/>
  <c r="Z919" i="89"/>
  <c r="X919" i="89"/>
  <c r="Z918" i="89"/>
  <c r="X918" i="89"/>
  <c r="Z917" i="89"/>
  <c r="X917" i="89"/>
  <c r="Z916" i="89"/>
  <c r="X916" i="89"/>
  <c r="Z914" i="89"/>
  <c r="X914" i="89"/>
  <c r="Z913" i="89"/>
  <c r="X913" i="89"/>
  <c r="AB913" i="89" s="1"/>
  <c r="Z912" i="89"/>
  <c r="X912" i="89"/>
  <c r="AB912" i="89" s="1"/>
  <c r="Z911" i="89"/>
  <c r="X911" i="89"/>
  <c r="Z910" i="89"/>
  <c r="X910" i="89"/>
  <c r="Z909" i="89"/>
  <c r="X909" i="89"/>
  <c r="Z904" i="89"/>
  <c r="X904" i="89"/>
  <c r="Z902" i="89"/>
  <c r="X902" i="89"/>
  <c r="Z901" i="89"/>
  <c r="X901" i="89"/>
  <c r="Z900" i="89"/>
  <c r="X900" i="89"/>
  <c r="AB900" i="89" s="1"/>
  <c r="Z899" i="89"/>
  <c r="X899" i="89"/>
  <c r="Z898" i="89"/>
  <c r="X898" i="89"/>
  <c r="Z897" i="89"/>
  <c r="Z896" i="89"/>
  <c r="X896" i="89"/>
  <c r="Z895" i="89"/>
  <c r="X895" i="89"/>
  <c r="AB895" i="89" s="1"/>
  <c r="Z894" i="89"/>
  <c r="X894" i="89"/>
  <c r="Z893" i="89"/>
  <c r="X893" i="89"/>
  <c r="Z892" i="89"/>
  <c r="AC892" i="89" s="1"/>
  <c r="X892" i="89"/>
  <c r="AB892" i="89" s="1"/>
  <c r="Z891" i="89"/>
  <c r="X891" i="89"/>
  <c r="AB891" i="89" s="1"/>
  <c r="Z890" i="89"/>
  <c r="X890" i="89"/>
  <c r="Z889" i="89"/>
  <c r="X889" i="89"/>
  <c r="Z888" i="89"/>
  <c r="X888" i="89"/>
  <c r="Z887" i="89"/>
  <c r="X887" i="89"/>
  <c r="AB887" i="89" s="1"/>
  <c r="Z886" i="89"/>
  <c r="AC886" i="89" s="1"/>
  <c r="X886" i="89"/>
  <c r="Z882" i="89"/>
  <c r="X882" i="89"/>
  <c r="Z877" i="89"/>
  <c r="AC877" i="89" s="1"/>
  <c r="X877" i="89"/>
  <c r="AB877" i="89" s="1"/>
  <c r="Z876" i="89"/>
  <c r="AC876" i="89" s="1"/>
  <c r="X876" i="89"/>
  <c r="Z875" i="89"/>
  <c r="X875" i="89"/>
  <c r="X874" i="89"/>
  <c r="Z873" i="89"/>
  <c r="X873" i="89"/>
  <c r="Z872" i="89"/>
  <c r="X872" i="89"/>
  <c r="Z870" i="89"/>
  <c r="X870" i="89"/>
  <c r="Z869" i="89"/>
  <c r="X869" i="89"/>
  <c r="AB869" i="89" s="1"/>
  <c r="Z867" i="89"/>
  <c r="X867" i="89"/>
  <c r="AB867" i="89" s="1"/>
  <c r="Z866" i="89"/>
  <c r="X866" i="89"/>
  <c r="Z865" i="89"/>
  <c r="X865" i="89"/>
  <c r="Z864" i="89"/>
  <c r="X864" i="89"/>
  <c r="Z863" i="89"/>
  <c r="X863" i="89"/>
  <c r="Z862" i="89"/>
  <c r="X862" i="89"/>
  <c r="Z861" i="89"/>
  <c r="X861" i="89"/>
  <c r="Z860" i="89"/>
  <c r="AC860" i="89" s="1"/>
  <c r="X860" i="89"/>
  <c r="AB860" i="89" s="1"/>
  <c r="Z859" i="89"/>
  <c r="X859" i="89"/>
  <c r="X884" i="89" s="1"/>
  <c r="Z858" i="89"/>
  <c r="AC858" i="89" s="1"/>
  <c r="X858" i="89"/>
  <c r="Z854" i="89"/>
  <c r="X854" i="89"/>
  <c r="Z853" i="89"/>
  <c r="X853" i="89"/>
  <c r="Z852" i="89"/>
  <c r="X852" i="89"/>
  <c r="Z851" i="89"/>
  <c r="X851" i="89"/>
  <c r="Z850" i="89"/>
  <c r="X850" i="89"/>
  <c r="Z849" i="89"/>
  <c r="X849" i="89"/>
  <c r="Z848" i="89"/>
  <c r="X848" i="89"/>
  <c r="Z847" i="89"/>
  <c r="AC847" i="89" s="1"/>
  <c r="X847" i="89"/>
  <c r="Z846" i="89"/>
  <c r="X846" i="89"/>
  <c r="Z845" i="89"/>
  <c r="X845" i="89"/>
  <c r="Z844" i="89"/>
  <c r="X844" i="89"/>
  <c r="Z843" i="89"/>
  <c r="X843" i="89"/>
  <c r="Z842" i="89"/>
  <c r="X842" i="89"/>
  <c r="Z841" i="89"/>
  <c r="X841" i="89"/>
  <c r="Z840" i="89"/>
  <c r="X840" i="89"/>
  <c r="AB840" i="89" s="1"/>
  <c r="Z839" i="89"/>
  <c r="X839" i="89"/>
  <c r="Z838" i="89"/>
  <c r="X838" i="89"/>
  <c r="Z837" i="89"/>
  <c r="X837" i="89"/>
  <c r="Z835" i="89"/>
  <c r="X835" i="89"/>
  <c r="Z834" i="89"/>
  <c r="X834" i="89"/>
  <c r="Z833" i="89"/>
  <c r="X833" i="89"/>
  <c r="Z832" i="89"/>
  <c r="X832" i="89"/>
  <c r="Z831" i="89"/>
  <c r="X831" i="89"/>
  <c r="AB831" i="89" s="1"/>
  <c r="Z829" i="89"/>
  <c r="X829" i="89"/>
  <c r="Z828" i="89"/>
  <c r="X828" i="89"/>
  <c r="Z827" i="89"/>
  <c r="X827" i="89"/>
  <c r="Z826" i="89"/>
  <c r="X826" i="89"/>
  <c r="Z825" i="89"/>
  <c r="X825" i="89"/>
  <c r="Z824" i="89"/>
  <c r="X824" i="89"/>
  <c r="Z823" i="89"/>
  <c r="X823" i="89"/>
  <c r="AB823" i="89" s="1"/>
  <c r="Z822" i="89"/>
  <c r="AC822" i="89" s="1"/>
  <c r="X822" i="89"/>
  <c r="Z821" i="89"/>
  <c r="AC821" i="89" s="1"/>
  <c r="X821" i="89"/>
  <c r="Z820" i="89"/>
  <c r="X820" i="89"/>
  <c r="Z819" i="89"/>
  <c r="X819" i="89"/>
  <c r="Z818" i="89"/>
  <c r="X818" i="89"/>
  <c r="Z817" i="89"/>
  <c r="X817" i="89"/>
  <c r="Z813" i="89"/>
  <c r="X813" i="89"/>
  <c r="Z812" i="89"/>
  <c r="X812" i="89"/>
  <c r="AB812" i="89" s="1"/>
  <c r="Z811" i="89"/>
  <c r="AC811" i="89" s="1"/>
  <c r="X811" i="89"/>
  <c r="AB811" i="89" s="1"/>
  <c r="Z810" i="89"/>
  <c r="X810" i="89"/>
  <c r="Z809" i="89"/>
  <c r="X809" i="89"/>
  <c r="Z808" i="89"/>
  <c r="X808" i="89"/>
  <c r="Z807" i="89"/>
  <c r="X807" i="89"/>
  <c r="Z806" i="89"/>
  <c r="X806" i="89"/>
  <c r="Z805" i="89"/>
  <c r="AC805" i="89" s="1"/>
  <c r="X805" i="89"/>
  <c r="Z804" i="89"/>
  <c r="X804" i="89"/>
  <c r="Z803" i="89"/>
  <c r="AC803" i="89" s="1"/>
  <c r="X803" i="89"/>
  <c r="Z802" i="89"/>
  <c r="X802" i="89"/>
  <c r="Z801" i="89"/>
  <c r="AC801" i="89" s="1"/>
  <c r="X801" i="89"/>
  <c r="Z800" i="89"/>
  <c r="X800" i="89"/>
  <c r="Z799" i="89"/>
  <c r="X799" i="89"/>
  <c r="Z798" i="89"/>
  <c r="X798" i="89"/>
  <c r="Z797" i="89"/>
  <c r="X797" i="89"/>
  <c r="Z796" i="89"/>
  <c r="AC796" i="89"/>
  <c r="X796" i="89"/>
  <c r="AB796" i="89" s="1"/>
  <c r="Z794" i="89"/>
  <c r="X794" i="89"/>
  <c r="Z793" i="89"/>
  <c r="X793" i="89"/>
  <c r="Z792" i="89"/>
  <c r="X792" i="89"/>
  <c r="Z791" i="89"/>
  <c r="X791" i="89"/>
  <c r="Z790" i="89"/>
  <c r="X790" i="89"/>
  <c r="Z788" i="89"/>
  <c r="X788" i="89"/>
  <c r="Z787" i="89"/>
  <c r="X787" i="89"/>
  <c r="AB787" i="89" s="1"/>
  <c r="Z786" i="89"/>
  <c r="X786" i="89"/>
  <c r="Z785" i="89"/>
  <c r="X785" i="89"/>
  <c r="Z784" i="89"/>
  <c r="X784" i="89"/>
  <c r="Z783" i="89"/>
  <c r="X783" i="89"/>
  <c r="Z782" i="89"/>
  <c r="X782" i="89"/>
  <c r="Z781" i="89"/>
  <c r="X781" i="89"/>
  <c r="Z780" i="89"/>
  <c r="AC780" i="89" s="1"/>
  <c r="X780" i="89"/>
  <c r="AB780" i="89" s="1"/>
  <c r="Z779" i="89"/>
  <c r="X779" i="89"/>
  <c r="Z778" i="89"/>
  <c r="X778" i="89"/>
  <c r="Z777" i="89"/>
  <c r="X777" i="89"/>
  <c r="Z776" i="89"/>
  <c r="X776" i="89"/>
  <c r="Z768" i="89"/>
  <c r="X768" i="89"/>
  <c r="Z767" i="89"/>
  <c r="X767" i="89"/>
  <c r="Z766" i="89"/>
  <c r="X766" i="89"/>
  <c r="Z765" i="89"/>
  <c r="X765" i="89"/>
  <c r="X761" i="89"/>
  <c r="X752" i="89"/>
  <c r="Z749" i="89"/>
  <c r="X749" i="89"/>
  <c r="AB749" i="89" s="1"/>
  <c r="Z748" i="89"/>
  <c r="X748" i="89"/>
  <c r="Z747" i="89"/>
  <c r="X747" i="89"/>
  <c r="Z746" i="89"/>
  <c r="X746" i="89"/>
  <c r="Z745" i="89"/>
  <c r="X745" i="89"/>
  <c r="X743" i="89"/>
  <c r="Z742" i="89"/>
  <c r="X742" i="89"/>
  <c r="Z739" i="89"/>
  <c r="X739" i="89"/>
  <c r="Z738" i="89"/>
  <c r="X738" i="89"/>
  <c r="AB738" i="89" s="1"/>
  <c r="Z737" i="89"/>
  <c r="X737" i="89"/>
  <c r="Z736" i="89"/>
  <c r="X736" i="89"/>
  <c r="Z735" i="89"/>
  <c r="X735" i="89"/>
  <c r="Z734" i="89"/>
  <c r="X734" i="89"/>
  <c r="Z733" i="89"/>
  <c r="X733" i="89"/>
  <c r="Z732" i="89"/>
  <c r="X732" i="89"/>
  <c r="Z731" i="89"/>
  <c r="X731" i="89"/>
  <c r="Z730" i="89"/>
  <c r="AC730" i="89" s="1"/>
  <c r="X730" i="89"/>
  <c r="Z729" i="89"/>
  <c r="AC729" i="89" s="1"/>
  <c r="X729" i="89"/>
  <c r="Z728" i="89"/>
  <c r="X728" i="89"/>
  <c r="Z727" i="89"/>
  <c r="X727" i="89"/>
  <c r="Z726" i="89"/>
  <c r="X726" i="89"/>
  <c r="Z725" i="89"/>
  <c r="X725" i="89"/>
  <c r="Z724" i="89"/>
  <c r="X724" i="89"/>
  <c r="AB724" i="89" s="1"/>
  <c r="Z723" i="89"/>
  <c r="X723" i="89"/>
  <c r="Z722" i="89"/>
  <c r="AC722" i="89" s="1"/>
  <c r="X722" i="89"/>
  <c r="Z721" i="89"/>
  <c r="X721" i="89"/>
  <c r="Z718" i="89"/>
  <c r="X718" i="89"/>
  <c r="Z701" i="89"/>
  <c r="Z700" i="89"/>
  <c r="X700" i="89"/>
  <c r="Z699" i="89"/>
  <c r="X699" i="89"/>
  <c r="Z698" i="89"/>
  <c r="X698" i="89"/>
  <c r="Z697" i="89"/>
  <c r="AC697" i="89" s="1"/>
  <c r="X697" i="89"/>
  <c r="Z696" i="89"/>
  <c r="X696" i="89"/>
  <c r="AB696" i="89" s="1"/>
  <c r="Z695" i="89"/>
  <c r="AC695" i="89" s="1"/>
  <c r="X695" i="89"/>
  <c r="AB695" i="89" s="1"/>
  <c r="Z694" i="89"/>
  <c r="X694" i="89"/>
  <c r="Z693" i="89"/>
  <c r="AC693" i="89" s="1"/>
  <c r="X693" i="89"/>
  <c r="X692" i="89"/>
  <c r="Z675" i="89"/>
  <c r="X675" i="89"/>
  <c r="X674" i="89"/>
  <c r="Z671" i="89"/>
  <c r="X671" i="89"/>
  <c r="Z670" i="89"/>
  <c r="AC670" i="89" s="1"/>
  <c r="X670" i="89"/>
  <c r="Z658" i="89"/>
  <c r="X658" i="89"/>
  <c r="AB658" i="89" s="1"/>
  <c r="Z652" i="89"/>
  <c r="X652" i="89"/>
  <c r="Z651" i="89"/>
  <c r="X651" i="89"/>
  <c r="Z650" i="89"/>
  <c r="X650" i="89"/>
  <c r="Z649" i="89"/>
  <c r="X649" i="89"/>
  <c r="Z648" i="89"/>
  <c r="X648" i="89"/>
  <c r="Z647" i="89"/>
  <c r="X647" i="89"/>
  <c r="Z646" i="89"/>
  <c r="X646" i="89"/>
  <c r="AB646" i="89" s="1"/>
  <c r="Z645" i="89"/>
  <c r="AC645" i="89" s="1"/>
  <c r="X645" i="89"/>
  <c r="Z644" i="89"/>
  <c r="X644" i="89"/>
  <c r="X641" i="89"/>
  <c r="Z627" i="89"/>
  <c r="X627" i="89"/>
  <c r="Z626" i="89"/>
  <c r="X626" i="89"/>
  <c r="X623" i="89"/>
  <c r="X611" i="89"/>
  <c r="X608" i="89"/>
  <c r="Z605" i="89"/>
  <c r="X605" i="89"/>
  <c r="Z604" i="89"/>
  <c r="X604" i="89"/>
  <c r="Z603" i="89"/>
  <c r="X603" i="89"/>
  <c r="Z602" i="89"/>
  <c r="X602" i="89"/>
  <c r="Z601" i="89"/>
  <c r="X601" i="89"/>
  <c r="Z600" i="89"/>
  <c r="X600" i="89"/>
  <c r="Z599" i="89"/>
  <c r="AC599" i="89" s="1"/>
  <c r="X599" i="89"/>
  <c r="Z598" i="89"/>
  <c r="X598" i="89"/>
  <c r="X595" i="89"/>
  <c r="Z591" i="89"/>
  <c r="X591" i="89"/>
  <c r="Z580" i="89"/>
  <c r="AC580" i="89" s="1"/>
  <c r="X580" i="89"/>
  <c r="Z576" i="89"/>
  <c r="X576" i="89"/>
  <c r="Z575" i="89"/>
  <c r="X575" i="89"/>
  <c r="Z568" i="89"/>
  <c r="Z566" i="89"/>
  <c r="Z557" i="89"/>
  <c r="X557" i="89"/>
  <c r="AB557" i="89" s="1"/>
  <c r="Z556" i="89"/>
  <c r="X556" i="89"/>
  <c r="Z555" i="89"/>
  <c r="X555" i="89"/>
  <c r="Z554" i="89"/>
  <c r="X554" i="89"/>
  <c r="Z553" i="89"/>
  <c r="X553" i="89"/>
  <c r="Z552" i="89"/>
  <c r="AC552" i="89" s="1"/>
  <c r="X552" i="89"/>
  <c r="Z551" i="89"/>
  <c r="X551" i="89"/>
  <c r="Z550" i="89"/>
  <c r="X550" i="89"/>
  <c r="Z532" i="89"/>
  <c r="X532" i="89"/>
  <c r="Z528" i="89"/>
  <c r="X528" i="89"/>
  <c r="Z526" i="89"/>
  <c r="Z525" i="89"/>
  <c r="X517" i="89"/>
  <c r="Z509" i="89"/>
  <c r="X509" i="89"/>
  <c r="AB509" i="89" s="1"/>
  <c r="Z508" i="89"/>
  <c r="X508" i="89"/>
  <c r="Z507" i="89"/>
  <c r="X507" i="89"/>
  <c r="Z506" i="89"/>
  <c r="X506" i="89"/>
  <c r="Z505" i="89"/>
  <c r="X505" i="89"/>
  <c r="Z504" i="89"/>
  <c r="X504" i="89"/>
  <c r="Z503" i="89"/>
  <c r="X503" i="89"/>
  <c r="Z502" i="89"/>
  <c r="X502" i="89"/>
  <c r="Z494" i="89"/>
  <c r="X494" i="89"/>
  <c r="AB494" i="89" s="1"/>
  <c r="Z485" i="89"/>
  <c r="X485" i="89"/>
  <c r="Z480" i="89"/>
  <c r="X480" i="89"/>
  <c r="Z479" i="89"/>
  <c r="X479" i="89"/>
  <c r="Z478" i="89"/>
  <c r="X478" i="89"/>
  <c r="Z477" i="89"/>
  <c r="X477" i="89"/>
  <c r="Z476" i="89"/>
  <c r="X476" i="89"/>
  <c r="Z475" i="89"/>
  <c r="X475" i="89"/>
  <c r="Z474" i="89"/>
  <c r="X474" i="89"/>
  <c r="Z473" i="89"/>
  <c r="X473" i="89"/>
  <c r="Z472" i="89"/>
  <c r="X472" i="89"/>
  <c r="Z471" i="89"/>
  <c r="X471" i="89"/>
  <c r="Z469" i="89"/>
  <c r="X469" i="89"/>
  <c r="Z468" i="89"/>
  <c r="X468" i="89"/>
  <c r="Z467" i="89"/>
  <c r="X467" i="89"/>
  <c r="Z466" i="89"/>
  <c r="X466" i="89"/>
  <c r="Z454" i="89"/>
  <c r="AC454" i="89" s="1"/>
  <c r="X454" i="89"/>
  <c r="Z453" i="89"/>
  <c r="X453" i="89"/>
  <c r="Z450" i="89"/>
  <c r="X450" i="89"/>
  <c r="Z449" i="89"/>
  <c r="X449" i="89"/>
  <c r="Z448" i="89"/>
  <c r="X448" i="89"/>
  <c r="Z444" i="89"/>
  <c r="X444" i="89"/>
  <c r="Z443" i="89"/>
  <c r="X443" i="89"/>
  <c r="Z442" i="89"/>
  <c r="X442" i="89"/>
  <c r="AB442" i="89" s="1"/>
  <c r="Z437" i="89"/>
  <c r="X437" i="89"/>
  <c r="Z434" i="89"/>
  <c r="X434" i="89"/>
  <c r="X433" i="89"/>
  <c r="Z432" i="89"/>
  <c r="X432" i="89"/>
  <c r="Z431" i="89"/>
  <c r="X431" i="89"/>
  <c r="Z430" i="89"/>
  <c r="X430" i="89"/>
  <c r="Z429" i="89"/>
  <c r="X429" i="89"/>
  <c r="X415" i="89"/>
  <c r="X412" i="89"/>
  <c r="AB412" i="89" s="1"/>
  <c r="Z411" i="89"/>
  <c r="X411" i="89"/>
  <c r="Z410" i="89"/>
  <c r="X410" i="89"/>
  <c r="Z409" i="89"/>
  <c r="X409" i="89"/>
  <c r="Z408" i="89"/>
  <c r="X408" i="89"/>
  <c r="Z407" i="89"/>
  <c r="X407" i="89"/>
  <c r="Z406" i="89"/>
  <c r="X406" i="89"/>
  <c r="Z405" i="89"/>
  <c r="X405" i="89"/>
  <c r="Z404" i="89"/>
  <c r="AC404" i="89" s="1"/>
  <c r="X404" i="89"/>
  <c r="Z403" i="89"/>
  <c r="X403" i="89"/>
  <c r="Z402" i="89"/>
  <c r="X402" i="89"/>
  <c r="Z400" i="89"/>
  <c r="X400" i="89"/>
  <c r="Z399" i="89"/>
  <c r="X399" i="89"/>
  <c r="Z398" i="89"/>
  <c r="X398" i="89"/>
  <c r="Z397" i="89"/>
  <c r="X397" i="89"/>
  <c r="X393" i="89"/>
  <c r="X391" i="89"/>
  <c r="Z385" i="89"/>
  <c r="X385" i="89"/>
  <c r="Z384" i="89"/>
  <c r="X384" i="89"/>
  <c r="Z381" i="89"/>
  <c r="X381" i="89"/>
  <c r="Z380" i="89"/>
  <c r="X380" i="89"/>
  <c r="Z379" i="89"/>
  <c r="X379" i="89"/>
  <c r="Z375" i="89"/>
  <c r="AC375" i="89" s="1"/>
  <c r="X375" i="89"/>
  <c r="Z374" i="89"/>
  <c r="X374" i="89"/>
  <c r="Z373" i="89"/>
  <c r="X373" i="89"/>
  <c r="Z368" i="89"/>
  <c r="X368" i="89"/>
  <c r="Z363" i="89"/>
  <c r="X363" i="89"/>
  <c r="Z362" i="89"/>
  <c r="X362" i="89"/>
  <c r="Z361" i="89"/>
  <c r="X361" i="89"/>
  <c r="Z360" i="89"/>
  <c r="X360" i="89"/>
  <c r="X354" i="89"/>
  <c r="Z352" i="89"/>
  <c r="Z342" i="89"/>
  <c r="X342" i="89"/>
  <c r="Z341" i="89"/>
  <c r="X341" i="89"/>
  <c r="Z340" i="89"/>
  <c r="X340" i="89"/>
  <c r="Z339" i="89"/>
  <c r="X339" i="89"/>
  <c r="Z338" i="89"/>
  <c r="X338" i="89"/>
  <c r="Z337" i="89"/>
  <c r="X337" i="89"/>
  <c r="AB337" i="89" s="1"/>
  <c r="Z336" i="89"/>
  <c r="X336" i="89"/>
  <c r="AB336" i="89" s="1"/>
  <c r="Z335" i="89"/>
  <c r="X335" i="89"/>
  <c r="Z334" i="89"/>
  <c r="X334" i="89"/>
  <c r="Z333" i="89"/>
  <c r="X333" i="89"/>
  <c r="Z331" i="89"/>
  <c r="X331" i="89"/>
  <c r="Z330" i="89"/>
  <c r="X330" i="89"/>
  <c r="Z329" i="89"/>
  <c r="X329" i="89"/>
  <c r="Z328" i="89"/>
  <c r="X328" i="89"/>
  <c r="AB328" i="89" s="1"/>
  <c r="Z327" i="89"/>
  <c r="Z316" i="89"/>
  <c r="X316" i="89"/>
  <c r="Z315" i="89"/>
  <c r="X315" i="89"/>
  <c r="Z314" i="89"/>
  <c r="Z313" i="89"/>
  <c r="Z312" i="89"/>
  <c r="X312" i="89"/>
  <c r="Z311" i="89"/>
  <c r="X311" i="89"/>
  <c r="Z310" i="89"/>
  <c r="X310" i="89"/>
  <c r="Z306" i="89"/>
  <c r="X306" i="89"/>
  <c r="Z305" i="89"/>
  <c r="X305" i="89"/>
  <c r="Z304" i="89"/>
  <c r="X304" i="89"/>
  <c r="Z299" i="89"/>
  <c r="X299" i="89"/>
  <c r="Z295" i="89"/>
  <c r="Z294" i="89"/>
  <c r="X294" i="89"/>
  <c r="Z293" i="89"/>
  <c r="AC293" i="89" s="1"/>
  <c r="X293" i="89"/>
  <c r="Z292" i="89"/>
  <c r="X292" i="89"/>
  <c r="Z291" i="89"/>
  <c r="X291" i="89"/>
  <c r="Z285" i="89"/>
  <c r="AC285" i="89" s="1"/>
  <c r="X284" i="89"/>
  <c r="AB284" i="89" s="1"/>
  <c r="X283" i="89"/>
  <c r="AB283" i="89" s="1"/>
  <c r="Z280" i="89"/>
  <c r="Z272" i="89"/>
  <c r="X272" i="89"/>
  <c r="Z271" i="89"/>
  <c r="X271" i="89"/>
  <c r="Z270" i="89"/>
  <c r="X270" i="89"/>
  <c r="Z269" i="89"/>
  <c r="X269" i="89"/>
  <c r="Z262" i="89"/>
  <c r="Z255" i="89"/>
  <c r="Z247" i="89"/>
  <c r="Z240" i="89"/>
  <c r="X240" i="89"/>
  <c r="AB240" i="89" s="1"/>
  <c r="Z239" i="89"/>
  <c r="AC239" i="89" s="1"/>
  <c r="X239" i="89"/>
  <c r="AB239" i="89" s="1"/>
  <c r="Z238" i="89"/>
  <c r="X238" i="89"/>
  <c r="Z237" i="89"/>
  <c r="X237" i="89"/>
  <c r="Z232" i="89"/>
  <c r="AC232" i="89" s="1"/>
  <c r="X232" i="89"/>
  <c r="Z231" i="89"/>
  <c r="X231" i="89"/>
  <c r="Z230" i="89"/>
  <c r="X230" i="89"/>
  <c r="Z229" i="89"/>
  <c r="X229" i="89"/>
  <c r="Z228" i="89"/>
  <c r="X228" i="89"/>
  <c r="AB228" i="89" s="1"/>
  <c r="Z227" i="89"/>
  <c r="AC227" i="89" s="1"/>
  <c r="X227" i="89"/>
  <c r="Z226" i="89"/>
  <c r="X226" i="89"/>
  <c r="Z225" i="89"/>
  <c r="X225" i="89"/>
  <c r="Z224" i="89"/>
  <c r="X224" i="89"/>
  <c r="Z223" i="89"/>
  <c r="X223" i="89"/>
  <c r="Z221" i="89"/>
  <c r="X221" i="89"/>
  <c r="Z220" i="89"/>
  <c r="X220" i="89"/>
  <c r="Z219" i="89"/>
  <c r="AC219" i="89" s="1"/>
  <c r="X219" i="89"/>
  <c r="AB219" i="89" s="1"/>
  <c r="Z218" i="89"/>
  <c r="AC218" i="89" s="1"/>
  <c r="X218" i="89"/>
  <c r="Z216" i="89"/>
  <c r="X216" i="89"/>
  <c r="Z215" i="89"/>
  <c r="X215" i="89"/>
  <c r="Z214" i="89"/>
  <c r="X214" i="89"/>
  <c r="Z208" i="89"/>
  <c r="X205" i="89"/>
  <c r="X204" i="89"/>
  <c r="Z198" i="89"/>
  <c r="X198" i="89"/>
  <c r="X194" i="89"/>
  <c r="AB194" i="89" s="1"/>
  <c r="X193" i="89"/>
  <c r="AB193" i="89" s="1"/>
  <c r="Z188" i="89"/>
  <c r="AC188" i="89" s="1"/>
  <c r="X188" i="89"/>
  <c r="Z187" i="89"/>
  <c r="X187" i="89"/>
  <c r="Z186" i="89"/>
  <c r="X186" i="89"/>
  <c r="Z185" i="89"/>
  <c r="X185" i="89"/>
  <c r="Z180" i="89"/>
  <c r="X180" i="89"/>
  <c r="Z179" i="89"/>
  <c r="X179" i="89"/>
  <c r="Z178" i="89"/>
  <c r="X178" i="89"/>
  <c r="AB178" i="89" s="1"/>
  <c r="Z177" i="89"/>
  <c r="AC177" i="89" s="1"/>
  <c r="X177" i="89"/>
  <c r="Z176" i="89"/>
  <c r="AC176" i="89" s="1"/>
  <c r="X176" i="89"/>
  <c r="Z175" i="89"/>
  <c r="X175" i="89"/>
  <c r="Z174" i="89"/>
  <c r="X174" i="89"/>
  <c r="Z173" i="89"/>
  <c r="X173" i="89"/>
  <c r="Z172" i="89"/>
  <c r="X172" i="89"/>
  <c r="AB172" i="89" s="1"/>
  <c r="X167" i="89"/>
  <c r="Z166" i="89"/>
  <c r="X166" i="89"/>
  <c r="Z165" i="89"/>
  <c r="X165" i="89"/>
  <c r="Z164" i="89"/>
  <c r="AC164" i="89" s="1"/>
  <c r="X164" i="89"/>
  <c r="Z163" i="89"/>
  <c r="X163" i="89"/>
  <c r="Z162" i="89"/>
  <c r="X162" i="89"/>
  <c r="Z161" i="89"/>
  <c r="X161" i="89"/>
  <c r="Z160" i="89"/>
  <c r="X160" i="89"/>
  <c r="Z159" i="89"/>
  <c r="AC159" i="89" s="1"/>
  <c r="X159" i="89"/>
  <c r="Z158" i="89"/>
  <c r="X158" i="89"/>
  <c r="Z157" i="89"/>
  <c r="X157" i="89"/>
  <c r="Z156" i="89"/>
  <c r="X156" i="89"/>
  <c r="Z155" i="89"/>
  <c r="X155" i="89"/>
  <c r="Z154" i="89"/>
  <c r="X154" i="89"/>
  <c r="Z153" i="89"/>
  <c r="X153" i="89"/>
  <c r="Z152" i="89"/>
  <c r="AC152" i="89" s="1"/>
  <c r="X152" i="89"/>
  <c r="Z147" i="89"/>
  <c r="X147" i="89"/>
  <c r="Z146" i="89"/>
  <c r="AC146" i="89" s="1"/>
  <c r="X146" i="89"/>
  <c r="Z145" i="89"/>
  <c r="AC145" i="89" s="1"/>
  <c r="X145" i="89"/>
  <c r="Z140" i="89"/>
  <c r="X140" i="89"/>
  <c r="Z139" i="89"/>
  <c r="X139" i="89"/>
  <c r="Z138" i="89"/>
  <c r="X138" i="89"/>
  <c r="Z137" i="89"/>
  <c r="X137" i="89"/>
  <c r="AB137" i="89" s="1"/>
  <c r="Z136" i="89"/>
  <c r="X136" i="89"/>
  <c r="Z135" i="89"/>
  <c r="X135" i="89"/>
  <c r="Z134" i="89"/>
  <c r="X134" i="89"/>
  <c r="Z133" i="89"/>
  <c r="X133" i="89"/>
  <c r="Z132" i="89"/>
  <c r="X132" i="89"/>
  <c r="Z131" i="89"/>
  <c r="X131" i="89"/>
  <c r="Z124" i="89"/>
  <c r="X124" i="89"/>
  <c r="Z123" i="89"/>
  <c r="X123" i="89"/>
  <c r="AB123" i="89" s="1"/>
  <c r="Z122" i="89"/>
  <c r="X122" i="89"/>
  <c r="X121" i="89"/>
  <c r="AB121" i="89" s="1"/>
  <c r="X109" i="89"/>
  <c r="AB109" i="89" s="1"/>
  <c r="Z106" i="89"/>
  <c r="X106" i="89"/>
  <c r="Z102" i="89"/>
  <c r="X102" i="89"/>
  <c r="Z101" i="89"/>
  <c r="X101" i="89"/>
  <c r="Z100" i="89"/>
  <c r="X100" i="89"/>
  <c r="Z99" i="89"/>
  <c r="X99" i="89"/>
  <c r="Z95" i="89"/>
  <c r="AC95" i="89" s="1"/>
  <c r="X95" i="89"/>
  <c r="X94" i="89"/>
  <c r="X86" i="89"/>
  <c r="Z83" i="89"/>
  <c r="Z82" i="89"/>
  <c r="X82" i="89"/>
  <c r="AB82" i="89" s="1"/>
  <c r="Z79" i="89"/>
  <c r="Z60" i="89"/>
  <c r="X60" i="89"/>
  <c r="Z38" i="89"/>
  <c r="Z33" i="89"/>
  <c r="X33" i="89"/>
  <c r="Z32" i="89"/>
  <c r="X32" i="89"/>
  <c r="X31" i="89"/>
  <c r="Z30" i="89"/>
  <c r="X30" i="89"/>
  <c r="AB30" i="89" s="1"/>
  <c r="Z23" i="89"/>
  <c r="AC23" i="89" s="1"/>
  <c r="X23" i="89"/>
  <c r="Z22" i="89"/>
  <c r="X22" i="89"/>
  <c r="X21" i="89"/>
  <c r="Z18" i="89"/>
  <c r="Z15" i="89"/>
  <c r="Z13" i="89"/>
  <c r="Z8" i="89"/>
  <c r="X7" i="89"/>
  <c r="K971" i="89"/>
  <c r="K970" i="89"/>
  <c r="AC696" i="89"/>
  <c r="K18" i="97"/>
  <c r="K16" i="97"/>
  <c r="K14" i="97"/>
  <c r="K49" i="97"/>
  <c r="K48" i="97"/>
  <c r="K47" i="97"/>
  <c r="K46" i="97"/>
  <c r="K45" i="97"/>
  <c r="K44" i="97"/>
  <c r="K43" i="97"/>
  <c r="K42" i="97"/>
  <c r="K41" i="97"/>
  <c r="K40" i="97"/>
  <c r="K39" i="97"/>
  <c r="K38" i="97"/>
  <c r="K37" i="97"/>
  <c r="K36" i="97"/>
  <c r="K35" i="97"/>
  <c r="K34" i="97"/>
  <c r="K33" i="97"/>
  <c r="K32" i="97"/>
  <c r="K31" i="97"/>
  <c r="K29" i="97"/>
  <c r="K28" i="97"/>
  <c r="K27" i="97"/>
  <c r="K26" i="97"/>
  <c r="K25" i="97"/>
  <c r="K24" i="97"/>
  <c r="K23" i="97"/>
  <c r="K22" i="97"/>
  <c r="K21" i="97"/>
  <c r="K20" i="97"/>
  <c r="K19" i="97"/>
  <c r="K17" i="97"/>
  <c r="K15" i="97"/>
  <c r="K13" i="97"/>
  <c r="K12" i="97"/>
  <c r="K11" i="97"/>
  <c r="K10" i="97"/>
  <c r="G13" i="98"/>
  <c r="G9" i="98"/>
  <c r="D14" i="98"/>
  <c r="D13" i="98"/>
  <c r="D10" i="98"/>
  <c r="D9" i="98"/>
  <c r="D20" i="98" s="1"/>
  <c r="G20" i="98"/>
  <c r="F49" i="97"/>
  <c r="H49" i="97" s="1"/>
  <c r="F48" i="97"/>
  <c r="H48" i="97"/>
  <c r="F47" i="97"/>
  <c r="H47" i="97" s="1"/>
  <c r="F46" i="97"/>
  <c r="H46" i="97" s="1"/>
  <c r="F45" i="97"/>
  <c r="H45" i="97" s="1"/>
  <c r="F44" i="97"/>
  <c r="H44" i="97"/>
  <c r="F43" i="97"/>
  <c r="H43" i="97"/>
  <c r="F42" i="97"/>
  <c r="H42" i="97"/>
  <c r="F41" i="97"/>
  <c r="H41" i="97"/>
  <c r="F40" i="97"/>
  <c r="H40" i="97"/>
  <c r="F39" i="97"/>
  <c r="H39" i="97" s="1"/>
  <c r="F38" i="97"/>
  <c r="H38" i="97" s="1"/>
  <c r="F37" i="97"/>
  <c r="H37" i="97" s="1"/>
  <c r="F36" i="97"/>
  <c r="H36" i="97"/>
  <c r="F35" i="97"/>
  <c r="H35" i="97"/>
  <c r="F34" i="97"/>
  <c r="H34" i="97"/>
  <c r="F33" i="97"/>
  <c r="H33" i="97"/>
  <c r="F32" i="97"/>
  <c r="H32" i="97" s="1"/>
  <c r="F31" i="97"/>
  <c r="H31" i="97" s="1"/>
  <c r="F29" i="97"/>
  <c r="H29" i="97" s="1"/>
  <c r="F28" i="97"/>
  <c r="H28" i="97" s="1"/>
  <c r="F27" i="97"/>
  <c r="H27" i="97"/>
  <c r="F26" i="97"/>
  <c r="H26" i="97" s="1"/>
  <c r="F25" i="97"/>
  <c r="H25" i="97" s="1"/>
  <c r="F24" i="97"/>
  <c r="H24" i="97"/>
  <c r="F23" i="97"/>
  <c r="H23" i="97"/>
  <c r="F22" i="97"/>
  <c r="H22" i="97" s="1"/>
  <c r="F21" i="97"/>
  <c r="H21" i="97" s="1"/>
  <c r="F20" i="97"/>
  <c r="F19" i="97"/>
  <c r="H19" i="97" s="1"/>
  <c r="F18" i="97"/>
  <c r="H18" i="97"/>
  <c r="F17" i="97"/>
  <c r="H17" i="97"/>
  <c r="F16" i="97"/>
  <c r="F15" i="97"/>
  <c r="H15" i="97"/>
  <c r="F14" i="97"/>
  <c r="F13" i="97"/>
  <c r="H13" i="97"/>
  <c r="F12" i="97"/>
  <c r="H12" i="97"/>
  <c r="F11" i="97"/>
  <c r="H11" i="97"/>
  <c r="F10" i="97"/>
  <c r="E12" i="96"/>
  <c r="R73" i="88"/>
  <c r="R76" i="88" s="1"/>
  <c r="R39" i="88"/>
  <c r="R40" i="88" s="1"/>
  <c r="R38" i="88"/>
  <c r="R37" i="88"/>
  <c r="R36" i="88"/>
  <c r="R33" i="88"/>
  <c r="R32" i="88"/>
  <c r="R31" i="88"/>
  <c r="R30" i="88"/>
  <c r="R34" i="88" s="1"/>
  <c r="R27" i="88"/>
  <c r="R26" i="88"/>
  <c r="R25" i="88"/>
  <c r="R24" i="88"/>
  <c r="R28" i="88" s="1"/>
  <c r="R15" i="88"/>
  <c r="R14" i="88"/>
  <c r="R13" i="88"/>
  <c r="R12" i="88"/>
  <c r="O203" i="94"/>
  <c r="O190" i="94"/>
  <c r="O189" i="94"/>
  <c r="O188" i="94"/>
  <c r="O187" i="94"/>
  <c r="O186" i="94"/>
  <c r="O185" i="94"/>
  <c r="O184" i="94"/>
  <c r="O183" i="94"/>
  <c r="O182" i="94"/>
  <c r="O181" i="94"/>
  <c r="O216" i="94"/>
  <c r="O215" i="94"/>
  <c r="O214" i="94"/>
  <c r="O213" i="94"/>
  <c r="O212" i="94"/>
  <c r="O211" i="94"/>
  <c r="O210" i="94"/>
  <c r="O209" i="94"/>
  <c r="O208" i="94"/>
  <c r="O207" i="94"/>
  <c r="O206" i="94"/>
  <c r="O205" i="94"/>
  <c r="O204" i="94"/>
  <c r="O202" i="94"/>
  <c r="O201" i="94"/>
  <c r="O200" i="94"/>
  <c r="O199" i="94"/>
  <c r="O198" i="94"/>
  <c r="O197" i="94"/>
  <c r="O196" i="94"/>
  <c r="O195" i="94"/>
  <c r="O194" i="94"/>
  <c r="O193" i="94"/>
  <c r="O192" i="94"/>
  <c r="O191" i="94"/>
  <c r="O180" i="94"/>
  <c r="O179" i="94"/>
  <c r="O178" i="94"/>
  <c r="O177" i="94"/>
  <c r="O176" i="94"/>
  <c r="O175" i="94"/>
  <c r="O174" i="94"/>
  <c r="O173" i="94"/>
  <c r="H278" i="94"/>
  <c r="H277" i="94"/>
  <c r="O255" i="94"/>
  <c r="O254" i="94"/>
  <c r="O245" i="94"/>
  <c r="O244" i="94"/>
  <c r="O243" i="94"/>
  <c r="O242" i="94"/>
  <c r="O241" i="94"/>
  <c r="O240" i="94"/>
  <c r="O239" i="94"/>
  <c r="O238" i="94"/>
  <c r="O237" i="94"/>
  <c r="O236" i="94"/>
  <c r="O235" i="94"/>
  <c r="O234" i="94"/>
  <c r="O233" i="94"/>
  <c r="O232" i="94"/>
  <c r="O273" i="94" s="1"/>
  <c r="O231" i="94"/>
  <c r="O230" i="94"/>
  <c r="O229" i="94"/>
  <c r="O228" i="94"/>
  <c r="O227" i="94"/>
  <c r="O226" i="94"/>
  <c r="O225" i="94"/>
  <c r="O224" i="94"/>
  <c r="O223" i="94"/>
  <c r="O222" i="94"/>
  <c r="O119" i="94"/>
  <c r="O118" i="94"/>
  <c r="O117" i="94"/>
  <c r="O116" i="94"/>
  <c r="O115" i="94"/>
  <c r="O114" i="94"/>
  <c r="O113" i="94"/>
  <c r="O112" i="94"/>
  <c r="O125" i="94"/>
  <c r="O124" i="94"/>
  <c r="O123" i="94"/>
  <c r="O122" i="94"/>
  <c r="O121" i="94"/>
  <c r="O120" i="94"/>
  <c r="O111" i="94"/>
  <c r="O110" i="94"/>
  <c r="O109" i="94"/>
  <c r="O108" i="94"/>
  <c r="O107" i="94"/>
  <c r="O106" i="94"/>
  <c r="O105" i="94"/>
  <c r="O30" i="94"/>
  <c r="O29" i="94"/>
  <c r="O58" i="94"/>
  <c r="O57" i="94"/>
  <c r="O56" i="94"/>
  <c r="O55" i="94"/>
  <c r="O54" i="94"/>
  <c r="O53" i="94"/>
  <c r="O52" i="94"/>
  <c r="O51" i="94"/>
  <c r="O50" i="94"/>
  <c r="O49" i="94"/>
  <c r="O48" i="94"/>
  <c r="O47" i="94"/>
  <c r="O46" i="94"/>
  <c r="O45" i="94"/>
  <c r="O44" i="94"/>
  <c r="O43" i="94"/>
  <c r="O42" i="94"/>
  <c r="O41" i="94"/>
  <c r="O40" i="94"/>
  <c r="O39" i="94"/>
  <c r="O38" i="94"/>
  <c r="O37" i="94"/>
  <c r="O36" i="94"/>
  <c r="O35" i="94"/>
  <c r="O34" i="94"/>
  <c r="I278" i="94"/>
  <c r="I277" i="94"/>
  <c r="O272" i="94"/>
  <c r="O271" i="94"/>
  <c r="O270" i="94"/>
  <c r="O269" i="94"/>
  <c r="O268" i="94"/>
  <c r="O267" i="94"/>
  <c r="O266" i="94"/>
  <c r="O265" i="94"/>
  <c r="O264" i="94"/>
  <c r="O263" i="94"/>
  <c r="O262" i="94"/>
  <c r="O261" i="94"/>
  <c r="O260" i="94"/>
  <c r="O259" i="94"/>
  <c r="O258" i="94"/>
  <c r="O257" i="94"/>
  <c r="O256" i="94"/>
  <c r="O253" i="94"/>
  <c r="O252" i="94"/>
  <c r="O251" i="94"/>
  <c r="O250" i="94"/>
  <c r="O249" i="94"/>
  <c r="O248" i="94"/>
  <c r="O247" i="94"/>
  <c r="O246" i="94"/>
  <c r="O221" i="94"/>
  <c r="O220" i="94"/>
  <c r="O217" i="94"/>
  <c r="O172" i="94"/>
  <c r="O171" i="94"/>
  <c r="O170" i="94"/>
  <c r="O169" i="94"/>
  <c r="O168" i="94"/>
  <c r="O167" i="94"/>
  <c r="O166" i="94"/>
  <c r="O165" i="94"/>
  <c r="O164" i="94"/>
  <c r="O163" i="94"/>
  <c r="O162" i="94"/>
  <c r="O161" i="94"/>
  <c r="O160" i="94"/>
  <c r="O159" i="94"/>
  <c r="O158" i="94"/>
  <c r="O157" i="94"/>
  <c r="O156" i="94"/>
  <c r="O155" i="94"/>
  <c r="O154" i="94"/>
  <c r="O153" i="94"/>
  <c r="O152" i="94"/>
  <c r="O151" i="94"/>
  <c r="O150" i="94"/>
  <c r="O149" i="94"/>
  <c r="O218" i="94" s="1"/>
  <c r="O278" i="94" s="1"/>
  <c r="N278" i="94" s="1"/>
  <c r="O148" i="94"/>
  <c r="O147" i="94"/>
  <c r="O146" i="94"/>
  <c r="O145" i="94"/>
  <c r="O144" i="94"/>
  <c r="O143" i="94"/>
  <c r="O142" i="94"/>
  <c r="O141" i="94"/>
  <c r="O140" i="94"/>
  <c r="O139" i="94"/>
  <c r="O136" i="94"/>
  <c r="O135" i="94"/>
  <c r="O134" i="94"/>
  <c r="O133" i="94"/>
  <c r="O132" i="94"/>
  <c r="O131" i="94"/>
  <c r="O130" i="94"/>
  <c r="O129" i="94"/>
  <c r="O128" i="94"/>
  <c r="O127" i="94"/>
  <c r="O126" i="94"/>
  <c r="O104" i="94"/>
  <c r="O103" i="94"/>
  <c r="O102" i="94"/>
  <c r="O101" i="94"/>
  <c r="O100" i="94"/>
  <c r="O99" i="94"/>
  <c r="O98" i="94"/>
  <c r="O97" i="94"/>
  <c r="O96" i="94"/>
  <c r="O95" i="94"/>
  <c r="O94" i="94"/>
  <c r="O93" i="94"/>
  <c r="O92" i="94"/>
  <c r="O91" i="94"/>
  <c r="O90" i="94"/>
  <c r="O89" i="94"/>
  <c r="O88" i="94"/>
  <c r="O87" i="94"/>
  <c r="O86" i="94"/>
  <c r="O85" i="94"/>
  <c r="O84" i="94"/>
  <c r="O83" i="94"/>
  <c r="O82" i="94"/>
  <c r="O81" i="94"/>
  <c r="O80" i="94"/>
  <c r="O77" i="94"/>
  <c r="O76" i="94"/>
  <c r="O75" i="94"/>
  <c r="O74" i="94"/>
  <c r="O73" i="94"/>
  <c r="O72" i="94"/>
  <c r="O71" i="94"/>
  <c r="O70" i="94"/>
  <c r="O69" i="94"/>
  <c r="O68" i="94"/>
  <c r="O67" i="94"/>
  <c r="O66" i="94"/>
  <c r="O65" i="94"/>
  <c r="O64" i="94"/>
  <c r="O63" i="94"/>
  <c r="O62" i="94"/>
  <c r="O61" i="94"/>
  <c r="O60" i="94"/>
  <c r="O59" i="94"/>
  <c r="O33" i="94"/>
  <c r="O32" i="94"/>
  <c r="O31" i="94"/>
  <c r="O28" i="94"/>
  <c r="O27" i="94"/>
  <c r="O26" i="94"/>
  <c r="O25" i="94"/>
  <c r="O24" i="94"/>
  <c r="O23" i="94"/>
  <c r="O22" i="94"/>
  <c r="O21" i="94"/>
  <c r="O20" i="94"/>
  <c r="O19" i="94"/>
  <c r="O18" i="94"/>
  <c r="O17" i="94"/>
  <c r="O78" i="94" s="1"/>
  <c r="O16" i="94"/>
  <c r="O15" i="94"/>
  <c r="O14" i="94"/>
  <c r="O13" i="94"/>
  <c r="O12" i="94"/>
  <c r="O11" i="94"/>
  <c r="O10" i="94"/>
  <c r="O9" i="94"/>
  <c r="O8" i="94"/>
  <c r="O7" i="94"/>
  <c r="O6" i="94"/>
  <c r="F406" i="84"/>
  <c r="F398" i="84"/>
  <c r="F390" i="84"/>
  <c r="F382" i="84"/>
  <c r="F374" i="84"/>
  <c r="F366" i="84"/>
  <c r="F358" i="84"/>
  <c r="F350" i="84"/>
  <c r="F342" i="84"/>
  <c r="F334" i="84"/>
  <c r="F326" i="84"/>
  <c r="F318" i="84"/>
  <c r="F310" i="84"/>
  <c r="F302" i="84"/>
  <c r="F294" i="84"/>
  <c r="F286" i="84"/>
  <c r="F278" i="84"/>
  <c r="F270" i="84"/>
  <c r="F262" i="84"/>
  <c r="F254" i="84"/>
  <c r="F224" i="84" s="1"/>
  <c r="G224" i="84" s="1"/>
  <c r="F246" i="84"/>
  <c r="F238" i="84"/>
  <c r="F230" i="84"/>
  <c r="F216" i="84"/>
  <c r="F208" i="84"/>
  <c r="F200" i="84"/>
  <c r="F192" i="84"/>
  <c r="F184" i="84"/>
  <c r="F176" i="84"/>
  <c r="F168" i="84"/>
  <c r="F160" i="84"/>
  <c r="F152" i="84"/>
  <c r="F144" i="84"/>
  <c r="F136" i="84"/>
  <c r="F128" i="84"/>
  <c r="F120" i="84"/>
  <c r="F112" i="84"/>
  <c r="F104" i="84"/>
  <c r="F96" i="84"/>
  <c r="F88" i="84"/>
  <c r="F80" i="84"/>
  <c r="F72" i="84"/>
  <c r="F64" i="84"/>
  <c r="F56" i="84"/>
  <c r="F48" i="84"/>
  <c r="F40" i="84"/>
  <c r="F32" i="84"/>
  <c r="F24" i="84"/>
  <c r="F16" i="84"/>
  <c r="I160" i="90"/>
  <c r="O32" i="87"/>
  <c r="O31" i="87"/>
  <c r="O30" i="87"/>
  <c r="AB30" i="87" s="1"/>
  <c r="O29" i="87"/>
  <c r="AB29" i="87"/>
  <c r="H1028" i="89"/>
  <c r="I1029" i="89"/>
  <c r="I1028" i="89"/>
  <c r="H1029" i="89"/>
  <c r="O531" i="89"/>
  <c r="O243" i="89"/>
  <c r="I973" i="87"/>
  <c r="I972" i="87"/>
  <c r="H116" i="88"/>
  <c r="H972" i="87"/>
  <c r="H973" i="87"/>
  <c r="O611" i="87"/>
  <c r="O547" i="87"/>
  <c r="O581" i="87" s="1"/>
  <c r="O519" i="87"/>
  <c r="O101" i="87"/>
  <c r="O967" i="87"/>
  <c r="O966" i="87"/>
  <c r="O965" i="87"/>
  <c r="O964" i="87"/>
  <c r="AC963" i="87"/>
  <c r="O963" i="87"/>
  <c r="O962" i="87"/>
  <c r="O961" i="87"/>
  <c r="AC960" i="87"/>
  <c r="O960" i="87"/>
  <c r="AC959" i="87"/>
  <c r="O959" i="87"/>
  <c r="O958" i="87"/>
  <c r="O957" i="87"/>
  <c r="O956" i="87"/>
  <c r="O955" i="87"/>
  <c r="O954" i="87"/>
  <c r="O953" i="87"/>
  <c r="O952" i="87"/>
  <c r="O951" i="87"/>
  <c r="O950" i="87"/>
  <c r="O949" i="87"/>
  <c r="O948" i="87"/>
  <c r="AB948" i="87"/>
  <c r="O947" i="87"/>
  <c r="O946" i="87"/>
  <c r="O945" i="87"/>
  <c r="AB945" i="87" s="1"/>
  <c r="O944" i="87"/>
  <c r="AB944" i="87"/>
  <c r="O943" i="87"/>
  <c r="AB943" i="87" s="1"/>
  <c r="O942" i="87"/>
  <c r="O941" i="87"/>
  <c r="O940" i="87"/>
  <c r="O939" i="87"/>
  <c r="O938" i="87"/>
  <c r="O937" i="87"/>
  <c r="O936" i="87"/>
  <c r="AB936" i="87"/>
  <c r="AC935" i="87"/>
  <c r="O935" i="87"/>
  <c r="O934" i="87"/>
  <c r="O933" i="87"/>
  <c r="AB933" i="87"/>
  <c r="O932" i="87"/>
  <c r="O931" i="87"/>
  <c r="O930" i="87"/>
  <c r="O929" i="87"/>
  <c r="O928" i="87"/>
  <c r="O927" i="87"/>
  <c r="O926" i="87"/>
  <c r="O925" i="87"/>
  <c r="AB925" i="87"/>
  <c r="O924" i="87"/>
  <c r="O923" i="87"/>
  <c r="AB923" i="87" s="1"/>
  <c r="AC922" i="87"/>
  <c r="O922" i="87"/>
  <c r="O921" i="87"/>
  <c r="O920" i="87"/>
  <c r="AC919" i="87"/>
  <c r="O919" i="87"/>
  <c r="O918" i="87"/>
  <c r="O917" i="87"/>
  <c r="O916" i="87"/>
  <c r="O913" i="87"/>
  <c r="O912" i="87"/>
  <c r="O911" i="87"/>
  <c r="O910" i="87"/>
  <c r="O909" i="87"/>
  <c r="AB909" i="87" s="1"/>
  <c r="O908" i="87"/>
  <c r="O907" i="87"/>
  <c r="AB907" i="87" s="1"/>
  <c r="AC906" i="87"/>
  <c r="O906" i="87"/>
  <c r="O905" i="87"/>
  <c r="O904" i="87"/>
  <c r="O903" i="87"/>
  <c r="AC902" i="87"/>
  <c r="O902" i="87"/>
  <c r="O901" i="87"/>
  <c r="O900" i="87"/>
  <c r="O899" i="87"/>
  <c r="O898" i="87"/>
  <c r="AC897" i="87"/>
  <c r="O897" i="87"/>
  <c r="O896" i="87"/>
  <c r="O895" i="87"/>
  <c r="AB895" i="87" s="1"/>
  <c r="O894" i="87"/>
  <c r="AB894" i="87" s="1"/>
  <c r="O893" i="87"/>
  <c r="AB893" i="87" s="1"/>
  <c r="O892" i="87"/>
  <c r="O891" i="87"/>
  <c r="O890" i="87"/>
  <c r="O889" i="87"/>
  <c r="O888" i="87"/>
  <c r="AC887" i="87"/>
  <c r="O887" i="87"/>
  <c r="AB887" i="87" s="1"/>
  <c r="O886" i="87"/>
  <c r="O885" i="87"/>
  <c r="O884" i="87"/>
  <c r="O883" i="87"/>
  <c r="AB883" i="87" s="1"/>
  <c r="O882" i="87"/>
  <c r="AB882" i="87"/>
  <c r="AC881" i="87"/>
  <c r="O881" i="87"/>
  <c r="O880" i="87"/>
  <c r="O879" i="87"/>
  <c r="O878" i="87"/>
  <c r="AC877" i="87"/>
  <c r="O877" i="87"/>
  <c r="O876" i="87"/>
  <c r="O875" i="87"/>
  <c r="O874" i="87"/>
  <c r="O873" i="87"/>
  <c r="O872" i="87"/>
  <c r="AB872" i="87"/>
  <c r="O871" i="87"/>
  <c r="O870" i="87"/>
  <c r="AB870" i="87"/>
  <c r="O869" i="87"/>
  <c r="O868" i="87"/>
  <c r="O867" i="87"/>
  <c r="O866" i="87"/>
  <c r="O865" i="87"/>
  <c r="O864" i="87"/>
  <c r="O863" i="87"/>
  <c r="O862" i="87"/>
  <c r="AB862" i="87"/>
  <c r="O859" i="87"/>
  <c r="AC858" i="87"/>
  <c r="O858" i="87"/>
  <c r="AB858" i="87"/>
  <c r="O857" i="87"/>
  <c r="O856" i="87"/>
  <c r="O851" i="87"/>
  <c r="O850" i="87"/>
  <c r="O849" i="87"/>
  <c r="O848" i="87"/>
  <c r="O847" i="87"/>
  <c r="O846" i="87"/>
  <c r="O845" i="87"/>
  <c r="O844" i="87"/>
  <c r="O843" i="87"/>
  <c r="O842" i="87"/>
  <c r="O841" i="87"/>
  <c r="O840" i="87"/>
  <c r="AB840" i="87" s="1"/>
  <c r="O839" i="87"/>
  <c r="O838" i="87"/>
  <c r="O837" i="87"/>
  <c r="O836" i="87"/>
  <c r="O835" i="87"/>
  <c r="O834" i="87"/>
  <c r="O833" i="87"/>
  <c r="O832" i="87"/>
  <c r="O831" i="87"/>
  <c r="O830" i="87"/>
  <c r="O829" i="87"/>
  <c r="O828" i="87"/>
  <c r="O827" i="87"/>
  <c r="O826" i="87"/>
  <c r="O825" i="87"/>
  <c r="O860" i="87" s="1"/>
  <c r="AC824" i="87"/>
  <c r="O824" i="87"/>
  <c r="O823" i="87"/>
  <c r="O820" i="87"/>
  <c r="O819" i="87"/>
  <c r="O818" i="87"/>
  <c r="O817" i="87"/>
  <c r="O816" i="87"/>
  <c r="O815" i="87"/>
  <c r="O814" i="87"/>
  <c r="O813" i="87"/>
  <c r="O812" i="87"/>
  <c r="O811" i="87"/>
  <c r="AB811" i="87" s="1"/>
  <c r="O810" i="87"/>
  <c r="O809" i="87"/>
  <c r="O808" i="87"/>
  <c r="O807" i="87"/>
  <c r="O806" i="87"/>
  <c r="O805" i="87"/>
  <c r="O804" i="87"/>
  <c r="O803" i="87"/>
  <c r="O802" i="87"/>
  <c r="O801" i="87"/>
  <c r="AB801" i="87"/>
  <c r="AC796" i="87"/>
  <c r="O796" i="87"/>
  <c r="O795" i="87"/>
  <c r="AB795" i="87" s="1"/>
  <c r="O794" i="87"/>
  <c r="O793" i="87"/>
  <c r="AB793" i="87" s="1"/>
  <c r="O792" i="87"/>
  <c r="AB792" i="87" s="1"/>
  <c r="O791" i="87"/>
  <c r="O790" i="87"/>
  <c r="O789" i="87"/>
  <c r="O788" i="87"/>
  <c r="AB788" i="87" s="1"/>
  <c r="O787" i="87"/>
  <c r="O786" i="87"/>
  <c r="O785" i="87"/>
  <c r="O784" i="87"/>
  <c r="O783" i="87"/>
  <c r="AB783" i="87" s="1"/>
  <c r="O782" i="87"/>
  <c r="O781" i="87"/>
  <c r="AB781" i="87"/>
  <c r="O780" i="87"/>
  <c r="O779" i="87"/>
  <c r="O778" i="87"/>
  <c r="O777" i="87"/>
  <c r="O776" i="87"/>
  <c r="O775" i="87"/>
  <c r="O774" i="87"/>
  <c r="O773" i="87"/>
  <c r="O772" i="87"/>
  <c r="O771" i="87"/>
  <c r="AC770" i="87"/>
  <c r="O770" i="87"/>
  <c r="O769" i="87"/>
  <c r="O766" i="87"/>
  <c r="O765" i="87"/>
  <c r="O764" i="87"/>
  <c r="O763" i="87"/>
  <c r="O758" i="87"/>
  <c r="O757" i="87"/>
  <c r="O756" i="87"/>
  <c r="O755" i="87"/>
  <c r="O754" i="87"/>
  <c r="O753" i="87"/>
  <c r="O752" i="87"/>
  <c r="O751" i="87"/>
  <c r="O750" i="87"/>
  <c r="O749" i="87"/>
  <c r="O748" i="87"/>
  <c r="O747" i="87"/>
  <c r="O746" i="87"/>
  <c r="O745" i="87"/>
  <c r="O744" i="87"/>
  <c r="O743" i="87"/>
  <c r="O742" i="87"/>
  <c r="O741" i="87"/>
  <c r="O740" i="87"/>
  <c r="AC739" i="87"/>
  <c r="O739" i="87"/>
  <c r="AB739" i="87" s="1"/>
  <c r="O738" i="87"/>
  <c r="O737" i="87"/>
  <c r="AB737" i="87" s="1"/>
  <c r="O736" i="87"/>
  <c r="O735" i="87"/>
  <c r="AB735" i="87"/>
  <c r="O734" i="87"/>
  <c r="O733" i="87"/>
  <c r="O732" i="87"/>
  <c r="O731" i="87"/>
  <c r="O730" i="87"/>
  <c r="O727" i="87"/>
  <c r="O726" i="87"/>
  <c r="O725" i="87"/>
  <c r="AB725" i="87"/>
  <c r="O724" i="87"/>
  <c r="AB724" i="87" s="1"/>
  <c r="O723" i="87"/>
  <c r="O722" i="87"/>
  <c r="O721" i="87"/>
  <c r="O720" i="87"/>
  <c r="O719" i="87"/>
  <c r="O718" i="87"/>
  <c r="O717" i="87"/>
  <c r="O716" i="87"/>
  <c r="O715" i="87"/>
  <c r="O714" i="87"/>
  <c r="O713" i="87"/>
  <c r="O712" i="87"/>
  <c r="O711" i="87"/>
  <c r="AB711" i="87" s="1"/>
  <c r="O710" i="87"/>
  <c r="O709" i="87"/>
  <c r="AB709" i="87"/>
  <c r="O708" i="87"/>
  <c r="AB708" i="87" s="1"/>
  <c r="O707" i="87"/>
  <c r="O706" i="87"/>
  <c r="O705" i="87"/>
  <c r="O704" i="87"/>
  <c r="O703" i="87"/>
  <c r="S702" i="87"/>
  <c r="O702" i="87"/>
  <c r="S701" i="87"/>
  <c r="O701" i="87"/>
  <c r="AB701" i="87" s="1"/>
  <c r="S700" i="87"/>
  <c r="O700" i="87"/>
  <c r="S699" i="87"/>
  <c r="O699" i="87"/>
  <c r="S698" i="87"/>
  <c r="AC698" i="87" s="1"/>
  <c r="O698" i="87"/>
  <c r="S697" i="87"/>
  <c r="AC697" i="87" s="1"/>
  <c r="O697" i="87"/>
  <c r="S696" i="87"/>
  <c r="O696" i="87"/>
  <c r="S695" i="87"/>
  <c r="AC695" i="87" s="1"/>
  <c r="O695" i="87"/>
  <c r="S694" i="87"/>
  <c r="O694" i="87"/>
  <c r="S693" i="87"/>
  <c r="O693" i="87"/>
  <c r="AB693" i="87" s="1"/>
  <c r="S692" i="87"/>
  <c r="O692" i="87"/>
  <c r="S691" i="87"/>
  <c r="O691" i="87"/>
  <c r="S690" i="87"/>
  <c r="O690" i="87"/>
  <c r="S689" i="87"/>
  <c r="O689" i="87"/>
  <c r="S688" i="87"/>
  <c r="O688" i="87"/>
  <c r="S687" i="87"/>
  <c r="O687" i="87"/>
  <c r="S686" i="87"/>
  <c r="O686" i="87"/>
  <c r="S685" i="87"/>
  <c r="O685" i="87"/>
  <c r="S684" i="87"/>
  <c r="O684" i="87"/>
  <c r="S683" i="87"/>
  <c r="O683" i="87"/>
  <c r="S682" i="87"/>
  <c r="AC682" i="87"/>
  <c r="O682" i="87"/>
  <c r="AB682" i="87" s="1"/>
  <c r="S681" i="87"/>
  <c r="O681" i="87"/>
  <c r="S680" i="87"/>
  <c r="O680" i="87"/>
  <c r="S679" i="87"/>
  <c r="O679" i="87"/>
  <c r="S678" i="87"/>
  <c r="O678" i="87"/>
  <c r="AB678" i="87" s="1"/>
  <c r="S677" i="87"/>
  <c r="O677" i="87"/>
  <c r="O676" i="87"/>
  <c r="O672" i="87"/>
  <c r="O671" i="87"/>
  <c r="O665" i="87"/>
  <c r="O664" i="87"/>
  <c r="O663" i="87"/>
  <c r="O662" i="87"/>
  <c r="O661" i="87"/>
  <c r="O660" i="87"/>
  <c r="O659" i="87"/>
  <c r="O658" i="87"/>
  <c r="O657" i="87"/>
  <c r="AC656" i="87"/>
  <c r="O656" i="87"/>
  <c r="O655" i="87"/>
  <c r="O654" i="87"/>
  <c r="O653" i="87"/>
  <c r="O652" i="87"/>
  <c r="O651" i="87"/>
  <c r="O650" i="87"/>
  <c r="O649" i="87"/>
  <c r="O648" i="87"/>
  <c r="AB648" i="87"/>
  <c r="O647" i="87"/>
  <c r="AB647" i="87"/>
  <c r="O644" i="87"/>
  <c r="O643" i="87"/>
  <c r="O642" i="87"/>
  <c r="O641" i="87"/>
  <c r="O640" i="87"/>
  <c r="O639" i="87"/>
  <c r="O638" i="87"/>
  <c r="O637" i="87"/>
  <c r="AB637" i="87"/>
  <c r="O636" i="87"/>
  <c r="O635" i="87"/>
  <c r="O630" i="87"/>
  <c r="O629" i="87"/>
  <c r="AC628" i="87"/>
  <c r="O628" i="87"/>
  <c r="O627" i="87"/>
  <c r="O626" i="87"/>
  <c r="O625" i="87"/>
  <c r="O624" i="87"/>
  <c r="O623" i="87"/>
  <c r="O622" i="87"/>
  <c r="O621" i="87"/>
  <c r="O620" i="87"/>
  <c r="O619" i="87"/>
  <c r="AB619" i="87" s="1"/>
  <c r="O618" i="87"/>
  <c r="O617" i="87"/>
  <c r="O616" i="87"/>
  <c r="O615" i="87"/>
  <c r="O614" i="87"/>
  <c r="O613" i="87"/>
  <c r="O612" i="87"/>
  <c r="O608" i="87"/>
  <c r="O607" i="87"/>
  <c r="O606" i="87"/>
  <c r="O601" i="87"/>
  <c r="O600" i="87"/>
  <c r="AB600" i="87"/>
  <c r="O599" i="87"/>
  <c r="O598" i="87"/>
  <c r="O597" i="87"/>
  <c r="O596" i="87"/>
  <c r="O595" i="87"/>
  <c r="O594" i="87"/>
  <c r="O593" i="87"/>
  <c r="O592" i="87"/>
  <c r="O591" i="87"/>
  <c r="O590" i="87"/>
  <c r="O589" i="87"/>
  <c r="O588" i="87"/>
  <c r="O587" i="87"/>
  <c r="O586" i="87"/>
  <c r="O585" i="87"/>
  <c r="O584" i="87"/>
  <c r="O583" i="87"/>
  <c r="O580" i="87"/>
  <c r="O579" i="87"/>
  <c r="O578" i="87"/>
  <c r="O577" i="87"/>
  <c r="O576" i="87"/>
  <c r="O575" i="87"/>
  <c r="O574" i="87"/>
  <c r="O573" i="87"/>
  <c r="O572" i="87"/>
  <c r="AC571" i="87"/>
  <c r="O571" i="87"/>
  <c r="O566" i="87"/>
  <c r="O565" i="87"/>
  <c r="O564" i="87"/>
  <c r="O563" i="87"/>
  <c r="O562" i="87"/>
  <c r="AB562" i="87"/>
  <c r="O561" i="87"/>
  <c r="O560" i="87"/>
  <c r="O559" i="87"/>
  <c r="O558" i="87"/>
  <c r="O557" i="87"/>
  <c r="AC556" i="87"/>
  <c r="O556" i="87"/>
  <c r="O555" i="87"/>
  <c r="O554" i="87"/>
  <c r="O553" i="87"/>
  <c r="AC552" i="87"/>
  <c r="O552" i="87"/>
  <c r="O551" i="87"/>
  <c r="AB551" i="87" s="1"/>
  <c r="O550" i="87"/>
  <c r="O549" i="87"/>
  <c r="O548" i="87"/>
  <c r="O544" i="87"/>
  <c r="O543" i="87"/>
  <c r="O542" i="87"/>
  <c r="O537" i="87"/>
  <c r="O536" i="87"/>
  <c r="AB536" i="87" s="1"/>
  <c r="O535" i="87"/>
  <c r="AB535" i="87" s="1"/>
  <c r="O534" i="87"/>
  <c r="O533" i="87"/>
  <c r="AB533" i="87" s="1"/>
  <c r="O532" i="87"/>
  <c r="O531" i="87"/>
  <c r="O530" i="87"/>
  <c r="O529" i="87"/>
  <c r="O528" i="87"/>
  <c r="O527" i="87"/>
  <c r="AB527" i="87"/>
  <c r="O526" i="87"/>
  <c r="O525" i="87"/>
  <c r="O523" i="87"/>
  <c r="AB523" i="87" s="1"/>
  <c r="O522" i="87"/>
  <c r="O521" i="87"/>
  <c r="O520" i="87"/>
  <c r="O545" i="87" s="1"/>
  <c r="O516" i="87"/>
  <c r="O515" i="87"/>
  <c r="O514" i="87"/>
  <c r="O513" i="87"/>
  <c r="O512" i="87"/>
  <c r="O511" i="87"/>
  <c r="O510" i="87"/>
  <c r="O509" i="87"/>
  <c r="O508" i="87"/>
  <c r="O507" i="87"/>
  <c r="AB507" i="87" s="1"/>
  <c r="O502" i="87"/>
  <c r="O501" i="87"/>
  <c r="AB501" i="87"/>
  <c r="O500" i="87"/>
  <c r="O499" i="87"/>
  <c r="O498" i="87"/>
  <c r="O497" i="87"/>
  <c r="AB497" i="87"/>
  <c r="O496" i="87"/>
  <c r="O495" i="87"/>
  <c r="O494" i="87"/>
  <c r="AC493" i="87"/>
  <c r="O493" i="87"/>
  <c r="AB493" i="87" s="1"/>
  <c r="O492" i="87"/>
  <c r="O491" i="87"/>
  <c r="AB491" i="87" s="1"/>
  <c r="O490" i="87"/>
  <c r="O489" i="87"/>
  <c r="O488" i="87"/>
  <c r="O487" i="87"/>
  <c r="O517" i="87" s="1"/>
  <c r="O486" i="87"/>
  <c r="O485" i="87"/>
  <c r="AB485" i="87"/>
  <c r="O484" i="87"/>
  <c r="AB484" i="87"/>
  <c r="O483" i="87"/>
  <c r="O480" i="87"/>
  <c r="O479" i="87"/>
  <c r="O478" i="87"/>
  <c r="O477" i="87"/>
  <c r="O476" i="87"/>
  <c r="O475" i="87"/>
  <c r="O474" i="87"/>
  <c r="AB474" i="87"/>
  <c r="O473" i="87"/>
  <c r="O472" i="87"/>
  <c r="O471" i="87"/>
  <c r="O470" i="87"/>
  <c r="O469" i="87"/>
  <c r="AB469" i="87" s="1"/>
  <c r="O468" i="87"/>
  <c r="O467" i="87"/>
  <c r="O466" i="87"/>
  <c r="AB466" i="87" s="1"/>
  <c r="O465" i="87"/>
  <c r="O464" i="87"/>
  <c r="AB464" i="87" s="1"/>
  <c r="O463" i="87"/>
  <c r="O462" i="87"/>
  <c r="O461" i="87"/>
  <c r="O460" i="87"/>
  <c r="O459" i="87"/>
  <c r="O458" i="87"/>
  <c r="O457" i="87"/>
  <c r="O456" i="87"/>
  <c r="O455" i="87"/>
  <c r="O454" i="87"/>
  <c r="O453" i="87"/>
  <c r="O452" i="87"/>
  <c r="AB452" i="87" s="1"/>
  <c r="O451" i="87"/>
  <c r="O450" i="87"/>
  <c r="O449" i="87"/>
  <c r="O448" i="87"/>
  <c r="AC447" i="87"/>
  <c r="O447" i="87"/>
  <c r="O446" i="87"/>
  <c r="O445" i="87"/>
  <c r="O444" i="87"/>
  <c r="O443" i="87"/>
  <c r="O442" i="87"/>
  <c r="AB442" i="87"/>
  <c r="O441" i="87"/>
  <c r="O440" i="87"/>
  <c r="AB440" i="87"/>
  <c r="O439" i="87"/>
  <c r="O438" i="87"/>
  <c r="O437" i="87"/>
  <c r="O436" i="87"/>
  <c r="AB436" i="87"/>
  <c r="O435" i="87"/>
  <c r="O434" i="87"/>
  <c r="O433" i="87"/>
  <c r="O432" i="87"/>
  <c r="O431" i="87"/>
  <c r="AC430" i="87"/>
  <c r="O430" i="87"/>
  <c r="AC429" i="87"/>
  <c r="O429" i="87"/>
  <c r="AB429" i="87"/>
  <c r="AC426" i="87"/>
  <c r="O426" i="87"/>
  <c r="O425" i="87"/>
  <c r="O424" i="87"/>
  <c r="O419" i="87"/>
  <c r="AB419" i="87" s="1"/>
  <c r="O418" i="87"/>
  <c r="O417" i="87"/>
  <c r="O416" i="87"/>
  <c r="O415" i="87"/>
  <c r="O414" i="87"/>
  <c r="O413" i="87"/>
  <c r="O412" i="87"/>
  <c r="O411" i="87"/>
  <c r="O410" i="87"/>
  <c r="AB410" i="87"/>
  <c r="AC409" i="87"/>
  <c r="O409" i="87"/>
  <c r="AB409" i="87" s="1"/>
  <c r="O408" i="87"/>
  <c r="O407" i="87"/>
  <c r="AB407" i="87" s="1"/>
  <c r="O406" i="87"/>
  <c r="O405" i="87"/>
  <c r="O404" i="87"/>
  <c r="AB404" i="87" s="1"/>
  <c r="O403" i="87"/>
  <c r="O402" i="87"/>
  <c r="O401" i="87"/>
  <c r="O400" i="87"/>
  <c r="O399" i="87"/>
  <c r="AB399" i="87" s="1"/>
  <c r="O398" i="87"/>
  <c r="O397" i="87"/>
  <c r="O396" i="87"/>
  <c r="O395" i="87"/>
  <c r="O394" i="87"/>
  <c r="O393" i="87"/>
  <c r="O392" i="87"/>
  <c r="AB392" i="87"/>
  <c r="O389" i="87"/>
  <c r="O388" i="87"/>
  <c r="AB388" i="87"/>
  <c r="AC387" i="87"/>
  <c r="O387" i="87"/>
  <c r="AB387" i="87" s="1"/>
  <c r="O386" i="87"/>
  <c r="O385" i="87"/>
  <c r="O384" i="87"/>
  <c r="O383" i="87"/>
  <c r="O382" i="87"/>
  <c r="O381" i="87"/>
  <c r="AB381" i="87"/>
  <c r="AC380" i="87"/>
  <c r="O380" i="87"/>
  <c r="AB380" i="87"/>
  <c r="O375" i="87"/>
  <c r="O374" i="87"/>
  <c r="O373" i="87"/>
  <c r="AB373" i="87" s="1"/>
  <c r="O372" i="87"/>
  <c r="AC371" i="87"/>
  <c r="O371" i="87"/>
  <c r="AB371" i="87"/>
  <c r="O370" i="87"/>
  <c r="O369" i="87"/>
  <c r="O368" i="87"/>
  <c r="O367" i="87"/>
  <c r="O366" i="87"/>
  <c r="O365" i="87"/>
  <c r="AB365" i="87"/>
  <c r="O364" i="87"/>
  <c r="AC363" i="87"/>
  <c r="O363" i="87"/>
  <c r="O362" i="87"/>
  <c r="O361" i="87"/>
  <c r="AB361" i="87"/>
  <c r="O360" i="87"/>
  <c r="AB360" i="87" s="1"/>
  <c r="AC359" i="87"/>
  <c r="O359" i="87"/>
  <c r="O358" i="87"/>
  <c r="O357" i="87"/>
  <c r="AB357" i="87" s="1"/>
  <c r="O356" i="87"/>
  <c r="AB356" i="87" s="1"/>
  <c r="O355" i="87"/>
  <c r="O354" i="87"/>
  <c r="O353" i="87"/>
  <c r="O352" i="87"/>
  <c r="AB352" i="87"/>
  <c r="O351" i="87"/>
  <c r="AB351" i="87" s="1"/>
  <c r="O350" i="87"/>
  <c r="O349" i="87"/>
  <c r="O348" i="87"/>
  <c r="O347" i="87"/>
  <c r="O346" i="87"/>
  <c r="AB346" i="87" s="1"/>
  <c r="O345" i="87"/>
  <c r="AB345" i="87" s="1"/>
  <c r="O344" i="87"/>
  <c r="AB344" i="87" s="1"/>
  <c r="O343" i="87"/>
  <c r="O342" i="87"/>
  <c r="O341" i="87"/>
  <c r="O340" i="87"/>
  <c r="O339" i="87"/>
  <c r="O338" i="87"/>
  <c r="AB338" i="87"/>
  <c r="O335" i="87"/>
  <c r="AB335" i="87" s="1"/>
  <c r="O334" i="87"/>
  <c r="O333" i="87"/>
  <c r="O328" i="87"/>
  <c r="O327" i="87"/>
  <c r="O326" i="87"/>
  <c r="O325" i="87"/>
  <c r="O324" i="87"/>
  <c r="O323" i="87"/>
  <c r="O322" i="87"/>
  <c r="O321" i="87"/>
  <c r="O320" i="87"/>
  <c r="AB320" i="87" s="1"/>
  <c r="O319" i="87"/>
  <c r="AB319" i="87"/>
  <c r="O318" i="87"/>
  <c r="O317" i="87"/>
  <c r="O316" i="87"/>
  <c r="AB316" i="87"/>
  <c r="O315" i="87"/>
  <c r="AB315" i="87" s="1"/>
  <c r="O314" i="87"/>
  <c r="O313" i="87"/>
  <c r="O312" i="87"/>
  <c r="O311" i="87"/>
  <c r="O310" i="87"/>
  <c r="O309" i="87"/>
  <c r="O308" i="87"/>
  <c r="O307" i="87"/>
  <c r="O306" i="87"/>
  <c r="O336" i="87" s="1"/>
  <c r="O305" i="87"/>
  <c r="AB305" i="87" s="1"/>
  <c r="O304" i="87"/>
  <c r="O303" i="87"/>
  <c r="O302" i="87"/>
  <c r="O301" i="87"/>
  <c r="O298" i="87"/>
  <c r="O297" i="87"/>
  <c r="O296" i="87"/>
  <c r="O295" i="87"/>
  <c r="O294" i="87"/>
  <c r="O293" i="87"/>
  <c r="AB293" i="87"/>
  <c r="O292" i="87"/>
  <c r="O291" i="87"/>
  <c r="O290" i="87"/>
  <c r="O289" i="87"/>
  <c r="O284" i="87"/>
  <c r="AB284" i="87" s="1"/>
  <c r="O283" i="87"/>
  <c r="O282" i="87"/>
  <c r="O281" i="87"/>
  <c r="AB281" i="87"/>
  <c r="O280" i="87"/>
  <c r="O279" i="87"/>
  <c r="O278" i="87"/>
  <c r="O277" i="87"/>
  <c r="AB277" i="87"/>
  <c r="O276" i="87"/>
  <c r="O275" i="87"/>
  <c r="AB275" i="87" s="1"/>
  <c r="AC274" i="87"/>
  <c r="O274" i="87"/>
  <c r="AC273" i="87"/>
  <c r="O273" i="87"/>
  <c r="O272" i="87"/>
  <c r="O271" i="87"/>
  <c r="O270" i="87"/>
  <c r="AC269" i="87"/>
  <c r="O269" i="87"/>
  <c r="AB269" i="87" s="1"/>
  <c r="O268" i="87"/>
  <c r="AB268" i="87" s="1"/>
  <c r="O267" i="87"/>
  <c r="AB267" i="87"/>
  <c r="O266" i="87"/>
  <c r="O265" i="87"/>
  <c r="AB265" i="87" s="1"/>
  <c r="AC264" i="87"/>
  <c r="O264" i="87"/>
  <c r="O263" i="87"/>
  <c r="O262" i="87"/>
  <c r="O261" i="87"/>
  <c r="AB261" i="87"/>
  <c r="O260" i="87"/>
  <c r="O259" i="87"/>
  <c r="AB259" i="87"/>
  <c r="AC258" i="87"/>
  <c r="O258" i="87"/>
  <c r="O257" i="87"/>
  <c r="O256" i="87"/>
  <c r="O255" i="87"/>
  <c r="O254" i="87"/>
  <c r="O253" i="87"/>
  <c r="O252" i="87"/>
  <c r="O251" i="87"/>
  <c r="O250" i="87"/>
  <c r="O249" i="87"/>
  <c r="O248" i="87"/>
  <c r="O247" i="87"/>
  <c r="O244" i="87"/>
  <c r="O243" i="87"/>
  <c r="AB243" i="87"/>
  <c r="O242" i="87"/>
  <c r="AB242" i="87" s="1"/>
  <c r="O241" i="87"/>
  <c r="O240" i="87"/>
  <c r="O239" i="87"/>
  <c r="O238" i="87"/>
  <c r="O237" i="87"/>
  <c r="O236" i="87"/>
  <c r="O235" i="87"/>
  <c r="O234" i="87"/>
  <c r="O233" i="87"/>
  <c r="O232" i="87"/>
  <c r="O231" i="87"/>
  <c r="O230" i="87"/>
  <c r="O229" i="87"/>
  <c r="O228" i="87"/>
  <c r="O227" i="87"/>
  <c r="O226" i="87"/>
  <c r="O225" i="87"/>
  <c r="O224" i="87"/>
  <c r="O223" i="87"/>
  <c r="O222" i="87"/>
  <c r="O221" i="87"/>
  <c r="AB221" i="87" s="1"/>
  <c r="O220" i="87"/>
  <c r="O219" i="87"/>
  <c r="O218" i="87"/>
  <c r="O217" i="87"/>
  <c r="O216" i="87"/>
  <c r="O215" i="87"/>
  <c r="O214" i="87"/>
  <c r="O213" i="87"/>
  <c r="O212" i="87"/>
  <c r="AB212" i="87" s="1"/>
  <c r="O211" i="87"/>
  <c r="O210" i="87"/>
  <c r="O209" i="87"/>
  <c r="O208" i="87"/>
  <c r="AB208" i="87" s="1"/>
  <c r="O207" i="87"/>
  <c r="O206" i="87"/>
  <c r="O205" i="87"/>
  <c r="AB205" i="87"/>
  <c r="O204" i="87"/>
  <c r="AB204" i="87" s="1"/>
  <c r="O203" i="87"/>
  <c r="O202" i="87"/>
  <c r="O201" i="87"/>
  <c r="O200" i="87"/>
  <c r="O199" i="87"/>
  <c r="O198" i="87"/>
  <c r="AB198" i="87" s="1"/>
  <c r="O197" i="87"/>
  <c r="O245" i="87" s="1"/>
  <c r="O196" i="87"/>
  <c r="O195" i="87"/>
  <c r="AB195" i="87" s="1"/>
  <c r="O194" i="87"/>
  <c r="O193" i="87"/>
  <c r="O192" i="87"/>
  <c r="O191" i="87"/>
  <c r="O188" i="87"/>
  <c r="AB188" i="87" s="1"/>
  <c r="O187" i="87"/>
  <c r="AB187" i="87" s="1"/>
  <c r="O186" i="87"/>
  <c r="AB186" i="87"/>
  <c r="O181" i="87"/>
  <c r="O180" i="87"/>
  <c r="O179" i="87"/>
  <c r="AB179" i="87"/>
  <c r="O178" i="87"/>
  <c r="AB178" i="87"/>
  <c r="O177" i="87"/>
  <c r="O176" i="87"/>
  <c r="AB176" i="87" s="1"/>
  <c r="O175" i="87"/>
  <c r="AB175" i="87" s="1"/>
  <c r="O174" i="87"/>
  <c r="O173" i="87"/>
  <c r="AB173" i="87"/>
  <c r="O172" i="87"/>
  <c r="O171" i="87"/>
  <c r="O170" i="87"/>
  <c r="O169" i="87"/>
  <c r="AC168" i="87"/>
  <c r="O168" i="87"/>
  <c r="O167" i="87"/>
  <c r="AB167" i="87"/>
  <c r="O166" i="87"/>
  <c r="AB166" i="87"/>
  <c r="O165" i="87"/>
  <c r="O164" i="87"/>
  <c r="O163" i="87"/>
  <c r="O162" i="87"/>
  <c r="O161" i="87"/>
  <c r="AC160" i="87"/>
  <c r="O160" i="87"/>
  <c r="O159" i="87"/>
  <c r="AC158" i="87"/>
  <c r="O158" i="87"/>
  <c r="AB158" i="87" s="1"/>
  <c r="AC155" i="87"/>
  <c r="O155" i="87"/>
  <c r="O154" i="87"/>
  <c r="O153" i="87"/>
  <c r="O152" i="87"/>
  <c r="O151" i="87"/>
  <c r="AB151" i="87"/>
  <c r="O150" i="87"/>
  <c r="O149" i="87"/>
  <c r="AB149" i="87" s="1"/>
  <c r="O148" i="87"/>
  <c r="AB148" i="87"/>
  <c r="AC147" i="87"/>
  <c r="O147" i="87"/>
  <c r="AB147" i="87"/>
  <c r="O146" i="87"/>
  <c r="O141" i="87"/>
  <c r="O140" i="87"/>
  <c r="O139" i="87"/>
  <c r="AB139" i="87"/>
  <c r="O138" i="87"/>
  <c r="O137" i="87"/>
  <c r="O136" i="87"/>
  <c r="O135" i="87"/>
  <c r="AB135" i="87" s="1"/>
  <c r="O134" i="87"/>
  <c r="AB134" i="87"/>
  <c r="O133" i="87"/>
  <c r="O132" i="87"/>
  <c r="O131" i="87"/>
  <c r="O130" i="87"/>
  <c r="O129" i="87"/>
  <c r="O128" i="87"/>
  <c r="O127" i="87"/>
  <c r="O126" i="87"/>
  <c r="O125" i="87"/>
  <c r="AB125" i="87" s="1"/>
  <c r="AC124" i="87"/>
  <c r="O124" i="87"/>
  <c r="O123" i="87"/>
  <c r="O122" i="87"/>
  <c r="O121" i="87"/>
  <c r="O120" i="87"/>
  <c r="O119" i="87"/>
  <c r="O118" i="87"/>
  <c r="O115" i="87"/>
  <c r="O114" i="87"/>
  <c r="AB114" i="87"/>
  <c r="O113" i="87"/>
  <c r="O112" i="87"/>
  <c r="O111" i="87"/>
  <c r="O110" i="87"/>
  <c r="O109" i="87"/>
  <c r="O108" i="87"/>
  <c r="O107" i="87"/>
  <c r="O106" i="87"/>
  <c r="AB106" i="87" s="1"/>
  <c r="O100" i="87"/>
  <c r="O99" i="87"/>
  <c r="AC98" i="87"/>
  <c r="O98" i="87"/>
  <c r="O97" i="87"/>
  <c r="O96" i="87"/>
  <c r="O95" i="87"/>
  <c r="O94" i="87"/>
  <c r="O93" i="87"/>
  <c r="AB93" i="87"/>
  <c r="O92" i="87"/>
  <c r="O91" i="87"/>
  <c r="AB91" i="87"/>
  <c r="O90" i="87"/>
  <c r="O89" i="87"/>
  <c r="AB89" i="87"/>
  <c r="O88" i="87"/>
  <c r="O87" i="87"/>
  <c r="O86" i="87"/>
  <c r="O85" i="87"/>
  <c r="AB85" i="87" s="1"/>
  <c r="O84" i="87"/>
  <c r="AB84" i="87" s="1"/>
  <c r="O83" i="87"/>
  <c r="AB83" i="87" s="1"/>
  <c r="AC82" i="87"/>
  <c r="O82" i="87"/>
  <c r="O81" i="87"/>
  <c r="O80" i="87"/>
  <c r="O79" i="87"/>
  <c r="O78" i="87"/>
  <c r="O75" i="87"/>
  <c r="O74" i="87"/>
  <c r="AB74" i="87" s="1"/>
  <c r="O73" i="87"/>
  <c r="O68" i="87"/>
  <c r="AB68" i="87" s="1"/>
  <c r="O67" i="87"/>
  <c r="AB67" i="87" s="1"/>
  <c r="O66" i="87"/>
  <c r="AC65" i="87"/>
  <c r="O65" i="87"/>
  <c r="O64" i="87"/>
  <c r="AB64" i="87"/>
  <c r="O63" i="87"/>
  <c r="O62" i="87"/>
  <c r="O61" i="87"/>
  <c r="AB61" i="87" s="1"/>
  <c r="O60" i="87"/>
  <c r="AB60" i="87"/>
  <c r="O59" i="87"/>
  <c r="AB59" i="87"/>
  <c r="O58" i="87"/>
  <c r="O57" i="87"/>
  <c r="O56" i="87"/>
  <c r="AB56" i="87"/>
  <c r="AC55" i="87"/>
  <c r="O55" i="87"/>
  <c r="AB55" i="87"/>
  <c r="O54" i="87"/>
  <c r="AB54" i="87"/>
  <c r="O53" i="87"/>
  <c r="O52" i="87"/>
  <c r="AB52" i="87"/>
  <c r="O51" i="87"/>
  <c r="O76" i="87" s="1"/>
  <c r="AB51" i="87"/>
  <c r="O50" i="87"/>
  <c r="AC49" i="87"/>
  <c r="O49" i="87"/>
  <c r="O48" i="87"/>
  <c r="AB48" i="87" s="1"/>
  <c r="AC47" i="87"/>
  <c r="O47" i="87"/>
  <c r="O46" i="87"/>
  <c r="O43" i="87"/>
  <c r="O42" i="87"/>
  <c r="O41" i="87"/>
  <c r="O40" i="87"/>
  <c r="O39" i="87"/>
  <c r="AB39" i="87"/>
  <c r="O38" i="87"/>
  <c r="O37" i="87"/>
  <c r="O36" i="87"/>
  <c r="AB36" i="87" s="1"/>
  <c r="O35" i="87"/>
  <c r="O34" i="87"/>
  <c r="O33" i="87"/>
  <c r="O28" i="87"/>
  <c r="O27" i="87"/>
  <c r="O26" i="87"/>
  <c r="O25" i="87"/>
  <c r="AB25" i="87"/>
  <c r="O24" i="87"/>
  <c r="AB24" i="87" s="1"/>
  <c r="O23" i="87"/>
  <c r="O22" i="87"/>
  <c r="AB22" i="87" s="1"/>
  <c r="O21" i="87"/>
  <c r="O20" i="87"/>
  <c r="O19" i="87"/>
  <c r="O18" i="87"/>
  <c r="O17" i="87"/>
  <c r="AB17" i="87"/>
  <c r="O16" i="87"/>
  <c r="O15" i="87"/>
  <c r="O14" i="87"/>
  <c r="O13" i="87"/>
  <c r="AB13" i="87" s="1"/>
  <c r="O12" i="87"/>
  <c r="AB12" i="87"/>
  <c r="AC11" i="87"/>
  <c r="O11" i="87"/>
  <c r="O10" i="87"/>
  <c r="O9" i="87"/>
  <c r="O8" i="87"/>
  <c r="AB8" i="87"/>
  <c r="O7" i="87"/>
  <c r="O6" i="87"/>
  <c r="O1023" i="89"/>
  <c r="O1022" i="89"/>
  <c r="O1021" i="89"/>
  <c r="O1020" i="89"/>
  <c r="O1019" i="89"/>
  <c r="O1018" i="89"/>
  <c r="O1017" i="89"/>
  <c r="O1016" i="89"/>
  <c r="O1015" i="89"/>
  <c r="O1014" i="89"/>
  <c r="O1013" i="89"/>
  <c r="AB1013" i="89" s="1"/>
  <c r="O1012" i="89"/>
  <c r="O1011" i="89"/>
  <c r="AB1011" i="89"/>
  <c r="O1010" i="89"/>
  <c r="O1009" i="89"/>
  <c r="AB1009" i="89" s="1"/>
  <c r="O1008" i="89"/>
  <c r="AB1008" i="89"/>
  <c r="O1007" i="89"/>
  <c r="O1006" i="89"/>
  <c r="O1005" i="89"/>
  <c r="O1004" i="89"/>
  <c r="O1003" i="89"/>
  <c r="O1002" i="89"/>
  <c r="O1001" i="89"/>
  <c r="O1000" i="89"/>
  <c r="O999" i="89"/>
  <c r="AB999" i="89"/>
  <c r="O998" i="89"/>
  <c r="AC997" i="89"/>
  <c r="O997" i="89"/>
  <c r="O996" i="89"/>
  <c r="O995" i="89"/>
  <c r="AB995" i="89" s="1"/>
  <c r="O994" i="89"/>
  <c r="O993" i="89"/>
  <c r="O992" i="89"/>
  <c r="O989" i="89"/>
  <c r="O988" i="89"/>
  <c r="AC987" i="89"/>
  <c r="AC984" i="89"/>
  <c r="O976" i="89"/>
  <c r="AB976" i="89"/>
  <c r="O975" i="89"/>
  <c r="AB975" i="89" s="1"/>
  <c r="O974" i="89"/>
  <c r="O973" i="89"/>
  <c r="O972" i="89"/>
  <c r="AB972" i="89"/>
  <c r="O971" i="89"/>
  <c r="O970" i="89"/>
  <c r="AB970" i="89" s="1"/>
  <c r="O969" i="89"/>
  <c r="O968" i="89"/>
  <c r="AB968" i="89" s="1"/>
  <c r="O967" i="89"/>
  <c r="AB967" i="89"/>
  <c r="O966" i="89"/>
  <c r="O965" i="89"/>
  <c r="O964" i="89"/>
  <c r="O963" i="89"/>
  <c r="AB963" i="89" s="1"/>
  <c r="O962" i="89"/>
  <c r="AB962" i="89"/>
  <c r="O961" i="89"/>
  <c r="O960" i="89"/>
  <c r="O959" i="89"/>
  <c r="O958" i="89"/>
  <c r="AB958" i="89"/>
  <c r="AC957" i="89"/>
  <c r="O957" i="89"/>
  <c r="O956" i="89"/>
  <c r="AB956" i="89"/>
  <c r="AC955" i="89"/>
  <c r="O955" i="89"/>
  <c r="AB955" i="89" s="1"/>
  <c r="AC954" i="89"/>
  <c r="O954" i="89"/>
  <c r="O951" i="89"/>
  <c r="AC950" i="89"/>
  <c r="O950" i="89"/>
  <c r="O949" i="89"/>
  <c r="O948" i="89"/>
  <c r="O947" i="89"/>
  <c r="O946" i="89"/>
  <c r="AC945" i="89"/>
  <c r="O945" i="89"/>
  <c r="AB945" i="89" s="1"/>
  <c r="O944" i="89"/>
  <c r="O939" i="89"/>
  <c r="O938" i="89"/>
  <c r="O937" i="89"/>
  <c r="O936" i="89"/>
  <c r="O935" i="89"/>
  <c r="O934" i="89"/>
  <c r="O933" i="89"/>
  <c r="O932" i="89"/>
  <c r="AC931" i="89"/>
  <c r="O931" i="89"/>
  <c r="AB931" i="89" s="1"/>
  <c r="O930" i="89"/>
  <c r="AB930" i="89" s="1"/>
  <c r="AC929" i="89"/>
  <c r="O929" i="89"/>
  <c r="AB929" i="89" s="1"/>
  <c r="O928" i="89"/>
  <c r="AC927" i="89"/>
  <c r="O927" i="89"/>
  <c r="O926" i="89"/>
  <c r="O925" i="89"/>
  <c r="O924" i="89"/>
  <c r="O921" i="89"/>
  <c r="O920" i="89"/>
  <c r="O919" i="89"/>
  <c r="O918" i="89"/>
  <c r="O917" i="89"/>
  <c r="O916" i="89"/>
  <c r="AB916" i="89"/>
  <c r="O915" i="89"/>
  <c r="O914" i="89"/>
  <c r="AB914" i="89"/>
  <c r="O913" i="89"/>
  <c r="O912" i="89"/>
  <c r="AC911" i="89"/>
  <c r="O911" i="89"/>
  <c r="AC910" i="89"/>
  <c r="O910" i="89"/>
  <c r="AB910" i="89" s="1"/>
  <c r="O909" i="89"/>
  <c r="O904" i="89"/>
  <c r="O903" i="89"/>
  <c r="O902" i="89"/>
  <c r="O901" i="89"/>
  <c r="O900" i="89"/>
  <c r="O899" i="89"/>
  <c r="AB899" i="89" s="1"/>
  <c r="O898" i="89"/>
  <c r="O897" i="89"/>
  <c r="O896" i="89"/>
  <c r="O895" i="89"/>
  <c r="O894" i="89"/>
  <c r="AB894" i="89"/>
  <c r="O893" i="89"/>
  <c r="O892" i="89"/>
  <c r="O891" i="89"/>
  <c r="AC890" i="89"/>
  <c r="O890" i="89"/>
  <c r="AC889" i="89"/>
  <c r="O889" i="89"/>
  <c r="O888" i="89"/>
  <c r="O887" i="89"/>
  <c r="O886" i="89"/>
  <c r="O883" i="89"/>
  <c r="O882" i="89"/>
  <c r="O877" i="89"/>
  <c r="O876" i="89"/>
  <c r="AB876" i="89"/>
  <c r="O875" i="89"/>
  <c r="O874" i="89"/>
  <c r="AB874" i="89" s="1"/>
  <c r="O873" i="89"/>
  <c r="O872" i="89"/>
  <c r="O871" i="89"/>
  <c r="O870" i="89"/>
  <c r="O869" i="89"/>
  <c r="O868" i="89"/>
  <c r="O867" i="89"/>
  <c r="O866" i="89"/>
  <c r="O865" i="89"/>
  <c r="AB865" i="89"/>
  <c r="AC864" i="89"/>
  <c r="O864" i="89"/>
  <c r="O863" i="89"/>
  <c r="O862" i="89"/>
  <c r="O861" i="89"/>
  <c r="O860" i="89"/>
  <c r="O859" i="89"/>
  <c r="O858" i="89"/>
  <c r="O855" i="89"/>
  <c r="AB855" i="89"/>
  <c r="AC854" i="89"/>
  <c r="O854" i="89"/>
  <c r="O853" i="89"/>
  <c r="AB853" i="89"/>
  <c r="AC852" i="89"/>
  <c r="O852" i="89"/>
  <c r="O851" i="89"/>
  <c r="AB851" i="89"/>
  <c r="O850" i="89"/>
  <c r="O849" i="89"/>
  <c r="O848" i="89"/>
  <c r="O847" i="89"/>
  <c r="AB847" i="89"/>
  <c r="AC846" i="89"/>
  <c r="O846" i="89"/>
  <c r="AB846" i="89"/>
  <c r="O845" i="89"/>
  <c r="O844" i="89"/>
  <c r="AB844" i="89"/>
  <c r="O843" i="89"/>
  <c r="O842" i="89"/>
  <c r="O841" i="89"/>
  <c r="O840" i="89"/>
  <c r="O839" i="89"/>
  <c r="AB839" i="89"/>
  <c r="O838" i="89"/>
  <c r="O837" i="89"/>
  <c r="AB837" i="89" s="1"/>
  <c r="O836" i="89"/>
  <c r="O835" i="89"/>
  <c r="AB835" i="89" s="1"/>
  <c r="O834" i="89"/>
  <c r="AB834" i="89"/>
  <c r="O833" i="89"/>
  <c r="AB833" i="89" s="1"/>
  <c r="O832" i="89"/>
  <c r="O831" i="89"/>
  <c r="O830" i="89"/>
  <c r="O829" i="89"/>
  <c r="AB829" i="89"/>
  <c r="O828" i="89"/>
  <c r="AB828" i="89"/>
  <c r="O827" i="89"/>
  <c r="O826" i="89"/>
  <c r="AC825" i="89"/>
  <c r="O825" i="89"/>
  <c r="AC824" i="89"/>
  <c r="O824" i="89"/>
  <c r="AB824" i="89" s="1"/>
  <c r="AC823" i="89"/>
  <c r="O823" i="89"/>
  <c r="O822" i="89"/>
  <c r="O821" i="89"/>
  <c r="AC820" i="89"/>
  <c r="O820" i="89"/>
  <c r="AB820" i="89"/>
  <c r="O819" i="89"/>
  <c r="O818" i="89"/>
  <c r="O856" i="89" s="1"/>
  <c r="O817" i="89"/>
  <c r="AB817" i="89" s="1"/>
  <c r="O814" i="89"/>
  <c r="O813" i="89"/>
  <c r="AB813" i="89" s="1"/>
  <c r="O812" i="89"/>
  <c r="O811" i="89"/>
  <c r="AC810" i="89"/>
  <c r="O810" i="89"/>
  <c r="AB810" i="89"/>
  <c r="O809" i="89"/>
  <c r="O808" i="89"/>
  <c r="AB808" i="89" s="1"/>
  <c r="O807" i="89"/>
  <c r="AB807" i="89" s="1"/>
  <c r="O806" i="89"/>
  <c r="AB806" i="89"/>
  <c r="O805" i="89"/>
  <c r="O804" i="89"/>
  <c r="O803" i="89"/>
  <c r="AB803" i="89" s="1"/>
  <c r="O802" i="89"/>
  <c r="O801" i="89"/>
  <c r="O800" i="89"/>
  <c r="AB800" i="89" s="1"/>
  <c r="O799" i="89"/>
  <c r="AB799" i="89"/>
  <c r="O798" i="89"/>
  <c r="AB798" i="89"/>
  <c r="AC797" i="89"/>
  <c r="O797" i="89"/>
  <c r="O796" i="89"/>
  <c r="O795" i="89"/>
  <c r="AC794" i="89"/>
  <c r="O794" i="89"/>
  <c r="AB794" i="89"/>
  <c r="O793" i="89"/>
  <c r="O792" i="89"/>
  <c r="O791" i="89"/>
  <c r="O790" i="89"/>
  <c r="O789" i="89"/>
  <c r="O788" i="89"/>
  <c r="O787" i="89"/>
  <c r="O786" i="89"/>
  <c r="O785" i="89"/>
  <c r="AB785" i="89" s="1"/>
  <c r="O784" i="89"/>
  <c r="AB784" i="89"/>
  <c r="AC783" i="89"/>
  <c r="O783" i="89"/>
  <c r="O782" i="89"/>
  <c r="AC781" i="89"/>
  <c r="O781" i="89"/>
  <c r="AB781" i="89" s="1"/>
  <c r="O780" i="89"/>
  <c r="O779" i="89"/>
  <c r="O778" i="89"/>
  <c r="AC777" i="89"/>
  <c r="O777" i="89"/>
  <c r="O776" i="89"/>
  <c r="AB776" i="89"/>
  <c r="O769" i="89"/>
  <c r="O768" i="89"/>
  <c r="O767" i="89"/>
  <c r="AB767" i="89"/>
  <c r="AC766" i="89"/>
  <c r="O766" i="89"/>
  <c r="AB766" i="89"/>
  <c r="O765" i="89"/>
  <c r="O764" i="89"/>
  <c r="O763" i="89"/>
  <c r="AB763" i="89"/>
  <c r="O762" i="89"/>
  <c r="O761" i="89"/>
  <c r="AB761" i="89"/>
  <c r="O760" i="89"/>
  <c r="O759" i="89"/>
  <c r="AB759" i="89" s="1"/>
  <c r="O758" i="89"/>
  <c r="AB758" i="89" s="1"/>
  <c r="O757" i="89"/>
  <c r="O756" i="89"/>
  <c r="O755" i="89"/>
  <c r="O754" i="89"/>
  <c r="O753" i="89"/>
  <c r="O752" i="89"/>
  <c r="O751" i="89"/>
  <c r="AB751" i="89"/>
  <c r="O750" i="89"/>
  <c r="O749" i="89"/>
  <c r="O748" i="89"/>
  <c r="AB748" i="89" s="1"/>
  <c r="O747" i="89"/>
  <c r="AB747" i="89"/>
  <c r="O746" i="89"/>
  <c r="AC745" i="89"/>
  <c r="O745" i="89"/>
  <c r="O744" i="89"/>
  <c r="O743" i="89"/>
  <c r="AB743" i="89" s="1"/>
  <c r="O742" i="89"/>
  <c r="O741" i="89"/>
  <c r="O740" i="89"/>
  <c r="O739" i="89"/>
  <c r="O738" i="89"/>
  <c r="O737" i="89"/>
  <c r="O736" i="89"/>
  <c r="O735" i="89"/>
  <c r="O734" i="89"/>
  <c r="O733" i="89"/>
  <c r="AB733" i="89" s="1"/>
  <c r="O732" i="89"/>
  <c r="AC731" i="89"/>
  <c r="O731" i="89"/>
  <c r="O730" i="89"/>
  <c r="AB730" i="89"/>
  <c r="O729" i="89"/>
  <c r="AB729" i="89" s="1"/>
  <c r="AC728" i="89"/>
  <c r="O728" i="89"/>
  <c r="O727" i="89"/>
  <c r="O726" i="89"/>
  <c r="O725" i="89"/>
  <c r="AB725" i="89"/>
  <c r="O724" i="89"/>
  <c r="O723" i="89"/>
  <c r="AB723" i="89" s="1"/>
  <c r="O722" i="89"/>
  <c r="O721" i="89"/>
  <c r="O718" i="89"/>
  <c r="AB718" i="89" s="1"/>
  <c r="O717" i="89"/>
  <c r="O716" i="89"/>
  <c r="O715" i="89"/>
  <c r="O714" i="89"/>
  <c r="AB714" i="89"/>
  <c r="O713" i="89"/>
  <c r="O712" i="89"/>
  <c r="O711" i="89"/>
  <c r="AC710" i="89"/>
  <c r="O710" i="89"/>
  <c r="O709" i="89"/>
  <c r="O708" i="89"/>
  <c r="O707" i="89"/>
  <c r="O706" i="89"/>
  <c r="O705" i="89"/>
  <c r="O704" i="89"/>
  <c r="O703" i="89"/>
  <c r="O702" i="89"/>
  <c r="O701" i="89"/>
  <c r="AB701" i="89"/>
  <c r="O700" i="89"/>
  <c r="AB700" i="89"/>
  <c r="O699" i="89"/>
  <c r="AB699" i="89" s="1"/>
  <c r="O698" i="89"/>
  <c r="O697" i="89"/>
  <c r="AB697" i="89" s="1"/>
  <c r="O696" i="89"/>
  <c r="O695" i="89"/>
  <c r="O694" i="89"/>
  <c r="O693" i="89"/>
  <c r="AB693" i="89"/>
  <c r="O692" i="89"/>
  <c r="AB692" i="89"/>
  <c r="O691" i="89"/>
  <c r="O690" i="89"/>
  <c r="O689" i="89"/>
  <c r="O688" i="89"/>
  <c r="O687" i="89"/>
  <c r="O686" i="89"/>
  <c r="O685" i="89"/>
  <c r="O684" i="89"/>
  <c r="O683" i="89"/>
  <c r="O682" i="89"/>
  <c r="AB682" i="89" s="1"/>
  <c r="O677" i="89"/>
  <c r="O676" i="89"/>
  <c r="O675" i="89"/>
  <c r="O674" i="89"/>
  <c r="AB674" i="89" s="1"/>
  <c r="O671" i="89"/>
  <c r="O670" i="89"/>
  <c r="AB670" i="89"/>
  <c r="O669" i="89"/>
  <c r="AB669" i="89" s="1"/>
  <c r="O668" i="89"/>
  <c r="O667" i="89"/>
  <c r="O666" i="89"/>
  <c r="O665" i="89"/>
  <c r="AB665" i="89" s="1"/>
  <c r="O664" i="89"/>
  <c r="O663" i="89"/>
  <c r="AC662" i="89"/>
  <c r="O662" i="89"/>
  <c r="O661" i="89"/>
  <c r="O660" i="89"/>
  <c r="O659" i="89"/>
  <c r="O658" i="89"/>
  <c r="O657" i="89"/>
  <c r="O656" i="89"/>
  <c r="O655" i="89"/>
  <c r="O654" i="89"/>
  <c r="O653" i="89"/>
  <c r="O652" i="89"/>
  <c r="AB652" i="89"/>
  <c r="AC651" i="89"/>
  <c r="O651" i="89"/>
  <c r="AB651" i="89" s="1"/>
  <c r="O650" i="89"/>
  <c r="O649" i="89"/>
  <c r="AB649" i="89" s="1"/>
  <c r="O648" i="89"/>
  <c r="AB648" i="89"/>
  <c r="O647" i="89"/>
  <c r="O646" i="89"/>
  <c r="O645" i="89"/>
  <c r="AB645" i="89"/>
  <c r="AC644" i="89"/>
  <c r="O644" i="89"/>
  <c r="AB644" i="89" s="1"/>
  <c r="O643" i="89"/>
  <c r="O642" i="89"/>
  <c r="O641" i="89"/>
  <c r="AB641" i="89" s="1"/>
  <c r="O640" i="89"/>
  <c r="O635" i="89"/>
  <c r="O634" i="89"/>
  <c r="O633" i="89"/>
  <c r="O632" i="89"/>
  <c r="O631" i="89"/>
  <c r="O630" i="89"/>
  <c r="AB630" i="89"/>
  <c r="AC629" i="89"/>
  <c r="O629" i="89"/>
  <c r="AB629" i="89" s="1"/>
  <c r="O628" i="89"/>
  <c r="AB628" i="89" s="1"/>
  <c r="O627" i="89"/>
  <c r="AB627" i="89"/>
  <c r="AC626" i="89"/>
  <c r="O626" i="89"/>
  <c r="AB626" i="89" s="1"/>
  <c r="O623" i="89"/>
  <c r="AB623" i="89"/>
  <c r="O622" i="89"/>
  <c r="O621" i="89"/>
  <c r="O620" i="89"/>
  <c r="O619" i="89"/>
  <c r="O618" i="89"/>
  <c r="O617" i="89"/>
  <c r="O616" i="89"/>
  <c r="O615" i="89"/>
  <c r="O614" i="89"/>
  <c r="O613" i="89"/>
  <c r="O612" i="89"/>
  <c r="O611" i="89"/>
  <c r="AB611" i="89"/>
  <c r="O610" i="89"/>
  <c r="O609" i="89"/>
  <c r="O608" i="89"/>
  <c r="AB608" i="89"/>
  <c r="O607" i="89"/>
  <c r="O606" i="89"/>
  <c r="O605" i="89"/>
  <c r="O604" i="89"/>
  <c r="AB604" i="89"/>
  <c r="O603" i="89"/>
  <c r="O602" i="89"/>
  <c r="AB602" i="89" s="1"/>
  <c r="O601" i="89"/>
  <c r="AB601" i="89" s="1"/>
  <c r="AC600" i="89"/>
  <c r="O600" i="89"/>
  <c r="AB600" i="89" s="1"/>
  <c r="O599" i="89"/>
  <c r="AB599" i="89"/>
  <c r="O598" i="89"/>
  <c r="AB598" i="89"/>
  <c r="O597" i="89"/>
  <c r="O596" i="89"/>
  <c r="O595" i="89"/>
  <c r="O594" i="89"/>
  <c r="O593" i="89"/>
  <c r="AC592" i="89"/>
  <c r="O592" i="89"/>
  <c r="AB592" i="89" s="1"/>
  <c r="O591" i="89"/>
  <c r="AB591" i="89" s="1"/>
  <c r="O590" i="89"/>
  <c r="AB590" i="89" s="1"/>
  <c r="O589" i="89"/>
  <c r="O588" i="89"/>
  <c r="O587" i="89"/>
  <c r="O582" i="89"/>
  <c r="O581" i="89"/>
  <c r="O580" i="89"/>
  <c r="AB580" i="89" s="1"/>
  <c r="O579" i="89"/>
  <c r="O576" i="89"/>
  <c r="O575" i="89"/>
  <c r="O574" i="89"/>
  <c r="O573" i="89"/>
  <c r="O572" i="89"/>
  <c r="O571" i="89"/>
  <c r="AB571" i="89" s="1"/>
  <c r="O570" i="89"/>
  <c r="AB570" i="89" s="1"/>
  <c r="O569" i="89"/>
  <c r="AC568" i="89"/>
  <c r="O568" i="89"/>
  <c r="O567" i="89"/>
  <c r="O566" i="89"/>
  <c r="AB566" i="89"/>
  <c r="O565" i="89"/>
  <c r="O564" i="89"/>
  <c r="O563" i="89"/>
  <c r="O562" i="89"/>
  <c r="O561" i="89"/>
  <c r="O560" i="89"/>
  <c r="AB560" i="89"/>
  <c r="O559" i="89"/>
  <c r="O558" i="89"/>
  <c r="O557" i="89"/>
  <c r="O556" i="89"/>
  <c r="O555" i="89"/>
  <c r="O554" i="89"/>
  <c r="AB554" i="89"/>
  <c r="O553" i="89"/>
  <c r="AB553" i="89"/>
  <c r="O552" i="89"/>
  <c r="AC551" i="89"/>
  <c r="O551" i="89"/>
  <c r="AB551" i="89"/>
  <c r="O550" i="89"/>
  <c r="AB550" i="89" s="1"/>
  <c r="O549" i="89"/>
  <c r="O548" i="89"/>
  <c r="O547" i="89"/>
  <c r="O546" i="89"/>
  <c r="O545" i="89"/>
  <c r="O540" i="89"/>
  <c r="AB540" i="89"/>
  <c r="O539" i="89"/>
  <c r="AB539" i="89" s="1"/>
  <c r="O538" i="89"/>
  <c r="O577" i="89" s="1"/>
  <c r="O537" i="89"/>
  <c r="O536" i="89"/>
  <c r="O535" i="89"/>
  <c r="O534" i="89"/>
  <c r="O533" i="89"/>
  <c r="O532" i="89"/>
  <c r="AC528" i="89"/>
  <c r="O528" i="89"/>
  <c r="AB528" i="89"/>
  <c r="O527" i="89"/>
  <c r="AC526" i="89"/>
  <c r="O526" i="89"/>
  <c r="O525" i="89"/>
  <c r="O524" i="89"/>
  <c r="O523" i="89"/>
  <c r="O522" i="89"/>
  <c r="O521" i="89"/>
  <c r="O520" i="89"/>
  <c r="AB520" i="89" s="1"/>
  <c r="O519" i="89"/>
  <c r="AC518" i="89"/>
  <c r="O518" i="89"/>
  <c r="AB518" i="89" s="1"/>
  <c r="O517" i="89"/>
  <c r="AB517" i="89"/>
  <c r="O516" i="89"/>
  <c r="O515" i="89"/>
  <c r="O514" i="89"/>
  <c r="O513" i="89"/>
  <c r="O512" i="89"/>
  <c r="AB512" i="89" s="1"/>
  <c r="O511" i="89"/>
  <c r="O510" i="89"/>
  <c r="O509" i="89"/>
  <c r="O508" i="89"/>
  <c r="AB508" i="89"/>
  <c r="AC507" i="89"/>
  <c r="O507" i="89"/>
  <c r="AB507" i="89" s="1"/>
  <c r="O506" i="89"/>
  <c r="AB506" i="89" s="1"/>
  <c r="O505" i="89"/>
  <c r="O504" i="89"/>
  <c r="O503" i="89"/>
  <c r="O502" i="89"/>
  <c r="AB502" i="89"/>
  <c r="O501" i="89"/>
  <c r="O500" i="89"/>
  <c r="O499" i="89"/>
  <c r="O498" i="89"/>
  <c r="AB498" i="89" s="1"/>
  <c r="O497" i="89"/>
  <c r="O496" i="89"/>
  <c r="O495" i="89"/>
  <c r="O494" i="89"/>
  <c r="O493" i="89"/>
  <c r="O492" i="89"/>
  <c r="O491" i="89"/>
  <c r="O490" i="89"/>
  <c r="O489" i="89"/>
  <c r="O488" i="89"/>
  <c r="O487" i="89"/>
  <c r="AC486" i="89"/>
  <c r="O486" i="89"/>
  <c r="O485" i="89"/>
  <c r="O484" i="89"/>
  <c r="O481" i="89"/>
  <c r="O480" i="89"/>
  <c r="AB480" i="89"/>
  <c r="AC479" i="89"/>
  <c r="O479" i="89"/>
  <c r="AB479" i="89"/>
  <c r="O478" i="89"/>
  <c r="O477" i="89"/>
  <c r="O476" i="89"/>
  <c r="AB476" i="89"/>
  <c r="O475" i="89"/>
  <c r="O474" i="89"/>
  <c r="AB474" i="89"/>
  <c r="O473" i="89"/>
  <c r="AB473" i="89" s="1"/>
  <c r="O472" i="89"/>
  <c r="AB472" i="89" s="1"/>
  <c r="AC471" i="89"/>
  <c r="O471" i="89"/>
  <c r="AB471" i="89"/>
  <c r="O470" i="89"/>
  <c r="O469" i="89"/>
  <c r="O468" i="89"/>
  <c r="O467" i="89"/>
  <c r="AB467" i="89" s="1"/>
  <c r="AC466" i="89"/>
  <c r="O466" i="89"/>
  <c r="O465" i="89"/>
  <c r="O464" i="89"/>
  <c r="AB464" i="89" s="1"/>
  <c r="O463" i="89"/>
  <c r="AB463" i="89" s="1"/>
  <c r="O462" i="89"/>
  <c r="AB462" i="89" s="1"/>
  <c r="O461" i="89"/>
  <c r="O460" i="89"/>
  <c r="O455" i="89"/>
  <c r="O454" i="89"/>
  <c r="O453" i="89"/>
  <c r="O452" i="89"/>
  <c r="O451" i="89"/>
  <c r="O450" i="89"/>
  <c r="O449" i="89"/>
  <c r="AB449" i="89" s="1"/>
  <c r="O448" i="89"/>
  <c r="AB448" i="89"/>
  <c r="O445" i="89"/>
  <c r="O444" i="89"/>
  <c r="AB444" i="89" s="1"/>
  <c r="O443" i="89"/>
  <c r="AB443" i="89" s="1"/>
  <c r="O442" i="89"/>
  <c r="O437" i="89"/>
  <c r="O436" i="89"/>
  <c r="O435" i="89"/>
  <c r="O434" i="89"/>
  <c r="AC433" i="89"/>
  <c r="O433" i="89"/>
  <c r="AB433" i="89"/>
  <c r="O432" i="89"/>
  <c r="O431" i="89"/>
  <c r="O430" i="89"/>
  <c r="O429" i="89"/>
  <c r="O428" i="89"/>
  <c r="O427" i="89"/>
  <c r="O426" i="89"/>
  <c r="O425" i="89"/>
  <c r="O424" i="89"/>
  <c r="O423" i="89"/>
  <c r="O422" i="89"/>
  <c r="O421" i="89"/>
  <c r="O446" i="89" s="1"/>
  <c r="O420" i="89"/>
  <c r="O419" i="89"/>
  <c r="O418" i="89"/>
  <c r="O417" i="89"/>
  <c r="O416" i="89"/>
  <c r="O415" i="89"/>
  <c r="O412" i="89"/>
  <c r="O411" i="89"/>
  <c r="O410" i="89"/>
  <c r="AC409" i="89"/>
  <c r="O409" i="89"/>
  <c r="AB409" i="89"/>
  <c r="O408" i="89"/>
  <c r="AB408" i="89" s="1"/>
  <c r="O407" i="89"/>
  <c r="AB407" i="89" s="1"/>
  <c r="O406" i="89"/>
  <c r="AB406" i="89"/>
  <c r="AC405" i="89"/>
  <c r="O405" i="89"/>
  <c r="AB405" i="89" s="1"/>
  <c r="O404" i="89"/>
  <c r="O403" i="89"/>
  <c r="O402" i="89"/>
  <c r="AB402" i="89"/>
  <c r="AC401" i="89"/>
  <c r="O401" i="89"/>
  <c r="AB401" i="89"/>
  <c r="O400" i="89"/>
  <c r="AB400" i="89" s="1"/>
  <c r="AC399" i="89"/>
  <c r="O399" i="89"/>
  <c r="AB399" i="89" s="1"/>
  <c r="O398" i="89"/>
  <c r="O397" i="89"/>
  <c r="AB397" i="89" s="1"/>
  <c r="O396" i="89"/>
  <c r="O395" i="89"/>
  <c r="O394" i="89"/>
  <c r="O393" i="89"/>
  <c r="AB393" i="89" s="1"/>
  <c r="O392" i="89"/>
  <c r="O391" i="89"/>
  <c r="AB391" i="89"/>
  <c r="O386" i="89"/>
  <c r="AC385" i="89"/>
  <c r="O385" i="89"/>
  <c r="AC384" i="89"/>
  <c r="O384" i="89"/>
  <c r="O383" i="89"/>
  <c r="O382" i="89"/>
  <c r="AB382" i="89" s="1"/>
  <c r="AC381" i="89"/>
  <c r="O381" i="89"/>
  <c r="AC380" i="89"/>
  <c r="O380" i="89"/>
  <c r="O379" i="89"/>
  <c r="O376" i="89"/>
  <c r="O375" i="89"/>
  <c r="AB375" i="89" s="1"/>
  <c r="O374" i="89"/>
  <c r="AB374" i="89"/>
  <c r="O373" i="89"/>
  <c r="AB373" i="89"/>
  <c r="O368" i="89"/>
  <c r="O367" i="89"/>
  <c r="O366" i="89"/>
  <c r="O365" i="89"/>
  <c r="O364" i="89"/>
  <c r="O363" i="89"/>
  <c r="O362" i="89"/>
  <c r="AB362" i="89"/>
  <c r="O361" i="89"/>
  <c r="O360" i="89"/>
  <c r="O359" i="89"/>
  <c r="O358" i="89"/>
  <c r="O357" i="89"/>
  <c r="AB357" i="89" s="1"/>
  <c r="O356" i="89"/>
  <c r="O355" i="89"/>
  <c r="O354" i="89"/>
  <c r="O353" i="89"/>
  <c r="O352" i="89"/>
  <c r="AB352" i="89"/>
  <c r="O351" i="89"/>
  <c r="O350" i="89"/>
  <c r="O349" i="89"/>
  <c r="O348" i="89"/>
  <c r="O347" i="89"/>
  <c r="O346" i="89"/>
  <c r="AB346" i="89" s="1"/>
  <c r="O343" i="89"/>
  <c r="O342" i="89"/>
  <c r="AB342" i="89"/>
  <c r="O341" i="89"/>
  <c r="O340" i="89"/>
  <c r="AC339" i="89"/>
  <c r="O339" i="89"/>
  <c r="AB339" i="89" s="1"/>
  <c r="AC338" i="89"/>
  <c r="O338" i="89"/>
  <c r="AB338" i="89"/>
  <c r="O337" i="89"/>
  <c r="O336" i="89"/>
  <c r="O335" i="89"/>
  <c r="AB335" i="89"/>
  <c r="AC334" i="89"/>
  <c r="O334" i="89"/>
  <c r="AB334" i="89" s="1"/>
  <c r="O333" i="89"/>
  <c r="O332" i="89"/>
  <c r="O331" i="89"/>
  <c r="O330" i="89"/>
  <c r="AB330" i="89" s="1"/>
  <c r="O329" i="89"/>
  <c r="AB329" i="89" s="1"/>
  <c r="O328" i="89"/>
  <c r="O327" i="89"/>
  <c r="AB327" i="89"/>
  <c r="O326" i="89"/>
  <c r="AB326" i="89" s="1"/>
  <c r="O325" i="89"/>
  <c r="O324" i="89"/>
  <c r="O322" i="89"/>
  <c r="O317" i="89"/>
  <c r="AB317" i="89" s="1"/>
  <c r="O316" i="89"/>
  <c r="O315" i="89"/>
  <c r="AB315" i="89" s="1"/>
  <c r="O314" i="89"/>
  <c r="AB314" i="89" s="1"/>
  <c r="O313" i="89"/>
  <c r="O312" i="89"/>
  <c r="O311" i="89"/>
  <c r="AC310" i="89"/>
  <c r="O310" i="89"/>
  <c r="AB310" i="89" s="1"/>
  <c r="O307" i="89"/>
  <c r="AC306" i="89"/>
  <c r="O306" i="89"/>
  <c r="AB306" i="89" s="1"/>
  <c r="O305" i="89"/>
  <c r="O304" i="89"/>
  <c r="O299" i="89"/>
  <c r="O298" i="89"/>
  <c r="O297" i="89"/>
  <c r="AB297" i="89" s="1"/>
  <c r="O296" i="89"/>
  <c r="O295" i="89"/>
  <c r="AB295" i="89" s="1"/>
  <c r="O294" i="89"/>
  <c r="O293" i="89"/>
  <c r="AB293" i="89" s="1"/>
  <c r="O292" i="89"/>
  <c r="O291" i="89"/>
  <c r="O290" i="89"/>
  <c r="O289" i="89"/>
  <c r="O288" i="89"/>
  <c r="O287" i="89"/>
  <c r="O286" i="89"/>
  <c r="O285" i="89"/>
  <c r="AB285" i="89" s="1"/>
  <c r="AC284" i="89"/>
  <c r="O284" i="89"/>
  <c r="O283" i="89"/>
  <c r="O282" i="89"/>
  <c r="AB282" i="89" s="1"/>
  <c r="O281" i="89"/>
  <c r="O308" i="89" s="1"/>
  <c r="AC280" i="89"/>
  <c r="O280" i="89"/>
  <c r="O279" i="89"/>
  <c r="O278" i="89"/>
  <c r="O277" i="89"/>
  <c r="O274" i="89"/>
  <c r="AB274" i="89"/>
  <c r="O273" i="89"/>
  <c r="AC272" i="89"/>
  <c r="O272" i="89"/>
  <c r="O271" i="89"/>
  <c r="AB271" i="89"/>
  <c r="O270" i="89"/>
  <c r="AC269" i="89"/>
  <c r="O269" i="89"/>
  <c r="AB269" i="89" s="1"/>
  <c r="O268" i="89"/>
  <c r="O267" i="89"/>
  <c r="O266" i="89"/>
  <c r="O265" i="89"/>
  <c r="O264" i="89"/>
  <c r="O263" i="89"/>
  <c r="O262" i="89"/>
  <c r="AB262" i="89"/>
  <c r="O257" i="89"/>
  <c r="AB257" i="89" s="1"/>
  <c r="O256" i="89"/>
  <c r="O255" i="89"/>
  <c r="O254" i="89"/>
  <c r="O253" i="89"/>
  <c r="O252" i="89"/>
  <c r="O251" i="89"/>
  <c r="O275" i="89" s="1"/>
  <c r="O250" i="89"/>
  <c r="O249" i="89"/>
  <c r="O248" i="89"/>
  <c r="O247" i="89"/>
  <c r="O246" i="89"/>
  <c r="O245" i="89"/>
  <c r="O244" i="89"/>
  <c r="O240" i="89"/>
  <c r="O239" i="89"/>
  <c r="AC238" i="89"/>
  <c r="O238" i="89"/>
  <c r="AB238" i="89"/>
  <c r="O237" i="89"/>
  <c r="AB237" i="89" s="1"/>
  <c r="O232" i="89"/>
  <c r="O231" i="89"/>
  <c r="O230" i="89"/>
  <c r="O229" i="89"/>
  <c r="O228" i="89"/>
  <c r="O227" i="89"/>
  <c r="O226" i="89"/>
  <c r="O225" i="89"/>
  <c r="AB225" i="89"/>
  <c r="O224" i="89"/>
  <c r="AB224" i="89" s="1"/>
  <c r="AC223" i="89"/>
  <c r="O223" i="89"/>
  <c r="O222" i="89"/>
  <c r="O221" i="89"/>
  <c r="AB221" i="89"/>
  <c r="O220" i="89"/>
  <c r="O219" i="89"/>
  <c r="O218" i="89"/>
  <c r="AB218" i="89" s="1"/>
  <c r="O217" i="89"/>
  <c r="O216" i="89"/>
  <c r="AB216" i="89" s="1"/>
  <c r="O215" i="89"/>
  <c r="O214" i="89"/>
  <c r="AB214" i="89"/>
  <c r="AC213" i="89"/>
  <c r="O213" i="89"/>
  <c r="AB213" i="89" s="1"/>
  <c r="O212" i="89"/>
  <c r="AB212" i="89"/>
  <c r="O211" i="89"/>
  <c r="O210" i="89"/>
  <c r="O209" i="89"/>
  <c r="O208" i="89"/>
  <c r="AB208" i="89"/>
  <c r="O207" i="89"/>
  <c r="O206" i="89"/>
  <c r="O205" i="89"/>
  <c r="AC204" i="89"/>
  <c r="O204" i="89"/>
  <c r="AB204" i="89" s="1"/>
  <c r="O203" i="89"/>
  <c r="O202" i="89"/>
  <c r="AB202" i="89"/>
  <c r="AC201" i="89"/>
  <c r="O201" i="89"/>
  <c r="O200" i="89"/>
  <c r="O199" i="89"/>
  <c r="AB199" i="89" s="1"/>
  <c r="O198" i="89"/>
  <c r="O195" i="89"/>
  <c r="AB195" i="89" s="1"/>
  <c r="O194" i="89"/>
  <c r="O193" i="89"/>
  <c r="O192" i="89"/>
  <c r="O191" i="89"/>
  <c r="O190" i="89"/>
  <c r="O189" i="89"/>
  <c r="AB189" i="89" s="1"/>
  <c r="O188" i="89"/>
  <c r="O187" i="89"/>
  <c r="AC186" i="89"/>
  <c r="O186" i="89"/>
  <c r="AC185" i="89"/>
  <c r="O185" i="89"/>
  <c r="AB185" i="89" s="1"/>
  <c r="AC180" i="89"/>
  <c r="O180" i="89"/>
  <c r="AB180" i="89"/>
  <c r="O179" i="89"/>
  <c r="O178" i="89"/>
  <c r="O177" i="89"/>
  <c r="O176" i="89"/>
  <c r="AC175" i="89"/>
  <c r="O175" i="89"/>
  <c r="AB175" i="89" s="1"/>
  <c r="AC174" i="89"/>
  <c r="O174" i="89"/>
  <c r="AB174" i="89" s="1"/>
  <c r="AC173" i="89"/>
  <c r="O173" i="89"/>
  <c r="AB173" i="89" s="1"/>
  <c r="O172" i="89"/>
  <c r="O171" i="89"/>
  <c r="O170" i="89"/>
  <c r="AC167" i="89"/>
  <c r="O167" i="89"/>
  <c r="AB167" i="89" s="1"/>
  <c r="O166" i="89"/>
  <c r="O165" i="89"/>
  <c r="AB165" i="89" s="1"/>
  <c r="O164" i="89"/>
  <c r="AB164" i="89" s="1"/>
  <c r="O163" i="89"/>
  <c r="AB163" i="89"/>
  <c r="AC162" i="89"/>
  <c r="O162" i="89"/>
  <c r="AB162" i="89"/>
  <c r="O161" i="89"/>
  <c r="AB161" i="89" s="1"/>
  <c r="AC160" i="89"/>
  <c r="O160" i="89"/>
  <c r="O159" i="89"/>
  <c r="AB159" i="89" s="1"/>
  <c r="O158" i="89"/>
  <c r="O157" i="89"/>
  <c r="AB157" i="89"/>
  <c r="AC156" i="89"/>
  <c r="O156" i="89"/>
  <c r="AC155" i="89"/>
  <c r="O155" i="89"/>
  <c r="O154" i="89"/>
  <c r="AB154" i="89" s="1"/>
  <c r="O153" i="89"/>
  <c r="AB153" i="89"/>
  <c r="O152" i="89"/>
  <c r="O151" i="89"/>
  <c r="AB151" i="89" s="1"/>
  <c r="O148" i="89"/>
  <c r="AC147" i="89"/>
  <c r="O147" i="89"/>
  <c r="AB147" i="89" s="1"/>
  <c r="O146" i="89"/>
  <c r="O145" i="89"/>
  <c r="O140" i="89"/>
  <c r="AB140" i="89" s="1"/>
  <c r="O139" i="89"/>
  <c r="AB139" i="89" s="1"/>
  <c r="O138" i="89"/>
  <c r="AC137" i="89"/>
  <c r="O137" i="89"/>
  <c r="O136" i="89"/>
  <c r="AC135" i="89"/>
  <c r="O135" i="89"/>
  <c r="O134" i="89"/>
  <c r="O133" i="89"/>
  <c r="AB133" i="89"/>
  <c r="O132" i="89"/>
  <c r="AB132" i="89" s="1"/>
  <c r="O131" i="89"/>
  <c r="O130" i="89"/>
  <c r="O125" i="89"/>
  <c r="AC124" i="89"/>
  <c r="O124" i="89"/>
  <c r="O123" i="89"/>
  <c r="O122" i="89"/>
  <c r="O121" i="89"/>
  <c r="O120" i="89"/>
  <c r="AB120" i="89" s="1"/>
  <c r="O119" i="89"/>
  <c r="AB119" i="89" s="1"/>
  <c r="O118" i="89"/>
  <c r="O117" i="89"/>
  <c r="O116" i="89"/>
  <c r="O115" i="89"/>
  <c r="O114" i="89"/>
  <c r="O113" i="89"/>
  <c r="AC112" i="89"/>
  <c r="O112" i="89"/>
  <c r="O111" i="89"/>
  <c r="O110" i="89"/>
  <c r="O109" i="89"/>
  <c r="O108" i="89"/>
  <c r="AB108" i="89" s="1"/>
  <c r="O107" i="89"/>
  <c r="O106" i="89"/>
  <c r="O103" i="89"/>
  <c r="AB103" i="89" s="1"/>
  <c r="O102" i="89"/>
  <c r="O101" i="89"/>
  <c r="AB101" i="89"/>
  <c r="O100" i="89"/>
  <c r="O99" i="89"/>
  <c r="O98" i="89"/>
  <c r="O97" i="89"/>
  <c r="O96" i="89"/>
  <c r="O95" i="89"/>
  <c r="AC94" i="89"/>
  <c r="O94" i="89"/>
  <c r="O93" i="89"/>
  <c r="O88" i="89"/>
  <c r="O87" i="89"/>
  <c r="O86" i="89"/>
  <c r="AB86" i="89"/>
  <c r="O85" i="89"/>
  <c r="O84" i="89"/>
  <c r="AB84" i="89"/>
  <c r="O83" i="89"/>
  <c r="AB83" i="89"/>
  <c r="O82" i="89"/>
  <c r="O81" i="89"/>
  <c r="O80" i="89"/>
  <c r="AB80" i="89"/>
  <c r="O79" i="89"/>
  <c r="AB79" i="89"/>
  <c r="O78" i="89"/>
  <c r="O75" i="89"/>
  <c r="O74" i="89"/>
  <c r="O73" i="89"/>
  <c r="AB73" i="89"/>
  <c r="O72" i="89"/>
  <c r="O71" i="89"/>
  <c r="O70" i="89"/>
  <c r="O69" i="89"/>
  <c r="O68" i="89"/>
  <c r="O67" i="89"/>
  <c r="AB67" i="89" s="1"/>
  <c r="O66" i="89"/>
  <c r="AB66" i="89" s="1"/>
  <c r="O65" i="89"/>
  <c r="O64" i="89"/>
  <c r="O63" i="89"/>
  <c r="AB63" i="89" s="1"/>
  <c r="O62" i="89"/>
  <c r="O104" i="89" s="1"/>
  <c r="O61" i="89"/>
  <c r="AC60" i="89"/>
  <c r="O60" i="89"/>
  <c r="O59" i="89"/>
  <c r="O55" i="89"/>
  <c r="O54" i="89"/>
  <c r="O53" i="89"/>
  <c r="O52" i="89"/>
  <c r="O51" i="89"/>
  <c r="O50" i="89"/>
  <c r="O49" i="89"/>
  <c r="AB49" i="89" s="1"/>
  <c r="O48" i="89"/>
  <c r="O47" i="89"/>
  <c r="O46" i="89"/>
  <c r="O45" i="89"/>
  <c r="O44" i="89"/>
  <c r="O43" i="89"/>
  <c r="O42" i="89"/>
  <c r="O41" i="89"/>
  <c r="O40" i="89"/>
  <c r="O39" i="89"/>
  <c r="O38" i="89"/>
  <c r="AB38" i="89"/>
  <c r="O37" i="89"/>
  <c r="O36" i="89"/>
  <c r="O35" i="89"/>
  <c r="O34" i="89"/>
  <c r="O33" i="89"/>
  <c r="O32" i="89"/>
  <c r="AB32" i="89"/>
  <c r="O31" i="89"/>
  <c r="O30" i="89"/>
  <c r="O25" i="89"/>
  <c r="O24" i="89"/>
  <c r="O23" i="89"/>
  <c r="O22" i="89"/>
  <c r="O21" i="89"/>
  <c r="AB21" i="89"/>
  <c r="O20" i="89"/>
  <c r="O19" i="89"/>
  <c r="O18" i="89"/>
  <c r="O17" i="89"/>
  <c r="O16" i="89"/>
  <c r="AB16" i="89" s="1"/>
  <c r="O15" i="89"/>
  <c r="AB15" i="89" s="1"/>
  <c r="O14" i="89"/>
  <c r="AC13" i="89"/>
  <c r="O13" i="89"/>
  <c r="AC12" i="89"/>
  <c r="O12" i="89"/>
  <c r="AC11" i="89"/>
  <c r="O11" i="89"/>
  <c r="O10" i="89"/>
  <c r="AC9" i="89"/>
  <c r="O9" i="89"/>
  <c r="AB9" i="89" s="1"/>
  <c r="O8" i="89"/>
  <c r="O7" i="89"/>
  <c r="AC6" i="89"/>
  <c r="O6" i="89"/>
  <c r="S155" i="90"/>
  <c r="O155" i="90"/>
  <c r="S154" i="90"/>
  <c r="O154" i="90"/>
  <c r="S153" i="90"/>
  <c r="O153" i="90"/>
  <c r="S152" i="90"/>
  <c r="S156" i="90" s="1"/>
  <c r="O152" i="90"/>
  <c r="S149" i="90"/>
  <c r="O149" i="90"/>
  <c r="S148" i="90"/>
  <c r="O148" i="90"/>
  <c r="S147" i="90"/>
  <c r="O147" i="90"/>
  <c r="O150" i="90" s="1"/>
  <c r="S146" i="90"/>
  <c r="S150" i="90"/>
  <c r="O146" i="90"/>
  <c r="O143" i="90"/>
  <c r="O142" i="90"/>
  <c r="O141" i="90"/>
  <c r="O140" i="90"/>
  <c r="O144" i="90" s="1"/>
  <c r="O137" i="90"/>
  <c r="O138" i="90" s="1"/>
  <c r="O136" i="90"/>
  <c r="O135" i="90"/>
  <c r="S138" i="90"/>
  <c r="O134" i="90"/>
  <c r="O131" i="90"/>
  <c r="O130" i="90"/>
  <c r="O129" i="90"/>
  <c r="O132" i="90" s="1"/>
  <c r="O128" i="90"/>
  <c r="S125" i="90"/>
  <c r="O125" i="90"/>
  <c r="S124" i="90"/>
  <c r="O124" i="90"/>
  <c r="S123" i="90"/>
  <c r="S126" i="90" s="1"/>
  <c r="O123" i="90"/>
  <c r="O126" i="90" s="1"/>
  <c r="S122" i="90"/>
  <c r="O122" i="90"/>
  <c r="S119" i="90"/>
  <c r="O119" i="90"/>
  <c r="S118" i="90"/>
  <c r="O118" i="90"/>
  <c r="O120" i="90" s="1"/>
  <c r="S117" i="90"/>
  <c r="O117" i="90"/>
  <c r="S116" i="90"/>
  <c r="O116" i="90"/>
  <c r="S113" i="90"/>
  <c r="O113" i="90"/>
  <c r="S112" i="90"/>
  <c r="O112" i="90"/>
  <c r="S111" i="90"/>
  <c r="O111" i="90"/>
  <c r="O110" i="90"/>
  <c r="O101" i="90"/>
  <c r="O95" i="90"/>
  <c r="O94" i="90"/>
  <c r="O93" i="90"/>
  <c r="O92" i="90"/>
  <c r="O96" i="90" s="1"/>
  <c r="O89" i="90"/>
  <c r="O88" i="90"/>
  <c r="S78" i="90"/>
  <c r="O77" i="90"/>
  <c r="O76" i="90"/>
  <c r="O75" i="90"/>
  <c r="O74" i="90"/>
  <c r="O78" i="90" s="1"/>
  <c r="O70" i="90"/>
  <c r="O69" i="90"/>
  <c r="O65" i="90"/>
  <c r="O64" i="90"/>
  <c r="O63" i="90"/>
  <c r="O62" i="90"/>
  <c r="O53" i="90"/>
  <c r="O52" i="90"/>
  <c r="O51" i="90"/>
  <c r="O50" i="90"/>
  <c r="O54" i="90" s="1"/>
  <c r="O46" i="90"/>
  <c r="S41" i="90"/>
  <c r="O41" i="90"/>
  <c r="O162" i="90" s="1"/>
  <c r="J14" i="75" s="1"/>
  <c r="S40" i="90"/>
  <c r="O40" i="90"/>
  <c r="S39" i="90"/>
  <c r="O39" i="90"/>
  <c r="S38" i="90"/>
  <c r="O38" i="90"/>
  <c r="O35" i="90"/>
  <c r="O34" i="90"/>
  <c r="O33" i="90"/>
  <c r="O32" i="90"/>
  <c r="O31" i="90"/>
  <c r="O30" i="90"/>
  <c r="O36" i="90" s="1"/>
  <c r="O27" i="90"/>
  <c r="O26" i="90"/>
  <c r="O25" i="90"/>
  <c r="O24" i="90"/>
  <c r="O23" i="90"/>
  <c r="O22" i="90"/>
  <c r="O21" i="90"/>
  <c r="O20" i="90"/>
  <c r="O28" i="90"/>
  <c r="O17" i="90"/>
  <c r="O16" i="90"/>
  <c r="O15" i="90"/>
  <c r="O14" i="90"/>
  <c r="O13" i="90"/>
  <c r="S18" i="90"/>
  <c r="O12" i="90"/>
  <c r="O18" i="90" s="1"/>
  <c r="O9" i="90"/>
  <c r="O8" i="90"/>
  <c r="O7" i="90"/>
  <c r="S10" i="90"/>
  <c r="O6" i="90"/>
  <c r="O111" i="88"/>
  <c r="O109" i="88"/>
  <c r="R108" i="88"/>
  <c r="R105" i="88"/>
  <c r="O104" i="88"/>
  <c r="O103" i="88"/>
  <c r="R102" i="88"/>
  <c r="O102" i="88"/>
  <c r="O106" i="88" s="1"/>
  <c r="R99" i="88"/>
  <c r="O98" i="88"/>
  <c r="O97" i="88"/>
  <c r="O100" i="88" s="1"/>
  <c r="R96" i="88"/>
  <c r="O96" i="88"/>
  <c r="R93" i="88"/>
  <c r="R94" i="88" s="1"/>
  <c r="O92" i="88"/>
  <c r="R91" i="88"/>
  <c r="R90" i="88"/>
  <c r="R87" i="88"/>
  <c r="R85" i="88"/>
  <c r="O85" i="88"/>
  <c r="R84" i="88"/>
  <c r="O81" i="88"/>
  <c r="R80" i="88"/>
  <c r="R79" i="88"/>
  <c r="O79" i="88"/>
  <c r="O82" i="88" s="1"/>
  <c r="R78" i="88"/>
  <c r="O75" i="88"/>
  <c r="R74" i="88"/>
  <c r="O73" i="88"/>
  <c r="R72" i="88"/>
  <c r="O69" i="88"/>
  <c r="R68" i="88"/>
  <c r="O68" i="88"/>
  <c r="R67" i="88"/>
  <c r="R66" i="88"/>
  <c r="O63" i="88"/>
  <c r="R62" i="88"/>
  <c r="R61" i="88"/>
  <c r="R64" i="88"/>
  <c r="O61" i="88"/>
  <c r="R60" i="88"/>
  <c r="R57" i="88"/>
  <c r="O57" i="88"/>
  <c r="R56" i="88"/>
  <c r="O56" i="88"/>
  <c r="R55" i="88"/>
  <c r="O51" i="88"/>
  <c r="R49" i="88"/>
  <c r="R48" i="88"/>
  <c r="R45" i="88"/>
  <c r="R44" i="88"/>
  <c r="R43" i="88"/>
  <c r="O39" i="88"/>
  <c r="O38" i="88"/>
  <c r="O37" i="88"/>
  <c r="O36" i="88"/>
  <c r="O40" i="88"/>
  <c r="O33" i="88"/>
  <c r="O32" i="88"/>
  <c r="O31" i="88"/>
  <c r="O30" i="88"/>
  <c r="O27" i="88"/>
  <c r="O26" i="88"/>
  <c r="O25" i="88"/>
  <c r="O24" i="88"/>
  <c r="O15" i="88"/>
  <c r="O14" i="88"/>
  <c r="O13" i="88"/>
  <c r="O12" i="88"/>
  <c r="R9" i="88"/>
  <c r="O9" i="88"/>
  <c r="R8" i="88"/>
  <c r="R10" i="88" s="1"/>
  <c r="R116" i="88" s="1"/>
  <c r="P116" i="88" s="1"/>
  <c r="O8" i="88"/>
  <c r="O10" i="88" s="1"/>
  <c r="O116" i="88" s="1"/>
  <c r="N116" i="88" s="1"/>
  <c r="R7" i="88"/>
  <c r="O7" i="88"/>
  <c r="R6" i="88"/>
  <c r="O6" i="88"/>
  <c r="O81" i="90"/>
  <c r="F234" i="84"/>
  <c r="G234" i="84" s="1"/>
  <c r="F231" i="84"/>
  <c r="F20" i="84"/>
  <c r="G20" i="84" s="1"/>
  <c r="F17" i="84"/>
  <c r="F410" i="84"/>
  <c r="F407" i="84"/>
  <c r="F402" i="84"/>
  <c r="F399" i="84"/>
  <c r="F394" i="84"/>
  <c r="G394" i="84"/>
  <c r="F391" i="84"/>
  <c r="F386" i="84"/>
  <c r="G386" i="84"/>
  <c r="F383" i="84"/>
  <c r="F378" i="84"/>
  <c r="G378" i="84" s="1"/>
  <c r="F375" i="84"/>
  <c r="F370" i="84"/>
  <c r="G370" i="84"/>
  <c r="F367" i="84"/>
  <c r="F362" i="84"/>
  <c r="G362" i="84" s="1"/>
  <c r="F359" i="84"/>
  <c r="F354" i="84"/>
  <c r="G354" i="84" s="1"/>
  <c r="F351" i="84"/>
  <c r="F346" i="84"/>
  <c r="G346" i="84" s="1"/>
  <c r="F343" i="84"/>
  <c r="F338" i="84"/>
  <c r="G338" i="84" s="1"/>
  <c r="F335" i="84"/>
  <c r="F330" i="84"/>
  <c r="G330" i="84" s="1"/>
  <c r="F327" i="84"/>
  <c r="F225" i="84" s="1"/>
  <c r="F322" i="84"/>
  <c r="G322" i="84"/>
  <c r="F319" i="84"/>
  <c r="F314" i="84"/>
  <c r="F311" i="84"/>
  <c r="F306" i="84"/>
  <c r="G306" i="84"/>
  <c r="F303" i="84"/>
  <c r="F298" i="84"/>
  <c r="G298" i="84"/>
  <c r="F295" i="84"/>
  <c r="F290" i="84"/>
  <c r="G290" i="84"/>
  <c r="F287" i="84"/>
  <c r="F282" i="84"/>
  <c r="G282" i="84"/>
  <c r="F279" i="84"/>
  <c r="F274" i="84"/>
  <c r="G274" i="84" s="1"/>
  <c r="F271" i="84"/>
  <c r="F266" i="84"/>
  <c r="G266" i="84" s="1"/>
  <c r="F263" i="84"/>
  <c r="F258" i="84"/>
  <c r="G258" i="84" s="1"/>
  <c r="F255" i="84"/>
  <c r="F250" i="84"/>
  <c r="G250" i="84"/>
  <c r="F247" i="84"/>
  <c r="F242" i="84"/>
  <c r="G242" i="84"/>
  <c r="F239" i="84"/>
  <c r="F220" i="84"/>
  <c r="F217" i="84"/>
  <c r="F215" i="84"/>
  <c r="F212" i="84"/>
  <c r="F209" i="84"/>
  <c r="F207" i="84"/>
  <c r="F204" i="84"/>
  <c r="F201" i="84"/>
  <c r="F199" i="84"/>
  <c r="F196" i="84"/>
  <c r="G196" i="84"/>
  <c r="F193" i="84"/>
  <c r="F188" i="84"/>
  <c r="G188" i="84" s="1"/>
  <c r="F185" i="84"/>
  <c r="F11" i="84" s="1"/>
  <c r="G11" i="84" s="1"/>
  <c r="F180" i="84"/>
  <c r="F177" i="84"/>
  <c r="F175" i="84"/>
  <c r="F172" i="84"/>
  <c r="F169" i="84"/>
  <c r="F167" i="84"/>
  <c r="F164" i="84"/>
  <c r="F161" i="84"/>
  <c r="F159" i="84"/>
  <c r="F156" i="84"/>
  <c r="F153" i="84"/>
  <c r="F148" i="84"/>
  <c r="G148" i="84" s="1"/>
  <c r="F145" i="84"/>
  <c r="F140" i="84"/>
  <c r="G140" i="84" s="1"/>
  <c r="F137" i="84"/>
  <c r="F132" i="84"/>
  <c r="G132" i="84" s="1"/>
  <c r="F129" i="84"/>
  <c r="F124" i="84"/>
  <c r="G124" i="84" s="1"/>
  <c r="F121" i="84"/>
  <c r="F116" i="84"/>
  <c r="G116" i="84" s="1"/>
  <c r="F113" i="84"/>
  <c r="F108" i="84"/>
  <c r="G108" i="84"/>
  <c r="F105" i="84"/>
  <c r="F100" i="84"/>
  <c r="G100" i="84" s="1"/>
  <c r="F97" i="84"/>
  <c r="F92" i="84"/>
  <c r="G92" i="84"/>
  <c r="F89" i="84"/>
  <c r="F84" i="84"/>
  <c r="G84" i="84"/>
  <c r="F81" i="84"/>
  <c r="F76" i="84"/>
  <c r="G76" i="84" s="1"/>
  <c r="F73" i="84"/>
  <c r="F68" i="84"/>
  <c r="G68" i="84" s="1"/>
  <c r="F65" i="84"/>
  <c r="F60" i="84"/>
  <c r="G60" i="84" s="1"/>
  <c r="F57" i="84"/>
  <c r="F52" i="84"/>
  <c r="G52" i="84" s="1"/>
  <c r="F49" i="84"/>
  <c r="F44" i="84"/>
  <c r="G44" i="84" s="1"/>
  <c r="F41" i="84"/>
  <c r="F36" i="84"/>
  <c r="G36" i="84"/>
  <c r="F33" i="84"/>
  <c r="F28" i="84"/>
  <c r="G28" i="84"/>
  <c r="F25" i="84"/>
  <c r="Q44" i="81"/>
  <c r="P44" i="81"/>
  <c r="O59" i="90"/>
  <c r="O98" i="90"/>
  <c r="O107" i="90"/>
  <c r="O80" i="90"/>
  <c r="O58" i="90"/>
  <c r="O99" i="90"/>
  <c r="O106" i="90"/>
  <c r="O87" i="90"/>
  <c r="O83" i="90"/>
  <c r="O100" i="90"/>
  <c r="O102" i="90" s="1"/>
  <c r="O57" i="90"/>
  <c r="O44" i="90"/>
  <c r="O45" i="90"/>
  <c r="O48" i="90" s="1"/>
  <c r="H14" i="97"/>
  <c r="H10" i="97"/>
  <c r="O42" i="88"/>
  <c r="O54" i="88"/>
  <c r="O49" i="88"/>
  <c r="O80" i="88"/>
  <c r="O90" i="88"/>
  <c r="O94" i="88" s="1"/>
  <c r="O108" i="88"/>
  <c r="O67" i="88"/>
  <c r="O74" i="88"/>
  <c r="O91" i="88"/>
  <c r="O43" i="88"/>
  <c r="O55" i="88"/>
  <c r="O66" i="88"/>
  <c r="O70" i="88"/>
  <c r="O72" i="88"/>
  <c r="O78" i="88"/>
  <c r="O84" i="88"/>
  <c r="O87" i="88"/>
  <c r="O93" i="88"/>
  <c r="O99" i="88"/>
  <c r="O105" i="88"/>
  <c r="R50" i="88"/>
  <c r="R52" i="88" s="1"/>
  <c r="R98" i="88"/>
  <c r="O44" i="88"/>
  <c r="O46" i="88" s="1"/>
  <c r="R51" i="88"/>
  <c r="R63" i="88"/>
  <c r="R75" i="88"/>
  <c r="R111" i="88"/>
  <c r="R113" i="88" s="1"/>
  <c r="R42" i="88"/>
  <c r="O45" i="88"/>
  <c r="R103" i="88"/>
  <c r="R92" i="88"/>
  <c r="R104" i="88"/>
  <c r="O48" i="88"/>
  <c r="O52" i="88" s="1"/>
  <c r="R69" i="88"/>
  <c r="R70" i="88" s="1"/>
  <c r="R81" i="88"/>
  <c r="R82" i="88"/>
  <c r="R109" i="88"/>
  <c r="O60" i="88"/>
  <c r="O47" i="90"/>
  <c r="O56" i="90"/>
  <c r="O71" i="90"/>
  <c r="O82" i="90"/>
  <c r="G19" i="96"/>
  <c r="R22" i="88"/>
  <c r="AB556" i="87"/>
  <c r="AB899" i="87"/>
  <c r="AB965" i="87"/>
  <c r="AB446" i="87"/>
  <c r="AC231" i="87"/>
  <c r="AB935" i="87"/>
  <c r="AB957" i="87"/>
  <c r="AB680" i="87"/>
  <c r="AB665" i="87"/>
  <c r="AC266" i="87"/>
  <c r="AB597" i="87"/>
  <c r="AC640" i="87"/>
  <c r="AB719" i="87"/>
  <c r="AB508" i="87"/>
  <c r="AB322" i="87"/>
  <c r="AB656" i="87"/>
  <c r="AB35" i="87"/>
  <c r="AC84" i="87"/>
  <c r="AB79" i="87"/>
  <c r="AB229" i="87"/>
  <c r="AB233" i="87"/>
  <c r="AB898" i="87"/>
  <c r="AB15" i="87"/>
  <c r="AB53" i="87"/>
  <c r="AB937" i="87"/>
  <c r="AB941" i="87"/>
  <c r="AB961" i="87"/>
  <c r="AB455" i="87"/>
  <c r="AB607" i="87"/>
  <c r="AC948" i="87"/>
  <c r="AC707" i="87"/>
  <c r="AC468" i="87"/>
  <c r="AB50" i="87"/>
  <c r="AB574" i="87"/>
  <c r="AC895" i="87"/>
  <c r="AB340" i="87"/>
  <c r="AB951" i="87"/>
  <c r="AB622" i="87"/>
  <c r="AB310" i="87"/>
  <c r="AC727" i="87"/>
  <c r="AB939" i="87"/>
  <c r="AB947" i="87"/>
  <c r="AB902" i="87"/>
  <c r="AB906" i="87"/>
  <c r="AB231" i="87"/>
  <c r="AB890" i="87"/>
  <c r="AB891" i="87"/>
  <c r="AB673" i="87"/>
  <c r="AC451" i="87"/>
  <c r="AB920" i="87"/>
  <c r="AC587" i="87"/>
  <c r="AC498" i="87"/>
  <c r="AB947" i="89"/>
  <c r="R44" i="81"/>
  <c r="Z53" i="89"/>
  <c r="AC53" i="89" s="1"/>
  <c r="X53" i="89"/>
  <c r="AB53" i="89" s="1"/>
  <c r="Z64" i="89"/>
  <c r="AC64" i="89"/>
  <c r="X64" i="89"/>
  <c r="AB64" i="89" s="1"/>
  <c r="Z151" i="89"/>
  <c r="AC151" i="89" s="1"/>
  <c r="X151" i="89"/>
  <c r="Z254" i="89"/>
  <c r="X254" i="89"/>
  <c r="Z386" i="89"/>
  <c r="AC386" i="89" s="1"/>
  <c r="X386" i="89"/>
  <c r="AB386" i="89"/>
  <c r="Z422" i="89"/>
  <c r="AC422" i="89"/>
  <c r="X422" i="89"/>
  <c r="AB422" i="89" s="1"/>
  <c r="Z501" i="89"/>
  <c r="Z573" i="89"/>
  <c r="X573" i="89"/>
  <c r="AB573" i="89" s="1"/>
  <c r="Z590" i="89"/>
  <c r="X590" i="89"/>
  <c r="X607" i="89"/>
  <c r="Z615" i="89"/>
  <c r="AC615" i="89"/>
  <c r="X615" i="89"/>
  <c r="Z628" i="89"/>
  <c r="X628" i="89"/>
  <c r="Z665" i="89"/>
  <c r="AC665" i="89"/>
  <c r="Z683" i="89"/>
  <c r="X683" i="89"/>
  <c r="Z691" i="89"/>
  <c r="AC691" i="89" s="1"/>
  <c r="X691" i="89"/>
  <c r="AB691" i="89"/>
  <c r="Z708" i="89"/>
  <c r="AC708" i="89" s="1"/>
  <c r="X708" i="89"/>
  <c r="AB708" i="89" s="1"/>
  <c r="Z716" i="89"/>
  <c r="Z760" i="89"/>
  <c r="X760" i="89"/>
  <c r="AB760" i="89" s="1"/>
  <c r="Z1000" i="89"/>
  <c r="AC1000" i="89" s="1"/>
  <c r="X1000" i="89"/>
  <c r="X435" i="89"/>
  <c r="Z451" i="89"/>
  <c r="X486" i="89"/>
  <c r="AB486" i="89" s="1"/>
  <c r="X497" i="89"/>
  <c r="AB497" i="89"/>
  <c r="X753" i="89"/>
  <c r="X518" i="89"/>
  <c r="X558" i="89"/>
  <c r="AB558" i="89" s="1"/>
  <c r="X616" i="89"/>
  <c r="AB616" i="89" s="1"/>
  <c r="X709" i="89"/>
  <c r="X903" i="89"/>
  <c r="AB903" i="89" s="1"/>
  <c r="X1001" i="89"/>
  <c r="AB1001" i="89"/>
  <c r="X364" i="89"/>
  <c r="AB364" i="89"/>
  <c r="X423" i="89"/>
  <c r="AB423" i="89" s="1"/>
  <c r="X574" i="89"/>
  <c r="X629" i="89"/>
  <c r="X666" i="89"/>
  <c r="AB830" i="89"/>
  <c r="Z491" i="89"/>
  <c r="X653" i="89"/>
  <c r="AB653" i="89"/>
  <c r="Z712" i="89"/>
  <c r="AC712" i="89" s="1"/>
  <c r="X12" i="89"/>
  <c r="Z359" i="89"/>
  <c r="Z609" i="89"/>
  <c r="X18" i="89"/>
  <c r="Z14" i="89"/>
  <c r="Z273" i="89"/>
  <c r="Z520" i="89"/>
  <c r="AC520" i="89" s="1"/>
  <c r="Z593" i="89"/>
  <c r="Z763" i="89"/>
  <c r="AC763" i="89"/>
  <c r="X40" i="89"/>
  <c r="AB40" i="89" s="1"/>
  <c r="X48" i="89"/>
  <c r="AB48" i="89"/>
  <c r="X59" i="89"/>
  <c r="AB59" i="89" s="1"/>
  <c r="Z222" i="89"/>
  <c r="X257" i="89"/>
  <c r="X25" i="89"/>
  <c r="X67" i="89"/>
  <c r="X75" i="89"/>
  <c r="X417" i="89"/>
  <c r="AB417" i="89"/>
  <c r="Z560" i="89"/>
  <c r="X85" i="89"/>
  <c r="X97" i="89"/>
  <c r="AB97" i="89"/>
  <c r="Z668" i="89"/>
  <c r="X711" i="89"/>
  <c r="Z755" i="89"/>
  <c r="AC755" i="89"/>
  <c r="Z207" i="89"/>
  <c r="AC207" i="89"/>
  <c r="X112" i="89"/>
  <c r="Z199" i="89"/>
  <c r="X445" i="89"/>
  <c r="AB445" i="89" s="1"/>
  <c r="X464" i="89"/>
  <c r="Z540" i="89"/>
  <c r="Z618" i="89"/>
  <c r="AC618" i="89" s="1"/>
  <c r="Z855" i="89"/>
  <c r="Z120" i="89"/>
  <c r="Z643" i="89"/>
  <c r="AC643" i="89" s="1"/>
  <c r="Z660" i="89"/>
  <c r="AC660" i="89" s="1"/>
  <c r="Z365" i="89"/>
  <c r="AC365" i="89" s="1"/>
  <c r="Z579" i="89"/>
  <c r="AC579" i="89" s="1"/>
  <c r="Z24" i="89"/>
  <c r="X24" i="89"/>
  <c r="AB24" i="89" s="1"/>
  <c r="Z47" i="89"/>
  <c r="X66" i="89"/>
  <c r="Z66" i="89"/>
  <c r="AC66" i="89" s="1"/>
  <c r="Z96" i="89"/>
  <c r="AC96" i="89" s="1"/>
  <c r="X96" i="89"/>
  <c r="AB96" i="89"/>
  <c r="X119" i="89"/>
  <c r="Z119" i="89"/>
  <c r="AC119" i="89" s="1"/>
  <c r="Z170" i="89"/>
  <c r="AC170" i="89" s="1"/>
  <c r="X170" i="89"/>
  <c r="AB170" i="89" s="1"/>
  <c r="X217" i="89"/>
  <c r="AB217" i="89" s="1"/>
  <c r="Z217" i="89"/>
  <c r="X256" i="89"/>
  <c r="AB256" i="89" s="1"/>
  <c r="Z256" i="89"/>
  <c r="X268" i="89"/>
  <c r="Z268" i="89"/>
  <c r="Z317" i="89"/>
  <c r="X317" i="89"/>
  <c r="X416" i="89"/>
  <c r="Z416" i="89"/>
  <c r="AC416" i="89"/>
  <c r="X511" i="89"/>
  <c r="AB511" i="89"/>
  <c r="Z511" i="89"/>
  <c r="X539" i="89"/>
  <c r="Z567" i="89"/>
  <c r="AC567" i="89"/>
  <c r="X567" i="89"/>
  <c r="AB567" i="89"/>
  <c r="X740" i="89"/>
  <c r="AB740" i="89" s="1"/>
  <c r="Z740" i="89"/>
  <c r="AC740" i="89" s="1"/>
  <c r="X579" i="89"/>
  <c r="AB579" i="89" s="1"/>
  <c r="X15" i="89"/>
  <c r="X484" i="89"/>
  <c r="Z11" i="89"/>
  <c r="X11" i="89"/>
  <c r="AB11" i="89"/>
  <c r="Z19" i="89"/>
  <c r="AC19" i="89" s="1"/>
  <c r="X19" i="89"/>
  <c r="AB19" i="89" s="1"/>
  <c r="X192" i="89"/>
  <c r="AB192" i="89" s="1"/>
  <c r="X690" i="89"/>
  <c r="X883" i="89"/>
  <c r="AB883" i="89"/>
  <c r="X9" i="89"/>
  <c r="Z9" i="89"/>
  <c r="Z17" i="89"/>
  <c r="AC17" i="89" s="1"/>
  <c r="X17" i="89"/>
  <c r="Z42" i="89"/>
  <c r="AC42" i="89" s="1"/>
  <c r="X42" i="89"/>
  <c r="AB42" i="89" s="1"/>
  <c r="Z50" i="89"/>
  <c r="X50" i="89"/>
  <c r="X69" i="89"/>
  <c r="Z69" i="89"/>
  <c r="AC69" i="89" s="1"/>
  <c r="Z103" i="89"/>
  <c r="AC103" i="89" s="1"/>
  <c r="X103" i="89"/>
  <c r="Z114" i="89"/>
  <c r="X114" i="89"/>
  <c r="X125" i="89"/>
  <c r="AB125" i="89" s="1"/>
  <c r="Z125" i="89"/>
  <c r="AC125" i="89"/>
  <c r="X190" i="89"/>
  <c r="AB190" i="89"/>
  <c r="Z190" i="89"/>
  <c r="AC190" i="89" s="1"/>
  <c r="Z209" i="89"/>
  <c r="X209" i="89"/>
  <c r="AB209" i="89"/>
  <c r="X263" i="89"/>
  <c r="AB263" i="89" s="1"/>
  <c r="Z263" i="89"/>
  <c r="Z277" i="89"/>
  <c r="AC277" i="89" s="1"/>
  <c r="X277" i="89"/>
  <c r="Z324" i="89"/>
  <c r="X324" i="89"/>
  <c r="AB324" i="89" s="1"/>
  <c r="X395" i="89"/>
  <c r="Z395" i="89"/>
  <c r="X633" i="89"/>
  <c r="AB633" i="89" s="1"/>
  <c r="X688" i="89"/>
  <c r="AB688" i="89" s="1"/>
  <c r="Z688" i="89"/>
  <c r="AC688" i="89" s="1"/>
  <c r="Z713" i="89"/>
  <c r="X713" i="89"/>
  <c r="X71" i="89"/>
  <c r="X492" i="89"/>
  <c r="AB492" i="89" s="1"/>
  <c r="X589" i="89"/>
  <c r="AB795" i="89"/>
  <c r="X87" i="89"/>
  <c r="X243" i="89"/>
  <c r="Z524" i="89"/>
  <c r="AC524" i="89" s="1"/>
  <c r="Z682" i="89"/>
  <c r="AC682" i="89"/>
  <c r="Z948" i="89"/>
  <c r="AC948" i="89" s="1"/>
  <c r="Z614" i="89"/>
  <c r="AC614" i="89"/>
  <c r="X614" i="89"/>
  <c r="AB614" i="89" s="1"/>
  <c r="Z52" i="89"/>
  <c r="AC52" i="89" s="1"/>
  <c r="X350" i="89"/>
  <c r="AB350" i="89" s="1"/>
  <c r="X358" i="89"/>
  <c r="AB358" i="89" s="1"/>
  <c r="X383" i="89"/>
  <c r="AB383" i="89" s="1"/>
  <c r="X44" i="89"/>
  <c r="AB44" i="89" s="1"/>
  <c r="Z44" i="89"/>
  <c r="AC44" i="89" s="1"/>
  <c r="Z93" i="89"/>
  <c r="AC93" i="89"/>
  <c r="X93" i="89"/>
  <c r="AB93" i="89"/>
  <c r="Z326" i="89"/>
  <c r="X326" i="89"/>
  <c r="Z421" i="89"/>
  <c r="X421" i="89"/>
  <c r="AB421" i="89" s="1"/>
  <c r="Z548" i="89"/>
  <c r="X548" i="89"/>
  <c r="AB548" i="89" s="1"/>
  <c r="Z572" i="89"/>
  <c r="X572" i="89"/>
  <c r="AB572" i="89" s="1"/>
  <c r="Z707" i="89"/>
  <c r="X707" i="89"/>
  <c r="X759" i="89"/>
  <c r="Z759" i="89"/>
  <c r="AC759" i="89" s="1"/>
  <c r="X36" i="89"/>
  <c r="X81" i="89"/>
  <c r="AB81" i="89" s="1"/>
  <c r="Z460" i="89"/>
  <c r="Z516" i="89"/>
  <c r="AC516" i="89"/>
  <c r="X516" i="89"/>
  <c r="AB516" i="89" s="1"/>
  <c r="Z536" i="89"/>
  <c r="X536" i="89"/>
  <c r="AB536" i="89" s="1"/>
  <c r="Z564" i="89"/>
  <c r="X564" i="89"/>
  <c r="AB564" i="89" s="1"/>
  <c r="Z606" i="89"/>
  <c r="X606" i="89"/>
  <c r="AB606" i="89" s="1"/>
  <c r="Z715" i="89"/>
  <c r="AC715" i="89" s="1"/>
  <c r="X715" i="89"/>
  <c r="AB715" i="89" s="1"/>
  <c r="X971" i="89"/>
  <c r="Z971" i="89"/>
  <c r="AC971" i="89" s="1"/>
  <c r="X61" i="89"/>
  <c r="X664" i="89"/>
  <c r="AB664" i="89"/>
  <c r="Z622" i="89"/>
  <c r="AB365" i="89"/>
  <c r="Z463" i="89"/>
  <c r="AC463" i="89"/>
  <c r="X39" i="89"/>
  <c r="AB39" i="89" s="1"/>
  <c r="Z84" i="89"/>
  <c r="AC84" i="89" s="1"/>
  <c r="Z282" i="89"/>
  <c r="AC282" i="89"/>
  <c r="X111" i="89"/>
  <c r="Z248" i="89"/>
  <c r="Z290" i="89"/>
  <c r="X353" i="89"/>
  <c r="AB353" i="89"/>
  <c r="Z630" i="89"/>
  <c r="X685" i="89"/>
  <c r="AB685" i="89" s="1"/>
  <c r="Z915" i="89"/>
  <c r="Z484" i="89"/>
  <c r="AC484" i="89" s="1"/>
  <c r="X74" i="89"/>
  <c r="AB74" i="89" s="1"/>
  <c r="X195" i="89"/>
  <c r="Z487" i="89"/>
  <c r="AC487" i="89" s="1"/>
  <c r="X527" i="89"/>
  <c r="AB527" i="89" s="1"/>
  <c r="X592" i="89"/>
  <c r="X667" i="89"/>
  <c r="X10" i="89"/>
  <c r="Z10" i="89"/>
  <c r="X70" i="89"/>
  <c r="Z70" i="89"/>
  <c r="AC70" i="89" s="1"/>
  <c r="X88" i="89"/>
  <c r="AB88" i="89"/>
  <c r="Z88" i="89"/>
  <c r="X130" i="89"/>
  <c r="AB130" i="89" s="1"/>
  <c r="Z130" i="89"/>
  <c r="AC130" i="89"/>
  <c r="X191" i="89"/>
  <c r="Z191" i="89"/>
  <c r="AC191" i="89" s="1"/>
  <c r="Z210" i="89"/>
  <c r="X210" i="89"/>
  <c r="AB210" i="89" s="1"/>
  <c r="Z325" i="89"/>
  <c r="AC325" i="89"/>
  <c r="X325" i="89"/>
  <c r="Z349" i="89"/>
  <c r="AC349" i="89" s="1"/>
  <c r="X349" i="89"/>
  <c r="Z357" i="89"/>
  <c r="AC357" i="89" s="1"/>
  <c r="X357" i="89"/>
  <c r="Z382" i="89"/>
  <c r="AC382" i="89"/>
  <c r="X382" i="89"/>
  <c r="X455" i="89"/>
  <c r="AB455" i="89" s="1"/>
  <c r="Z515" i="89"/>
  <c r="X515" i="89"/>
  <c r="AB515" i="89" s="1"/>
  <c r="Z535" i="89"/>
  <c r="AC535" i="89"/>
  <c r="X535" i="89"/>
  <c r="Z547" i="89"/>
  <c r="X547" i="89"/>
  <c r="Z563" i="89"/>
  <c r="AC563" i="89"/>
  <c r="Z571" i="89"/>
  <c r="X571" i="89"/>
  <c r="Z588" i="89"/>
  <c r="X588" i="89"/>
  <c r="AB588" i="89" s="1"/>
  <c r="AC596" i="89"/>
  <c r="X596" i="89"/>
  <c r="AB596" i="89"/>
  <c r="Z613" i="89"/>
  <c r="X613" i="89"/>
  <c r="Z621" i="89"/>
  <c r="X621" i="89"/>
  <c r="Z634" i="89"/>
  <c r="X634" i="89"/>
  <c r="AB634" i="89" s="1"/>
  <c r="Z655" i="89"/>
  <c r="AC655" i="89" s="1"/>
  <c r="X655" i="89"/>
  <c r="AB655" i="89" s="1"/>
  <c r="Z677" i="89"/>
  <c r="AC677" i="89"/>
  <c r="X677" i="89"/>
  <c r="Z689" i="89"/>
  <c r="AC689" i="89" s="1"/>
  <c r="X689" i="89"/>
  <c r="AB689" i="89" s="1"/>
  <c r="Z706" i="89"/>
  <c r="X706" i="89"/>
  <c r="AB706" i="89" s="1"/>
  <c r="Z750" i="89"/>
  <c r="X750" i="89"/>
  <c r="Z758" i="89"/>
  <c r="AC758" i="89" s="1"/>
  <c r="X965" i="89"/>
  <c r="AB965" i="89" s="1"/>
  <c r="X43" i="89"/>
  <c r="AB43" i="89"/>
  <c r="Z202" i="89"/>
  <c r="AC202" i="89" s="1"/>
  <c r="Z714" i="89"/>
  <c r="AC714" i="89" s="1"/>
  <c r="X107" i="89"/>
  <c r="X6" i="89"/>
  <c r="Z206" i="89"/>
  <c r="AC206" i="89" s="1"/>
  <c r="AB206" i="89"/>
  <c r="Z343" i="89"/>
  <c r="X343" i="89"/>
  <c r="AB343" i="89"/>
  <c r="Z392" i="89"/>
  <c r="X392" i="89"/>
  <c r="AB392" i="89" s="1"/>
  <c r="X424" i="89"/>
  <c r="AB424" i="89" s="1"/>
  <c r="X436" i="89"/>
  <c r="AB436" i="89"/>
  <c r="Z436" i="89"/>
  <c r="AC436" i="89" s="1"/>
  <c r="X495" i="89"/>
  <c r="AB495" i="89" s="1"/>
  <c r="Z495" i="89"/>
  <c r="Z519" i="89"/>
  <c r="AC519" i="89" s="1"/>
  <c r="X519" i="89"/>
  <c r="AB519" i="89" s="1"/>
  <c r="Z559" i="89"/>
  <c r="AC559" i="89" s="1"/>
  <c r="X559" i="89"/>
  <c r="Z617" i="89"/>
  <c r="AC617" i="89"/>
  <c r="X617" i="89"/>
  <c r="AB617" i="89" s="1"/>
  <c r="Z642" i="89"/>
  <c r="AC642" i="89"/>
  <c r="X642" i="89"/>
  <c r="AB642" i="89" s="1"/>
  <c r="X659" i="89"/>
  <c r="AB659" i="89"/>
  <c r="Z702" i="89"/>
  <c r="X702" i="89"/>
  <c r="AB702" i="89" s="1"/>
  <c r="Z754" i="89"/>
  <c r="Z762" i="89"/>
  <c r="AC762" i="89" s="1"/>
  <c r="X762" i="89"/>
  <c r="AB762" i="89"/>
  <c r="Z836" i="89"/>
  <c r="X836" i="89"/>
  <c r="X1006" i="89"/>
  <c r="AB1006" i="89"/>
  <c r="Z1006" i="89"/>
  <c r="Z80" i="89"/>
  <c r="Z420" i="89"/>
  <c r="AC420" i="89" s="1"/>
  <c r="Z789" i="89"/>
  <c r="Z171" i="89"/>
  <c r="AC171" i="89" s="1"/>
  <c r="Z346" i="89"/>
  <c r="Z366" i="89"/>
  <c r="X366" i="89"/>
  <c r="Z496" i="89"/>
  <c r="X496" i="89"/>
  <c r="Z512" i="89"/>
  <c r="X512" i="89"/>
  <c r="Z531" i="89"/>
  <c r="X531" i="89"/>
  <c r="Z581" i="89"/>
  <c r="AC581" i="89" s="1"/>
  <c r="X581" i="89"/>
  <c r="Z610" i="89"/>
  <c r="AC610" i="89" s="1"/>
  <c r="X610" i="89"/>
  <c r="AB610" i="89" s="1"/>
  <c r="Z631" i="89"/>
  <c r="AC631" i="89" s="1"/>
  <c r="X631" i="89"/>
  <c r="AB631" i="89" s="1"/>
  <c r="Z686" i="89"/>
  <c r="X686" i="89"/>
  <c r="AB686" i="89"/>
  <c r="Z703" i="89"/>
  <c r="AC703" i="89" s="1"/>
  <c r="X703" i="89"/>
  <c r="AB703" i="89" s="1"/>
  <c r="Z741" i="89"/>
  <c r="X741" i="89"/>
  <c r="AB741" i="89" s="1"/>
  <c r="Z932" i="89"/>
  <c r="X932" i="89"/>
  <c r="AB932" i="89" s="1"/>
  <c r="X323" i="89"/>
  <c r="AB323" i="89" s="1"/>
  <c r="Z347" i="89"/>
  <c r="AC347" i="89" s="1"/>
  <c r="X347" i="89"/>
  <c r="Z355" i="89"/>
  <c r="X355" i="89"/>
  <c r="AB355" i="89"/>
  <c r="Z367" i="89"/>
  <c r="AC367" i="89" s="1"/>
  <c r="X367" i="89"/>
  <c r="Z394" i="89"/>
  <c r="X394" i="89"/>
  <c r="AB394" i="89" s="1"/>
  <c r="Z418" i="89"/>
  <c r="X418" i="89"/>
  <c r="AB418" i="89" s="1"/>
  <c r="Z426" i="89"/>
  <c r="AC426" i="89"/>
  <c r="X426" i="89"/>
  <c r="Z465" i="89"/>
  <c r="AC465" i="89"/>
  <c r="X465" i="89"/>
  <c r="X533" i="89"/>
  <c r="Z533" i="89"/>
  <c r="AC533" i="89"/>
  <c r="X545" i="89"/>
  <c r="AB545" i="89" s="1"/>
  <c r="Z545" i="89"/>
  <c r="Z561" i="89"/>
  <c r="AC561" i="89"/>
  <c r="X561" i="89"/>
  <c r="X594" i="89"/>
  <c r="Z594" i="89"/>
  <c r="Z619" i="89"/>
  <c r="AC619" i="89" s="1"/>
  <c r="X619" i="89"/>
  <c r="AB619" i="89" s="1"/>
  <c r="Z632" i="89"/>
  <c r="AC632" i="89"/>
  <c r="X632" i="89"/>
  <c r="AB632" i="89" s="1"/>
  <c r="Z661" i="89"/>
  <c r="AC661" i="89"/>
  <c r="X661" i="89"/>
  <c r="AB661" i="89"/>
  <c r="Z669" i="89"/>
  <c r="X669" i="89"/>
  <c r="Z687" i="89"/>
  <c r="AC687" i="89"/>
  <c r="X687" i="89"/>
  <c r="AB687" i="89" s="1"/>
  <c r="Z756" i="89"/>
  <c r="AC756" i="89" s="1"/>
  <c r="X756" i="89"/>
  <c r="Z764" i="89"/>
  <c r="X764" i="89"/>
  <c r="AB764" i="89" s="1"/>
  <c r="Z868" i="89"/>
  <c r="X868" i="89"/>
  <c r="AB868" i="89" s="1"/>
  <c r="Z938" i="89"/>
  <c r="AC938" i="89"/>
  <c r="X938" i="89"/>
  <c r="AB938" i="89"/>
  <c r="Z348" i="89"/>
  <c r="AC348" i="89"/>
  <c r="X348" i="89"/>
  <c r="AB348" i="89" s="1"/>
  <c r="Z356" i="89"/>
  <c r="X356" i="89"/>
  <c r="AB356" i="89" s="1"/>
  <c r="Z419" i="89"/>
  <c r="X419" i="89"/>
  <c r="AB419" i="89"/>
  <c r="Z427" i="89"/>
  <c r="X427" i="89"/>
  <c r="AB427" i="89" s="1"/>
  <c r="X470" i="89"/>
  <c r="AB470" i="89"/>
  <c r="Z470" i="89"/>
  <c r="Z490" i="89"/>
  <c r="AC490" i="89"/>
  <c r="X490" i="89"/>
  <c r="Z498" i="89"/>
  <c r="X498" i="89"/>
  <c r="Z514" i="89"/>
  <c r="X514" i="89"/>
  <c r="AB514" i="89" s="1"/>
  <c r="AC522" i="89"/>
  <c r="X522" i="89"/>
  <c r="AB522" i="89" s="1"/>
  <c r="Z534" i="89"/>
  <c r="AC534" i="89" s="1"/>
  <c r="X534" i="89"/>
  <c r="AB534" i="89" s="1"/>
  <c r="Z546" i="89"/>
  <c r="AC546" i="89"/>
  <c r="X546" i="89"/>
  <c r="AB546" i="89"/>
  <c r="Z570" i="89"/>
  <c r="X570" i="89"/>
  <c r="Z612" i="89"/>
  <c r="X612" i="89"/>
  <c r="X620" i="89"/>
  <c r="AB620" i="89" s="1"/>
  <c r="Z620" i="89"/>
  <c r="Z654" i="89"/>
  <c r="AC654" i="89"/>
  <c r="X654" i="89"/>
  <c r="Z662" i="89"/>
  <c r="X662" i="89"/>
  <c r="AB662" i="89"/>
  <c r="Z676" i="89"/>
  <c r="AC676" i="89" s="1"/>
  <c r="X676" i="89"/>
  <c r="Z705" i="89"/>
  <c r="X705" i="89"/>
  <c r="AB705" i="89"/>
  <c r="Z744" i="89"/>
  <c r="AC744" i="89"/>
  <c r="X744" i="89"/>
  <c r="AB744" i="89" s="1"/>
  <c r="Z757" i="89"/>
  <c r="AC757" i="89" s="1"/>
  <c r="X757" i="89"/>
  <c r="AB757" i="89"/>
  <c r="Z769" i="89"/>
  <c r="AC769" i="89"/>
  <c r="X769" i="89"/>
  <c r="Z871" i="89"/>
  <c r="X871" i="89"/>
  <c r="Z51" i="89"/>
  <c r="AC51" i="89" s="1"/>
  <c r="X51" i="89"/>
  <c r="X62" i="89"/>
  <c r="Z244" i="89"/>
  <c r="AC244" i="89"/>
  <c r="X244" i="89"/>
  <c r="Z264" i="89"/>
  <c r="AC264" i="89" s="1"/>
  <c r="X264" i="89"/>
  <c r="AB264" i="89" s="1"/>
  <c r="Z278" i="89"/>
  <c r="AC278" i="89" s="1"/>
  <c r="X278" i="89"/>
  <c r="AB278" i="89"/>
  <c r="Z286" i="89"/>
  <c r="AC286" i="89" s="1"/>
  <c r="X286" i="89"/>
  <c r="Z298" i="89"/>
  <c r="X298" i="89"/>
  <c r="AB298" i="89" s="1"/>
  <c r="Z108" i="89"/>
  <c r="AC108" i="89" s="1"/>
  <c r="X108" i="89"/>
  <c r="Z116" i="89"/>
  <c r="AC116" i="89" s="1"/>
  <c r="X116" i="89"/>
  <c r="Z148" i="89"/>
  <c r="X148" i="89"/>
  <c r="Z203" i="89"/>
  <c r="Z241" i="89" s="1"/>
  <c r="AC203" i="89"/>
  <c r="X203" i="89"/>
  <c r="AB203" i="89" s="1"/>
  <c r="Z211" i="89"/>
  <c r="AC211" i="89" s="1"/>
  <c r="X211" i="89"/>
  <c r="Z245" i="89"/>
  <c r="AC245" i="89" s="1"/>
  <c r="X245" i="89"/>
  <c r="AB245" i="89" s="1"/>
  <c r="Z253" i="89"/>
  <c r="X253" i="89"/>
  <c r="Z265" i="89"/>
  <c r="AC265" i="89" s="1"/>
  <c r="X265" i="89"/>
  <c r="Z279" i="89"/>
  <c r="AC279" i="89"/>
  <c r="X279" i="89"/>
  <c r="AB279" i="89"/>
  <c r="Z287" i="89"/>
  <c r="AC287" i="89"/>
  <c r="X287" i="89"/>
  <c r="AB287" i="89" s="1"/>
  <c r="Z307" i="89"/>
  <c r="AC307" i="89" s="1"/>
  <c r="X307" i="89"/>
  <c r="AC1034" i="89"/>
  <c r="AB1034" i="89"/>
  <c r="AB960" i="87"/>
  <c r="K962" i="87"/>
  <c r="AB962" i="87"/>
  <c r="K70" i="88"/>
  <c r="K82" i="88"/>
  <c r="K106" i="88"/>
  <c r="K779" i="89"/>
  <c r="AB977" i="87"/>
  <c r="AC977" i="87"/>
  <c r="W44" i="81"/>
  <c r="AC554" i="89"/>
  <c r="Z213" i="89"/>
  <c r="X213" i="89"/>
  <c r="X562" i="89"/>
  <c r="Z41" i="89"/>
  <c r="AC41" i="89" s="1"/>
  <c r="X41" i="89"/>
  <c r="V1028" i="89"/>
  <c r="Z55" i="89"/>
  <c r="AC55" i="89"/>
  <c r="X55" i="89"/>
  <c r="X65" i="89"/>
  <c r="AB65" i="89" s="1"/>
  <c r="Z65" i="89"/>
  <c r="Z488" i="89"/>
  <c r="AC488" i="89"/>
  <c r="X481" i="89"/>
  <c r="Z481" i="89"/>
  <c r="X493" i="89"/>
  <c r="AB493" i="89"/>
  <c r="Z493" i="89"/>
  <c r="AC493" i="89" s="1"/>
  <c r="AB858" i="89"/>
  <c r="Z569" i="89"/>
  <c r="Z34" i="89"/>
  <c r="X34" i="89"/>
  <c r="Z462" i="89"/>
  <c r="X462" i="89"/>
  <c r="Z549" i="89"/>
  <c r="AC549" i="89"/>
  <c r="X549" i="89"/>
  <c r="AB549" i="89" s="1"/>
  <c r="X640" i="89"/>
  <c r="AB640" i="89" s="1"/>
  <c r="Z640" i="89"/>
  <c r="Z281" i="89"/>
  <c r="AC281" i="89"/>
  <c r="Z296" i="89"/>
  <c r="AC296" i="89" s="1"/>
  <c r="X296" i="89"/>
  <c r="AB296" i="89"/>
  <c r="Z110" i="89"/>
  <c r="AC110" i="89" s="1"/>
  <c r="X110" i="89"/>
  <c r="AB110" i="89"/>
  <c r="Z297" i="89"/>
  <c r="AC297" i="89" s="1"/>
  <c r="X297" i="89"/>
  <c r="Z513" i="89"/>
  <c r="X513" i="89"/>
  <c r="AB513" i="89"/>
  <c r="Z250" i="89"/>
  <c r="AC250" i="89" s="1"/>
  <c r="X250" i="89"/>
  <c r="AB250" i="89" s="1"/>
  <c r="X98" i="89"/>
  <c r="AB98" i="89" s="1"/>
  <c r="Z98" i="89"/>
  <c r="X499" i="89"/>
  <c r="AB499" i="89"/>
  <c r="Z499" i="89"/>
  <c r="AB350" i="87"/>
  <c r="AB160" i="87"/>
  <c r="AB456" i="87"/>
  <c r="AB498" i="87"/>
  <c r="AB201" i="87"/>
  <c r="AC946" i="87"/>
  <c r="AB396" i="87"/>
  <c r="X241" i="87"/>
  <c r="AB241" i="87" s="1"/>
  <c r="X415" i="87"/>
  <c r="AB415" i="87"/>
  <c r="X438" i="87"/>
  <c r="AB438" i="87" s="1"/>
  <c r="X563" i="87"/>
  <c r="AB563" i="87" s="1"/>
  <c r="X679" i="87"/>
  <c r="AB679" i="87" s="1"/>
  <c r="Z726" i="87"/>
  <c r="X782" i="87"/>
  <c r="AB782" i="87" s="1"/>
  <c r="Z18" i="87"/>
  <c r="X18" i="87"/>
  <c r="Z217" i="87"/>
  <c r="AC217" i="87"/>
  <c r="X217" i="87"/>
  <c r="AB217" i="87" s="1"/>
  <c r="Z251" i="87"/>
  <c r="X251" i="87"/>
  <c r="AB251" i="87"/>
  <c r="Z311" i="87"/>
  <c r="AC311" i="87"/>
  <c r="Z333" i="87"/>
  <c r="AC333" i="87"/>
  <c r="AB333" i="87"/>
  <c r="Z344" i="87"/>
  <c r="AC344" i="87" s="1"/>
  <c r="Z375" i="87"/>
  <c r="AC375" i="87" s="1"/>
  <c r="X375" i="87"/>
  <c r="Z483" i="87"/>
  <c r="AC483" i="87"/>
  <c r="X483" i="87"/>
  <c r="Z509" i="87"/>
  <c r="X509" i="87"/>
  <c r="AB509" i="87" s="1"/>
  <c r="Z529" i="87"/>
  <c r="AC529" i="87"/>
  <c r="X529" i="87"/>
  <c r="AB529" i="87"/>
  <c r="Z616" i="87"/>
  <c r="AC616" i="87" s="1"/>
  <c r="X616" i="87"/>
  <c r="AB616" i="87"/>
  <c r="Z644" i="87"/>
  <c r="AC644" i="87" s="1"/>
  <c r="X644" i="87"/>
  <c r="AB644" i="87" s="1"/>
  <c r="Z687" i="87"/>
  <c r="AC687" i="87"/>
  <c r="X687" i="87"/>
  <c r="AB687" i="87" s="1"/>
  <c r="Z736" i="87"/>
  <c r="X736" i="87"/>
  <c r="AB736" i="87"/>
  <c r="Z752" i="87"/>
  <c r="X752" i="87"/>
  <c r="AB752" i="87" s="1"/>
  <c r="Z774" i="87"/>
  <c r="X774" i="87"/>
  <c r="AB774" i="87" s="1"/>
  <c r="X790" i="87"/>
  <c r="AB790" i="87" s="1"/>
  <c r="Z810" i="87"/>
  <c r="X810" i="87"/>
  <c r="AB810" i="87"/>
  <c r="Z826" i="87"/>
  <c r="AC826" i="87" s="1"/>
  <c r="AB192" i="87"/>
  <c r="AB292" i="87"/>
  <c r="AB309" i="87"/>
  <c r="AB526" i="87"/>
  <c r="AC475" i="87"/>
  <c r="Z132" i="87"/>
  <c r="X132" i="87"/>
  <c r="AB132" i="87" s="1"/>
  <c r="Z199" i="87"/>
  <c r="X199" i="87"/>
  <c r="AB199" i="87"/>
  <c r="Z235" i="87"/>
  <c r="X235" i="87"/>
  <c r="AB235" i="87" s="1"/>
  <c r="Z295" i="87"/>
  <c r="AC295" i="87"/>
  <c r="AB295" i="87"/>
  <c r="Z399" i="87"/>
  <c r="X399" i="87"/>
  <c r="Z408" i="87"/>
  <c r="X408" i="87"/>
  <c r="AB408" i="87" s="1"/>
  <c r="Z417" i="87"/>
  <c r="X417" i="87"/>
  <c r="AB417" i="87"/>
  <c r="Z432" i="87"/>
  <c r="X432" i="87"/>
  <c r="X458" i="87"/>
  <c r="AB458" i="87" s="1"/>
  <c r="Z537" i="87"/>
  <c r="AC537" i="87"/>
  <c r="Z578" i="87"/>
  <c r="AC578" i="87" s="1"/>
  <c r="X578" i="87"/>
  <c r="AB578" i="87" s="1"/>
  <c r="X705" i="87"/>
  <c r="AB705" i="87"/>
  <c r="Z746" i="87"/>
  <c r="X746" i="87"/>
  <c r="AB746" i="87"/>
  <c r="Z766" i="87"/>
  <c r="X766" i="87"/>
  <c r="AB766" i="87"/>
  <c r="Z784" i="87"/>
  <c r="X784" i="87"/>
  <c r="AB784" i="87"/>
  <c r="Z804" i="87"/>
  <c r="AC804" i="87"/>
  <c r="X804" i="87"/>
  <c r="AC718" i="87"/>
  <c r="AC485" i="87"/>
  <c r="AB522" i="87"/>
  <c r="AB785" i="87"/>
  <c r="AB851" i="87"/>
  <c r="AB865" i="87"/>
  <c r="AB590" i="87"/>
  <c r="AB664" i="87"/>
  <c r="AB910" i="87"/>
  <c r="AB953" i="87"/>
  <c r="AB956" i="87"/>
  <c r="AC680" i="87"/>
  <c r="AB924" i="87"/>
  <c r="AB928" i="87"/>
  <c r="AB932" i="87"/>
  <c r="AB964" i="87"/>
  <c r="AC681" i="87"/>
  <c r="AB917" i="87"/>
  <c r="AC30" i="87"/>
  <c r="AC220" i="87"/>
  <c r="AC572" i="87"/>
  <c r="Z968" i="87"/>
  <c r="AC879" i="87"/>
  <c r="AC843" i="87"/>
  <c r="AC101" i="87"/>
  <c r="AC658" i="87"/>
  <c r="AB706" i="87"/>
  <c r="AB720" i="87"/>
  <c r="AC638" i="87"/>
  <c r="AC809" i="87"/>
  <c r="Z6" i="87"/>
  <c r="X6" i="87"/>
  <c r="Z63" i="87"/>
  <c r="AC63" i="87"/>
  <c r="X63" i="87"/>
  <c r="Z135" i="87"/>
  <c r="AC135" i="87"/>
  <c r="X135" i="87"/>
  <c r="Z202" i="87"/>
  <c r="AC202" i="87"/>
  <c r="X202" i="87"/>
  <c r="AB202" i="87" s="1"/>
  <c r="Z238" i="87"/>
  <c r="AC238" i="87"/>
  <c r="X238" i="87"/>
  <c r="AB238" i="87" s="1"/>
  <c r="Z298" i="87"/>
  <c r="X298" i="87"/>
  <c r="AB298" i="87" s="1"/>
  <c r="X341" i="87"/>
  <c r="AB341" i="87"/>
  <c r="Z341" i="87"/>
  <c r="Z372" i="87"/>
  <c r="X372" i="87"/>
  <c r="AB372" i="87" s="1"/>
  <c r="Z412" i="87"/>
  <c r="X412" i="87"/>
  <c r="AB412" i="87" s="1"/>
  <c r="X461" i="87"/>
  <c r="AB461" i="87"/>
  <c r="X524" i="87"/>
  <c r="AB524" i="87"/>
  <c r="Z524" i="87"/>
  <c r="Z651" i="87"/>
  <c r="X651" i="87"/>
  <c r="AB651" i="87" s="1"/>
  <c r="Z840" i="87"/>
  <c r="AC840" i="87"/>
  <c r="X840" i="87"/>
  <c r="Z171" i="87"/>
  <c r="X171" i="87"/>
  <c r="Z308" i="87"/>
  <c r="AC308" i="87"/>
  <c r="X308" i="87"/>
  <c r="AB308" i="87"/>
  <c r="Z362" i="87"/>
  <c r="AC362" i="87" s="1"/>
  <c r="X362" i="87"/>
  <c r="AB362" i="87" s="1"/>
  <c r="Z402" i="87"/>
  <c r="AC402" i="87" s="1"/>
  <c r="X402" i="87"/>
  <c r="AB402" i="87"/>
  <c r="Z435" i="87"/>
  <c r="X435" i="87"/>
  <c r="AB435" i="87" s="1"/>
  <c r="X469" i="87"/>
  <c r="X544" i="87"/>
  <c r="AB544" i="87" s="1"/>
  <c r="Z544" i="87"/>
  <c r="AC544" i="87"/>
  <c r="Z573" i="87"/>
  <c r="X573" i="87"/>
  <c r="AB573" i="87" s="1"/>
  <c r="Z593" i="87"/>
  <c r="AC593" i="87" s="1"/>
  <c r="X593" i="87"/>
  <c r="AB593" i="87" s="1"/>
  <c r="Z641" i="87"/>
  <c r="AC641" i="87"/>
  <c r="X641" i="87"/>
  <c r="AB641" i="87" s="1"/>
  <c r="Z671" i="87"/>
  <c r="AC671" i="87" s="1"/>
  <c r="X671" i="87"/>
  <c r="AB671" i="87"/>
  <c r="X692" i="87"/>
  <c r="AB692" i="87" s="1"/>
  <c r="Z692" i="87"/>
  <c r="AC692" i="87" s="1"/>
  <c r="X708" i="87"/>
  <c r="Z708" i="87"/>
  <c r="AC708" i="87"/>
  <c r="Z749" i="87"/>
  <c r="AC749" i="87" s="1"/>
  <c r="X749" i="87"/>
  <c r="AB749" i="87"/>
  <c r="Z771" i="87"/>
  <c r="X771" i="87"/>
  <c r="AB771" i="87"/>
  <c r="Z779" i="87"/>
  <c r="AC779" i="87" s="1"/>
  <c r="X779" i="87"/>
  <c r="AB779" i="87"/>
  <c r="Z795" i="87"/>
  <c r="X795" i="87"/>
  <c r="Z848" i="87"/>
  <c r="AC848" i="87" s="1"/>
  <c r="X848" i="87"/>
  <c r="AB848" i="87"/>
  <c r="Z118" i="87"/>
  <c r="AC118" i="87"/>
  <c r="X118" i="87"/>
  <c r="AB118" i="87"/>
  <c r="Z222" i="87"/>
  <c r="X222" i="87"/>
  <c r="AB222" i="87"/>
  <c r="Z256" i="87"/>
  <c r="AC256" i="87" s="1"/>
  <c r="X256" i="87"/>
  <c r="AB256" i="87" s="1"/>
  <c r="Z317" i="87"/>
  <c r="AC317" i="87"/>
  <c r="X317" i="87"/>
  <c r="AB317" i="87" s="1"/>
  <c r="Z384" i="87"/>
  <c r="AC384" i="87" s="1"/>
  <c r="X384" i="87"/>
  <c r="AB384" i="87"/>
  <c r="Z424" i="87"/>
  <c r="AC424" i="87"/>
  <c r="X424" i="87"/>
  <c r="AB424" i="87"/>
  <c r="Z478" i="87"/>
  <c r="AC478" i="87"/>
  <c r="X478" i="87"/>
  <c r="AB478" i="87" s="1"/>
  <c r="Z502" i="87"/>
  <c r="AC502" i="87"/>
  <c r="X502" i="87"/>
  <c r="AB502" i="87" s="1"/>
  <c r="X554" i="87"/>
  <c r="AB554" i="87" s="1"/>
  <c r="Z554" i="87"/>
  <c r="Z583" i="87"/>
  <c r="AC583" i="87" s="1"/>
  <c r="X583" i="87"/>
  <c r="AB583" i="87"/>
  <c r="Z613" i="87"/>
  <c r="X613" i="87"/>
  <c r="AB613" i="87" s="1"/>
  <c r="X700" i="87"/>
  <c r="AB700" i="87" s="1"/>
  <c r="Z700" i="87"/>
  <c r="AC700" i="87"/>
  <c r="X716" i="87"/>
  <c r="AB716" i="87"/>
  <c r="Z716" i="87"/>
  <c r="Z741" i="87"/>
  <c r="AC741" i="87"/>
  <c r="X741" i="87"/>
  <c r="Z757" i="87"/>
  <c r="AC757" i="87"/>
  <c r="X757" i="87"/>
  <c r="AB757" i="87"/>
  <c r="Z787" i="87"/>
  <c r="X787" i="87"/>
  <c r="AB787" i="87"/>
  <c r="Z831" i="87"/>
  <c r="X831" i="87"/>
  <c r="AC410" i="87"/>
  <c r="AC648" i="87"/>
  <c r="Z265" i="87"/>
  <c r="AC265" i="87" s="1"/>
  <c r="AC277" i="87"/>
  <c r="Z23" i="87"/>
  <c r="X23" i="87"/>
  <c r="AB23" i="87" s="1"/>
  <c r="Z92" i="87"/>
  <c r="X92" i="87"/>
  <c r="Z194" i="87"/>
  <c r="X194" i="87"/>
  <c r="AB194" i="87" s="1"/>
  <c r="Z210" i="87"/>
  <c r="X210" i="87"/>
  <c r="Z230" i="87"/>
  <c r="AC230" i="87"/>
  <c r="X230" i="87"/>
  <c r="AB230" i="87" s="1"/>
  <c r="Z248" i="87"/>
  <c r="AC248" i="87" s="1"/>
  <c r="X248" i="87"/>
  <c r="AB248" i="87"/>
  <c r="Z290" i="87"/>
  <c r="AC290" i="87" s="1"/>
  <c r="X290" i="87"/>
  <c r="AB290" i="87" s="1"/>
  <c r="X326" i="87"/>
  <c r="AB326" i="87" s="1"/>
  <c r="AB349" i="87"/>
  <c r="Z349" i="87"/>
  <c r="Z394" i="87"/>
  <c r="X394" i="87"/>
  <c r="Z443" i="87"/>
  <c r="AC443" i="87"/>
  <c r="X443" i="87"/>
  <c r="AB443" i="87" s="1"/>
  <c r="Z514" i="87"/>
  <c r="X514" i="87"/>
  <c r="AB514" i="87"/>
  <c r="Z629" i="87"/>
  <c r="X629" i="87"/>
  <c r="AB629" i="87" s="1"/>
  <c r="X807" i="87"/>
  <c r="AB807" i="87" s="1"/>
  <c r="AB548" i="87"/>
  <c r="AB653" i="87"/>
  <c r="Z885" i="87"/>
  <c r="X885" i="87"/>
  <c r="AC958" i="87"/>
  <c r="AC109" i="87"/>
  <c r="AC966" i="87"/>
  <c r="AB547" i="87"/>
  <c r="X740" i="87"/>
  <c r="AB740" i="87"/>
  <c r="X748" i="87"/>
  <c r="AB748" i="87"/>
  <c r="X756" i="87"/>
  <c r="AB756" i="87" s="1"/>
  <c r="X770" i="87"/>
  <c r="AB770" i="87"/>
  <c r="X786" i="87"/>
  <c r="AB786" i="87"/>
  <c r="X794" i="87"/>
  <c r="AB794" i="87" s="1"/>
  <c r="X806" i="87"/>
  <c r="AB806" i="87"/>
  <c r="AB949" i="87"/>
  <c r="Z72" i="89"/>
  <c r="AC72" i="89" s="1"/>
  <c r="X72" i="89"/>
  <c r="AB72" i="89"/>
  <c r="X118" i="89"/>
  <c r="AB118" i="89" s="1"/>
  <c r="Z118" i="89"/>
  <c r="X587" i="89"/>
  <c r="AB587" i="89"/>
  <c r="Z587" i="89"/>
  <c r="AB480" i="87"/>
  <c r="AB903" i="87"/>
  <c r="X113" i="89"/>
  <c r="Z113" i="89"/>
  <c r="AC113" i="89" s="1"/>
  <c r="X78" i="89"/>
  <c r="AB78" i="89" s="1"/>
  <c r="Z78" i="89"/>
  <c r="X16" i="89"/>
  <c r="I15" i="101"/>
  <c r="E11" i="100"/>
  <c r="E10" i="100"/>
  <c r="I35" i="111"/>
  <c r="I8" i="111"/>
  <c r="AC394" i="87"/>
  <c r="AA44" i="81"/>
  <c r="AB230" i="89"/>
  <c r="AB842" i="89"/>
  <c r="AC732" i="89"/>
  <c r="AC724" i="89"/>
  <c r="AC727" i="89"/>
  <c r="AC735" i="89"/>
  <c r="AC739" i="89"/>
  <c r="P65" i="114"/>
  <c r="P68" i="114" s="1"/>
  <c r="AC798" i="89"/>
  <c r="AC865" i="89"/>
  <c r="AC208" i="87"/>
  <c r="AB876" i="87"/>
  <c r="AC650" i="87"/>
  <c r="AC893" i="87"/>
  <c r="AB141" i="87"/>
  <c r="AB889" i="87"/>
  <c r="AB449" i="87"/>
  <c r="AC474" i="87"/>
  <c r="AB695" i="87"/>
  <c r="AC228" i="87"/>
  <c r="AB224" i="87"/>
  <c r="AB313" i="87"/>
  <c r="AC688" i="87"/>
  <c r="AB963" i="87"/>
  <c r="AB131" i="87"/>
  <c r="AB302" i="87"/>
  <c r="AB643" i="87"/>
  <c r="AC664" i="87"/>
  <c r="AB681" i="87"/>
  <c r="AB273" i="87"/>
  <c r="AC292" i="87"/>
  <c r="AB301" i="87"/>
  <c r="AB339" i="87"/>
  <c r="AB496" i="87"/>
  <c r="AB659" i="87"/>
  <c r="AC714" i="87"/>
  <c r="AB830" i="87"/>
  <c r="AB863" i="87"/>
  <c r="AB888" i="87"/>
  <c r="AB922" i="87"/>
  <c r="AB938" i="87"/>
  <c r="AB942" i="87"/>
  <c r="AB950" i="87"/>
  <c r="AB954" i="87"/>
  <c r="AB958" i="87"/>
  <c r="AB323" i="87"/>
  <c r="AB713" i="87"/>
  <c r="AC715" i="87"/>
  <c r="AB919" i="87"/>
  <c r="AB931" i="87"/>
  <c r="AB111" i="87"/>
  <c r="AC163" i="87"/>
  <c r="AC167" i="87"/>
  <c r="AB904" i="87"/>
  <c r="AB908" i="87"/>
  <c r="AB80" i="87"/>
  <c r="AC176" i="87"/>
  <c r="AC564" i="87"/>
  <c r="AB676" i="87"/>
  <c r="AB946" i="87"/>
  <c r="AB247" i="87"/>
  <c r="AC355" i="87"/>
  <c r="AC431" i="87"/>
  <c r="AB636" i="87"/>
  <c r="AB159" i="87"/>
  <c r="AC282" i="87"/>
  <c r="AC343" i="87"/>
  <c r="AB364" i="87"/>
  <c r="AB389" i="87"/>
  <c r="AB403" i="87"/>
  <c r="AC407" i="87"/>
  <c r="AB437" i="87"/>
  <c r="AC522" i="87"/>
  <c r="AB564" i="87"/>
  <c r="AB591" i="87"/>
  <c r="AB107" i="87"/>
  <c r="AB94" i="87"/>
  <c r="AB164" i="87"/>
  <c r="AB177" i="87"/>
  <c r="AB688" i="87"/>
  <c r="AC942" i="87"/>
  <c r="AB588" i="87"/>
  <c r="AB662" i="87"/>
  <c r="AC720" i="87"/>
  <c r="AB913" i="87"/>
  <c r="AB955" i="87"/>
  <c r="AB655" i="87"/>
  <c r="AC889" i="87"/>
  <c r="AC909" i="87"/>
  <c r="AC951" i="87"/>
  <c r="AB966" i="87"/>
  <c r="AC456" i="87"/>
  <c r="AB846" i="87"/>
  <c r="AB866" i="87"/>
  <c r="AB492" i="87"/>
  <c r="AB900" i="87"/>
  <c r="AC930" i="87"/>
  <c r="AB130" i="87"/>
  <c r="AB203" i="87"/>
  <c r="AC536" i="87"/>
  <c r="AB715" i="87"/>
  <c r="AC788" i="87"/>
  <c r="AC863" i="87"/>
  <c r="AC926" i="87"/>
  <c r="AB934" i="87"/>
  <c r="AB704" i="87"/>
  <c r="AB31" i="87"/>
  <c r="AB897" i="87"/>
  <c r="AB905" i="87"/>
  <c r="AC934" i="87"/>
  <c r="AC364" i="87"/>
  <c r="AB596" i="87"/>
  <c r="AB912" i="87"/>
  <c r="AB465" i="87"/>
  <c r="AB42" i="87"/>
  <c r="AB374" i="87"/>
  <c r="AB521" i="87"/>
  <c r="AB873" i="87"/>
  <c r="AC955" i="87"/>
  <c r="AB168" i="87"/>
  <c r="AB321" i="87"/>
  <c r="AB355" i="87"/>
  <c r="AB780" i="87"/>
  <c r="AB930" i="87"/>
  <c r="AB252" i="87"/>
  <c r="AB430" i="87"/>
  <c r="AB495" i="87"/>
  <c r="AB617" i="87"/>
  <c r="AB621" i="87"/>
  <c r="AB721" i="87"/>
  <c r="AB918" i="87"/>
  <c r="AB274" i="87"/>
  <c r="AC351" i="87"/>
  <c r="AB601" i="87"/>
  <c r="AB802" i="87"/>
  <c r="AB926" i="87"/>
  <c r="AB129" i="87"/>
  <c r="AB266" i="87"/>
  <c r="AB270" i="87"/>
  <c r="AB445" i="87"/>
  <c r="AC580" i="87"/>
  <c r="AB592" i="87"/>
  <c r="AB743" i="87"/>
  <c r="AC952" i="87"/>
  <c r="AC261" i="87"/>
  <c r="AC732" i="87"/>
  <c r="AB959" i="87"/>
  <c r="AC79" i="87"/>
  <c r="AC530" i="87"/>
  <c r="AB340" i="89"/>
  <c r="AB403" i="89"/>
  <c r="AB411" i="89"/>
  <c r="AB875" i="89"/>
  <c r="AC926" i="89"/>
  <c r="AB597" i="89"/>
  <c r="AC434" i="89"/>
  <c r="AC468" i="89"/>
  <c r="AC647" i="89"/>
  <c r="AC869" i="89"/>
  <c r="AC453" i="89"/>
  <c r="AB305" i="89"/>
  <c r="AC398" i="89"/>
  <c r="AB809" i="89"/>
  <c r="AC870" i="89"/>
  <c r="AC504" i="89"/>
  <c r="AC935" i="89"/>
  <c r="AB23" i="89"/>
  <c r="AB792" i="89"/>
  <c r="AC435" i="87"/>
  <c r="AB703" i="87"/>
  <c r="AC175" i="87"/>
  <c r="AC237" i="87"/>
  <c r="AC321" i="87"/>
  <c r="AC521" i="87"/>
  <c r="AC120" i="87"/>
  <c r="AB901" i="87"/>
  <c r="AC938" i="87"/>
  <c r="AC988" i="89"/>
  <c r="AC353" i="89"/>
  <c r="AB428" i="89"/>
  <c r="AC899" i="89"/>
  <c r="AC904" i="89"/>
  <c r="AC862" i="89"/>
  <c r="AB675" i="89"/>
  <c r="AC839" i="89"/>
  <c r="AC199" i="89"/>
  <c r="AC537" i="89"/>
  <c r="AC776" i="89"/>
  <c r="AC838" i="89"/>
  <c r="AC994" i="89"/>
  <c r="AC553" i="89"/>
  <c r="AC604" i="89"/>
  <c r="AB650" i="89"/>
  <c r="AB862" i="89"/>
  <c r="AC887" i="89"/>
  <c r="AC10" i="89"/>
  <c r="AC237" i="89"/>
  <c r="AB290" i="89"/>
  <c r="AB313" i="89"/>
  <c r="AC435" i="89"/>
  <c r="AC664" i="89"/>
  <c r="AB660" i="89"/>
  <c r="AB268" i="89"/>
  <c r="AC7" i="89"/>
  <c r="AC675" i="89"/>
  <c r="AB843" i="89"/>
  <c r="AC336" i="89"/>
  <c r="AC153" i="89"/>
  <c r="AC373" i="89"/>
  <c r="AC930" i="89"/>
  <c r="AC485" i="89"/>
  <c r="AB432" i="89"/>
  <c r="AC449" i="89"/>
  <c r="AC883" i="89"/>
  <c r="AB802" i="89"/>
  <c r="AB255" i="89"/>
  <c r="T14" i="75"/>
  <c r="S120" i="90"/>
  <c r="K132" i="90"/>
  <c r="F10" i="84"/>
  <c r="G10" i="84" s="1"/>
  <c r="AC566" i="89"/>
  <c r="AB292" i="89"/>
  <c r="AB818" i="89"/>
  <c r="AB826" i="89"/>
  <c r="AC851" i="89"/>
  <c r="AC329" i="89"/>
  <c r="AB919" i="89"/>
  <c r="AB737" i="89"/>
  <c r="AB188" i="89"/>
  <c r="AC271" i="89"/>
  <c r="AB360" i="89"/>
  <c r="AB454" i="89"/>
  <c r="AB186" i="89"/>
  <c r="AB777" i="89"/>
  <c r="AB790" i="89"/>
  <c r="AB730" i="87"/>
  <c r="AB824" i="87"/>
  <c r="AC864" i="87"/>
  <c r="AC725" i="87"/>
  <c r="AC795" i="89"/>
  <c r="AB176" i="89"/>
  <c r="AC25" i="89"/>
  <c r="AC694" i="89"/>
  <c r="AB307" i="89"/>
  <c r="AC114" i="89"/>
  <c r="AC802" i="89"/>
  <c r="AB821" i="89"/>
  <c r="AC861" i="89"/>
  <c r="AC998" i="89"/>
  <c r="AB1017" i="89"/>
  <c r="AB1021" i="89"/>
  <c r="AB131" i="89"/>
  <c r="AB478" i="89"/>
  <c r="AC598" i="89"/>
  <c r="AC85" i="89"/>
  <c r="AC243" i="89"/>
  <c r="AB280" i="89"/>
  <c r="AC589" i="89"/>
  <c r="AB135" i="89"/>
  <c r="AB845" i="89"/>
  <c r="AB490" i="89"/>
  <c r="AB244" i="89"/>
  <c r="AB721" i="89"/>
  <c r="AC507" i="87"/>
  <c r="K74" i="94"/>
  <c r="G43" i="111"/>
  <c r="N47" i="111"/>
  <c r="AC806" i="89"/>
  <c r="AB294" i="89"/>
  <c r="AC312" i="89"/>
  <c r="AB547" i="89"/>
  <c r="AC65" i="89"/>
  <c r="AB954" i="89"/>
  <c r="AC315" i="89"/>
  <c r="AC640" i="89"/>
  <c r="AB753" i="89"/>
  <c r="AB11" i="87"/>
  <c r="AB210" i="87"/>
  <c r="AB967" i="87"/>
  <c r="K35" i="87"/>
  <c r="J975" i="87"/>
  <c r="AC127" i="87"/>
  <c r="AB249" i="87"/>
  <c r="AB454" i="87"/>
  <c r="AC121" i="87"/>
  <c r="AB40" i="87"/>
  <c r="AB82" i="87"/>
  <c r="AB113" i="87"/>
  <c r="AC146" i="87"/>
  <c r="AB211" i="87"/>
  <c r="AC249" i="87"/>
  <c r="AC356" i="87"/>
  <c r="AB426" i="87"/>
  <c r="AB63" i="87"/>
  <c r="AC943" i="87"/>
  <c r="AB831" i="87"/>
  <c r="AC866" i="87"/>
  <c r="AB874" i="87"/>
  <c r="AC679" i="87"/>
  <c r="AC446" i="87"/>
  <c r="AB927" i="87"/>
  <c r="AB691" i="87"/>
  <c r="AC673" i="87"/>
  <c r="AB753" i="87"/>
  <c r="AB773" i="87"/>
  <c r="AB789" i="87"/>
  <c r="AB808" i="87"/>
  <c r="AB832" i="87"/>
  <c r="AB765" i="87"/>
  <c r="AC832" i="87"/>
  <c r="AB868" i="87"/>
  <c r="AB880" i="87"/>
  <c r="AC794" i="87"/>
  <c r="AB751" i="87"/>
  <c r="AB809" i="87"/>
  <c r="AC766" i="87"/>
  <c r="AB776" i="87"/>
  <c r="AB857" i="87"/>
  <c r="AB804" i="87"/>
  <c r="AB878" i="87"/>
  <c r="AC750" i="87"/>
  <c r="AC844" i="87"/>
  <c r="AB731" i="87"/>
  <c r="AC873" i="87"/>
  <c r="Z914" i="87"/>
  <c r="AB738" i="87"/>
  <c r="AB812" i="87"/>
  <c r="AC737" i="87"/>
  <c r="AB867" i="87"/>
  <c r="AB726" i="87"/>
  <c r="AB871" i="87"/>
  <c r="AC808" i="87"/>
  <c r="AB815" i="87"/>
  <c r="S13" i="75"/>
  <c r="S18" i="75"/>
  <c r="AB823" i="87"/>
  <c r="AC726" i="87"/>
  <c r="AC78" i="89"/>
  <c r="AC263" i="89"/>
  <c r="AC225" i="89"/>
  <c r="AC331" i="89"/>
  <c r="AB886" i="89"/>
  <c r="AB890" i="89"/>
  <c r="AB7" i="89"/>
  <c r="AB138" i="89"/>
  <c r="AB270" i="89"/>
  <c r="AB316" i="89"/>
  <c r="AC330" i="89"/>
  <c r="AC397" i="89"/>
  <c r="AB410" i="89"/>
  <c r="AC450" i="89"/>
  <c r="AC467" i="89"/>
  <c r="AB555" i="89"/>
  <c r="AB575" i="89"/>
  <c r="AC627" i="89"/>
  <c r="AB722" i="89"/>
  <c r="AB782" i="89"/>
  <c r="AB791" i="89"/>
  <c r="AC818" i="89"/>
  <c r="AC863" i="89"/>
  <c r="AC1013" i="89"/>
  <c r="AB247" i="89"/>
  <c r="AB332" i="89"/>
  <c r="AB451" i="89"/>
  <c r="AC562" i="89"/>
  <c r="AC574" i="89"/>
  <c r="AB897" i="89"/>
  <c r="AB948" i="89"/>
  <c r="AB986" i="89"/>
  <c r="AB277" i="89"/>
  <c r="AB60" i="89"/>
  <c r="AB354" i="89"/>
  <c r="AB552" i="89"/>
  <c r="AB556" i="89"/>
  <c r="AB576" i="89"/>
  <c r="AB805" i="89"/>
  <c r="AC902" i="89"/>
  <c r="AC963" i="89"/>
  <c r="AB430" i="89"/>
  <c r="AB694" i="89"/>
  <c r="AC418" i="89"/>
  <c r="AC920" i="89"/>
  <c r="AC220" i="89"/>
  <c r="AC477" i="89"/>
  <c r="AC187" i="89"/>
  <c r="AB698" i="89"/>
  <c r="AC837" i="89"/>
  <c r="AC299" i="89"/>
  <c r="AC799" i="89"/>
  <c r="AB22" i="89"/>
  <c r="AB158" i="89"/>
  <c r="AB166" i="89"/>
  <c r="AB595" i="89"/>
  <c r="AB605" i="89"/>
  <c r="AB726" i="89"/>
  <c r="AB366" i="89"/>
  <c r="AB299" i="89"/>
  <c r="AB34" i="89"/>
  <c r="AC24" i="89"/>
  <c r="AB124" i="89"/>
  <c r="AB734" i="89"/>
  <c r="AC503" i="89"/>
  <c r="AB621" i="89"/>
  <c r="AB251" i="89"/>
  <c r="AC256" i="89"/>
  <c r="AB709" i="89"/>
  <c r="AB311" i="89"/>
  <c r="AC1014" i="89"/>
  <c r="AB525" i="89"/>
  <c r="AC558" i="89"/>
  <c r="AC616" i="89"/>
  <c r="AB622" i="89"/>
  <c r="AC711" i="89"/>
  <c r="AC932" i="89"/>
  <c r="AB713" i="89"/>
  <c r="AC292" i="89"/>
  <c r="AC813" i="89"/>
  <c r="AB838" i="89"/>
  <c r="AB850" i="89"/>
  <c r="AB854" i="89"/>
  <c r="AB870" i="89"/>
  <c r="AC894" i="89"/>
  <c r="AB904" i="89"/>
  <c r="AB917" i="89"/>
  <c r="AB921" i="89"/>
  <c r="AB960" i="89"/>
  <c r="AB969" i="89"/>
  <c r="AB978" i="89"/>
  <c r="AB989" i="89"/>
  <c r="AB613" i="89"/>
  <c r="AB243" i="89"/>
  <c r="AB146" i="89"/>
  <c r="AC350" i="89"/>
  <c r="AB94" i="89"/>
  <c r="AB152" i="89"/>
  <c r="AB272" i="89"/>
  <c r="AC328" i="89"/>
  <c r="AB333" i="89"/>
  <c r="AB341" i="89"/>
  <c r="AC368" i="89"/>
  <c r="AB404" i="89"/>
  <c r="AC469" i="89"/>
  <c r="AC494" i="89"/>
  <c r="AC505" i="89"/>
  <c r="AC648" i="89"/>
  <c r="AB728" i="89"/>
  <c r="AB732" i="89"/>
  <c r="AB736" i="89"/>
  <c r="AB742" i="89"/>
  <c r="AB112" i="89"/>
  <c r="AB134" i="89"/>
  <c r="AB429" i="89"/>
  <c r="AB893" i="89"/>
  <c r="AB491" i="89"/>
  <c r="AB496" i="89"/>
  <c r="AB568" i="89"/>
  <c r="AC47" i="89"/>
  <c r="AB191" i="89"/>
  <c r="AC646" i="89"/>
  <c r="AC650" i="89"/>
  <c r="AC836" i="89"/>
  <c r="AB50" i="89"/>
  <c r="AB254" i="89"/>
  <c r="AC172" i="89"/>
  <c r="AC30" i="89"/>
  <c r="AC38" i="89"/>
  <c r="AB102" i="89"/>
  <c r="AB177" i="89"/>
  <c r="AC189" i="89"/>
  <c r="AB223" i="89"/>
  <c r="AB231" i="89"/>
  <c r="AB291" i="89"/>
  <c r="AC337" i="89"/>
  <c r="AB380" i="89"/>
  <c r="AC978" i="89"/>
  <c r="AB950" i="89"/>
  <c r="AB961" i="89"/>
  <c r="AC379" i="89"/>
  <c r="AB690" i="89"/>
  <c r="AB12" i="89"/>
  <c r="AC217" i="89"/>
  <c r="AB381" i="89"/>
  <c r="AB69" i="89"/>
  <c r="AB201" i="89"/>
  <c r="AC437" i="89"/>
  <c r="AB927" i="89"/>
  <c r="AC81" i="89"/>
  <c r="AB426" i="89"/>
  <c r="AC15" i="89"/>
  <c r="AB668" i="89"/>
  <c r="AB727" i="89"/>
  <c r="AB731" i="89"/>
  <c r="AB735" i="89"/>
  <c r="AB136" i="89"/>
  <c r="AC314" i="89"/>
  <c r="AC333" i="89"/>
  <c r="AC753" i="89"/>
  <c r="AB122" i="89"/>
  <c r="AC295" i="89"/>
  <c r="AC855" i="89"/>
  <c r="AB95" i="89"/>
  <c r="AB739" i="89"/>
  <c r="AB980" i="89"/>
  <c r="AB431" i="89"/>
  <c r="AB561" i="89"/>
  <c r="AB361" i="89"/>
  <c r="AC750" i="89"/>
  <c r="AC723" i="89"/>
  <c r="AC746" i="89"/>
  <c r="AC140" i="89"/>
  <c r="AC165" i="89"/>
  <c r="AB222" i="89"/>
  <c r="AB304" i="89"/>
  <c r="AB503" i="89"/>
  <c r="AC849" i="89"/>
  <c r="AC1023" i="89"/>
  <c r="AB273" i="89"/>
  <c r="AB114" i="89"/>
  <c r="AC944" i="89"/>
  <c r="AC532" i="89"/>
  <c r="AC262" i="89"/>
  <c r="AB936" i="89"/>
  <c r="AB111" i="89"/>
  <c r="AB227" i="89"/>
  <c r="AB896" i="89"/>
  <c r="AC749" i="89"/>
  <c r="AC101" i="89"/>
  <c r="AB10" i="89"/>
  <c r="AC400" i="89"/>
  <c r="AC674" i="89"/>
  <c r="F226" i="84"/>
  <c r="G226" i="84"/>
  <c r="O39" i="111"/>
  <c r="P39" i="111"/>
  <c r="AB99" i="89"/>
  <c r="AB106" i="89"/>
  <c r="AB848" i="89"/>
  <c r="AB852" i="89"/>
  <c r="AB888" i="89"/>
  <c r="AB1005" i="89"/>
  <c r="AC602" i="89"/>
  <c r="AC853" i="89"/>
  <c r="AB716" i="89"/>
  <c r="AB349" i="89"/>
  <c r="AB155" i="89"/>
  <c r="AC958" i="89"/>
  <c r="AC148" i="89"/>
  <c r="AB997" i="89"/>
  <c r="AB1016" i="89"/>
  <c r="AC475" i="89"/>
  <c r="AC506" i="89"/>
  <c r="N42" i="115"/>
  <c r="K12" i="115"/>
  <c r="M12" i="115" s="1"/>
  <c r="M35" i="115" s="1"/>
  <c r="M37" i="115" s="1"/>
  <c r="I24" i="115"/>
  <c r="I28" i="115"/>
  <c r="I21" i="115"/>
  <c r="I9" i="115"/>
  <c r="I19" i="115"/>
  <c r="I26" i="115"/>
  <c r="I20" i="115"/>
  <c r="I29" i="115"/>
  <c r="I25" i="115"/>
  <c r="I8" i="115"/>
  <c r="I23" i="115"/>
  <c r="O63" i="114"/>
  <c r="I17" i="117"/>
  <c r="I19" i="117" s="1"/>
  <c r="H17" i="117"/>
  <c r="K17" i="117"/>
  <c r="K19" i="117" s="1"/>
  <c r="J19" i="117" s="1"/>
  <c r="T19" i="81" s="1"/>
  <c r="U19" i="81" s="1"/>
  <c r="F8" i="116"/>
  <c r="G35" i="111"/>
  <c r="N49" i="111"/>
  <c r="P75" i="111"/>
  <c r="G49" i="111"/>
  <c r="G80" i="111"/>
  <c r="N56" i="111"/>
  <c r="N77" i="111"/>
  <c r="X952" i="89"/>
  <c r="AB836" i="89"/>
  <c r="AB17" i="89"/>
  <c r="AC222" i="89"/>
  <c r="AC741" i="89"/>
  <c r="AB750" i="89"/>
  <c r="AB864" i="89"/>
  <c r="AB898" i="89"/>
  <c r="AB33" i="89"/>
  <c r="AB861" i="89"/>
  <c r="AC62" i="89"/>
  <c r="AB911" i="89"/>
  <c r="AC848" i="89"/>
  <c r="AC867" i="89"/>
  <c r="AC873" i="89"/>
  <c r="AB832" i="89"/>
  <c r="T13" i="75"/>
  <c r="AC569" i="89"/>
  <c r="AC977" i="89"/>
  <c r="AC613" i="89"/>
  <c r="AC111" i="89"/>
  <c r="AB148" i="89"/>
  <c r="AB253" i="89"/>
  <c r="AC705" i="89"/>
  <c r="AC713" i="89"/>
  <c r="AB756" i="89"/>
  <c r="AB465" i="89"/>
  <c r="AB71" i="89"/>
  <c r="AB973" i="89"/>
  <c r="AB1004" i="89"/>
  <c r="AC734" i="89"/>
  <c r="AB87" i="89"/>
  <c r="AC98" i="89"/>
  <c r="AC383" i="89"/>
  <c r="AC587" i="89"/>
  <c r="AB85" i="89"/>
  <c r="AB612" i="89"/>
  <c r="AB1018" i="89"/>
  <c r="AC909" i="89"/>
  <c r="AC937" i="89"/>
  <c r="AC951" i="89"/>
  <c r="AC966" i="89"/>
  <c r="AC1016" i="89"/>
  <c r="AB52" i="89"/>
  <c r="X922" i="89"/>
  <c r="AB977" i="89"/>
  <c r="K1031" i="89"/>
  <c r="AB988" i="89"/>
  <c r="AB998" i="89"/>
  <c r="AB1000" i="89"/>
  <c r="AC996" i="89"/>
  <c r="AC888" i="89"/>
  <c r="AC424" i="89"/>
  <c r="AB416" i="89"/>
  <c r="AC844" i="89"/>
  <c r="Z856" i="89"/>
  <c r="Z884" i="89"/>
  <c r="AC859" i="89"/>
  <c r="AC313" i="89"/>
  <c r="AC8" i="89"/>
  <c r="AC154" i="89"/>
  <c r="AB229" i="89"/>
  <c r="AB453" i="89"/>
  <c r="AB477" i="89"/>
  <c r="AB746" i="89"/>
  <c r="AC782" i="89"/>
  <c r="AC473" i="89"/>
  <c r="AB450" i="89"/>
  <c r="AB683" i="89"/>
  <c r="AC817" i="89"/>
  <c r="AB935" i="89"/>
  <c r="AB533" i="89"/>
  <c r="AB55" i="89"/>
  <c r="AB594" i="89"/>
  <c r="AB51" i="89"/>
  <c r="AC14" i="89"/>
  <c r="AB768" i="89"/>
  <c r="AB779" i="89"/>
  <c r="AB783" i="89"/>
  <c r="AB971" i="89"/>
  <c r="AB25" i="89"/>
  <c r="AC412" i="89"/>
  <c r="AC768" i="89"/>
  <c r="AC1003" i="89"/>
  <c r="AC502" i="89"/>
  <c r="AC290" i="89"/>
  <c r="AB574" i="89"/>
  <c r="AB765" i="89"/>
  <c r="AB788" i="89"/>
  <c r="AB793" i="89"/>
  <c r="AC298" i="89"/>
  <c r="AB70" i="89"/>
  <c r="AB36" i="89"/>
  <c r="AB220" i="89"/>
  <c r="AC427" i="89"/>
  <c r="AC992" i="89"/>
  <c r="AB367" i="89"/>
  <c r="AC983" i="89"/>
  <c r="AC989" i="89"/>
  <c r="AC995" i="89"/>
  <c r="AC999" i="89"/>
  <c r="AC1015" i="89"/>
  <c r="AC59" i="89"/>
  <c r="AB351" i="89"/>
  <c r="AB769" i="89"/>
  <c r="AB526" i="89"/>
  <c r="AC826" i="89"/>
  <c r="AC831" i="89"/>
  <c r="AB859" i="89"/>
  <c r="AB918" i="89"/>
  <c r="AB928" i="89"/>
  <c r="AB937" i="89"/>
  <c r="AB951" i="89"/>
  <c r="AB957" i="89"/>
  <c r="AB966" i="89"/>
  <c r="K815" i="89"/>
  <c r="AB789" i="89"/>
  <c r="AB797" i="89"/>
  <c r="AC778" i="89"/>
  <c r="AB801" i="89"/>
  <c r="AB8" i="89"/>
  <c r="AC595" i="89"/>
  <c r="AC366" i="89"/>
  <c r="AC166" i="89"/>
  <c r="AB398" i="89"/>
  <c r="AB501" i="89"/>
  <c r="AB113" i="89"/>
  <c r="AC470" i="89"/>
  <c r="AB434" i="89"/>
  <c r="K1024" i="89"/>
  <c r="AB562" i="89"/>
  <c r="AC726" i="89"/>
  <c r="AB671" i="89"/>
  <c r="AC928" i="89"/>
  <c r="AB1020" i="89"/>
  <c r="AB987" i="89"/>
  <c r="AC335" i="89"/>
  <c r="AB711" i="89"/>
  <c r="AB187" i="89"/>
  <c r="AB468" i="89"/>
  <c r="AB107" i="89"/>
  <c r="AC158" i="89"/>
  <c r="AB863" i="89"/>
  <c r="AC760" i="89"/>
  <c r="AB1010" i="89"/>
  <c r="AB981" i="89"/>
  <c r="AB939" i="89"/>
  <c r="AC893" i="89"/>
  <c r="AB331" i="89"/>
  <c r="AC352" i="89"/>
  <c r="AB920" i="89"/>
  <c r="AB420" i="89"/>
  <c r="AB385" i="89"/>
  <c r="AC79" i="89"/>
  <c r="AC216" i="89"/>
  <c r="AC157" i="89"/>
  <c r="AB469" i="89"/>
  <c r="AB505" i="89"/>
  <c r="AB873" i="89"/>
  <c r="AB909" i="89"/>
  <c r="AC731" i="87"/>
  <c r="O975" i="87"/>
  <c r="AB353" i="87"/>
  <c r="AB225" i="87"/>
  <c r="AB146" i="87"/>
  <c r="AC501" i="87"/>
  <c r="AB835" i="87"/>
  <c r="K728" i="87"/>
  <c r="AB169" i="87"/>
  <c r="AB62" i="87"/>
  <c r="AB95" i="87"/>
  <c r="AB133" i="87"/>
  <c r="AB18" i="87"/>
  <c r="AC27" i="87"/>
  <c r="AB606" i="87"/>
  <c r="AC901" i="87"/>
  <c r="AC913" i="87"/>
  <c r="AC950" i="87"/>
  <c r="AB453" i="87"/>
  <c r="AC204" i="87"/>
  <c r="AB624" i="87"/>
  <c r="AB628" i="87"/>
  <c r="AC812" i="87"/>
  <c r="AC466" i="87"/>
  <c r="AB859" i="87"/>
  <c r="AB877" i="87"/>
  <c r="AB881" i="87"/>
  <c r="AB138" i="87"/>
  <c r="AB303" i="87"/>
  <c r="AB813" i="87"/>
  <c r="AC216" i="87"/>
  <c r="AC713" i="87"/>
  <c r="AB750" i="87"/>
  <c r="AB165" i="87"/>
  <c r="AB220" i="87"/>
  <c r="AB500" i="87"/>
  <c r="AB559" i="87"/>
  <c r="AC622" i="87"/>
  <c r="AB663" i="87"/>
  <c r="AC691" i="87"/>
  <c r="AC74" i="87"/>
  <c r="AB127" i="87"/>
  <c r="AC294" i="87"/>
  <c r="AC302" i="87"/>
  <c r="AB34" i="87"/>
  <c r="AC621" i="87"/>
  <c r="AB433" i="87"/>
  <c r="AC905" i="87"/>
  <c r="AB864" i="87"/>
  <c r="AB398" i="87"/>
  <c r="AB707" i="87"/>
  <c r="AB718" i="87"/>
  <c r="AC224" i="87"/>
  <c r="AB405" i="87"/>
  <c r="AB623" i="87"/>
  <c r="AB844" i="87"/>
  <c r="AC927" i="87"/>
  <c r="AC425" i="87"/>
  <c r="AC702" i="87"/>
  <c r="AB101" i="87"/>
  <c r="AC574" i="87"/>
  <c r="AC743" i="87"/>
  <c r="AB839" i="87"/>
  <c r="AB722" i="87"/>
  <c r="AB441" i="87"/>
  <c r="AB845" i="87"/>
  <c r="AB856" i="87"/>
  <c r="AC192" i="87"/>
  <c r="AB796" i="87"/>
  <c r="AB879" i="87"/>
  <c r="AC177" i="87"/>
  <c r="AB255" i="87"/>
  <c r="AC398" i="87"/>
  <c r="AC871" i="87"/>
  <c r="AC372" i="87"/>
  <c r="O968" i="87"/>
  <c r="AC701" i="87"/>
  <c r="AB7" i="87"/>
  <c r="AB658" i="87"/>
  <c r="AC108" i="87"/>
  <c r="AC931" i="87"/>
  <c r="O609" i="87"/>
  <c r="AB150" i="87"/>
  <c r="AB161" i="87"/>
  <c r="AB174" i="87"/>
  <c r="AC234" i="87"/>
  <c r="AB124" i="87"/>
  <c r="AB155" i="87"/>
  <c r="AC339" i="87"/>
  <c r="AC46" i="87"/>
  <c r="AB294" i="87"/>
  <c r="AB875" i="87"/>
  <c r="AB215" i="87"/>
  <c r="S66" i="90"/>
  <c r="K78" i="90"/>
  <c r="K10" i="90"/>
  <c r="K84" i="90"/>
  <c r="N74" i="111"/>
  <c r="AB171" i="87"/>
  <c r="AB871" i="89"/>
  <c r="AB483" i="87"/>
  <c r="AB411" i="87"/>
  <c r="AC733" i="87"/>
  <c r="AC692" i="89"/>
  <c r="AB6" i="87"/>
  <c r="AB347" i="89"/>
  <c r="AC80" i="89"/>
  <c r="AC593" i="89"/>
  <c r="AB14" i="89"/>
  <c r="AB170" i="87"/>
  <c r="AC659" i="87"/>
  <c r="F12" i="84"/>
  <c r="K15" i="75" s="1"/>
  <c r="AB484" i="89"/>
  <c r="AC835" i="89"/>
  <c r="AB122" i="87"/>
  <c r="AC417" i="89"/>
  <c r="AB885" i="87"/>
  <c r="AB826" i="87"/>
  <c r="AC419" i="89"/>
  <c r="AB325" i="89"/>
  <c r="O66" i="90"/>
  <c r="AB996" i="89"/>
  <c r="AB552" i="87"/>
  <c r="AC455" i="89"/>
  <c r="AB367" i="87"/>
  <c r="Z952" i="89"/>
  <c r="AC915" i="89"/>
  <c r="AC630" i="89"/>
  <c r="AC346" i="89"/>
  <c r="AB707" i="89"/>
  <c r="AB75" i="89"/>
  <c r="R46" i="88"/>
  <c r="AC106" i="89"/>
  <c r="AB786" i="89"/>
  <c r="AC960" i="89"/>
  <c r="H20" i="97"/>
  <c r="AB205" i="89"/>
  <c r="AC221" i="89"/>
  <c r="AB677" i="89"/>
  <c r="K16" i="75"/>
  <c r="AB92" i="87"/>
  <c r="AB581" i="89"/>
  <c r="AB535" i="89"/>
  <c r="R106" i="88"/>
  <c r="AC448" i="89"/>
  <c r="AB73" i="87"/>
  <c r="AB226" i="89"/>
  <c r="Z240" i="87"/>
  <c r="AC240" i="87" s="1"/>
  <c r="X240" i="87"/>
  <c r="AB240" i="87"/>
  <c r="X250" i="87"/>
  <c r="Z250" i="87"/>
  <c r="Z257" i="87"/>
  <c r="AC257" i="87" s="1"/>
  <c r="X257" i="87"/>
  <c r="AB257" i="87"/>
  <c r="Z334" i="87"/>
  <c r="AC334" i="87" s="1"/>
  <c r="X334" i="87"/>
  <c r="AB334" i="87"/>
  <c r="X477" i="87"/>
  <c r="AB477" i="87"/>
  <c r="Z477" i="87"/>
  <c r="Z486" i="87"/>
  <c r="X486" i="87"/>
  <c r="AB486" i="87" s="1"/>
  <c r="X510" i="87"/>
  <c r="AB510" i="87"/>
  <c r="Z510" i="87"/>
  <c r="Z677" i="87"/>
  <c r="AC677" i="87" s="1"/>
  <c r="X677" i="87"/>
  <c r="AB677" i="87" s="1"/>
  <c r="X712" i="87"/>
  <c r="AB712" i="87" s="1"/>
  <c r="Z712" i="87"/>
  <c r="Z833" i="87"/>
  <c r="X833" i="87"/>
  <c r="AB833" i="87" s="1"/>
  <c r="K62" i="88"/>
  <c r="K64" i="88"/>
  <c r="O62" i="88"/>
  <c r="O64" i="88"/>
  <c r="K110" i="88"/>
  <c r="K113" i="88" s="1"/>
  <c r="R110" i="88"/>
  <c r="X733" i="87"/>
  <c r="AB733" i="87" s="1"/>
  <c r="X710" i="89"/>
  <c r="AB710" i="89" s="1"/>
  <c r="Z659" i="89"/>
  <c r="AC659" i="89" s="1"/>
  <c r="O86" i="88"/>
  <c r="O88" i="88" s="1"/>
  <c r="X704" i="89"/>
  <c r="AB704" i="89"/>
  <c r="Z704" i="89"/>
  <c r="Z717" i="89"/>
  <c r="X717" i="89"/>
  <c r="AB717" i="89"/>
  <c r="Z219" i="87"/>
  <c r="X219" i="87"/>
  <c r="AB219" i="87"/>
  <c r="Z314" i="87"/>
  <c r="X314" i="87"/>
  <c r="AB314" i="87"/>
  <c r="Z511" i="87"/>
  <c r="X511" i="87"/>
  <c r="AB511" i="87"/>
  <c r="Z520" i="87"/>
  <c r="AC520" i="87" s="1"/>
  <c r="X520" i="87"/>
  <c r="AB520" i="87" s="1"/>
  <c r="Z555" i="87"/>
  <c r="X555" i="87"/>
  <c r="Z698" i="87"/>
  <c r="X698" i="87"/>
  <c r="AB698" i="87" s="1"/>
  <c r="Z805" i="87"/>
  <c r="X805" i="87"/>
  <c r="AB805" i="87"/>
  <c r="X834" i="87"/>
  <c r="AB834" i="87" s="1"/>
  <c r="Z834" i="87"/>
  <c r="AC834" i="87" s="1"/>
  <c r="Z842" i="87"/>
  <c r="AC842" i="87" s="1"/>
  <c r="X842" i="87"/>
  <c r="AB842" i="87"/>
  <c r="R86" i="88"/>
  <c r="R88" i="88"/>
  <c r="O86" i="90"/>
  <c r="AB384" i="89"/>
  <c r="AC550" i="89"/>
  <c r="Z45" i="89"/>
  <c r="AC45" i="89" s="1"/>
  <c r="X45" i="89"/>
  <c r="X847" i="87"/>
  <c r="AB847" i="87" s="1"/>
  <c r="AC429" i="89"/>
  <c r="AB504" i="89"/>
  <c r="Z46" i="89"/>
  <c r="X46" i="89"/>
  <c r="AB46" i="89"/>
  <c r="X1007" i="89"/>
  <c r="O110" i="88"/>
  <c r="O113" i="88" s="1"/>
  <c r="H117" i="88"/>
  <c r="AB368" i="89"/>
  <c r="X307" i="87"/>
  <c r="AB307" i="87"/>
  <c r="AB215" i="89"/>
  <c r="AC247" i="89"/>
  <c r="AB363" i="89"/>
  <c r="AB1014" i="89"/>
  <c r="AB1022" i="89"/>
  <c r="AC201" i="87"/>
  <c r="AB660" i="87"/>
  <c r="AB745" i="87"/>
  <c r="AB179" i="89"/>
  <c r="AC198" i="89"/>
  <c r="AC311" i="89"/>
  <c r="AC316" i="89"/>
  <c r="AC882" i="89"/>
  <c r="AB902" i="89"/>
  <c r="AB926" i="89"/>
  <c r="AB575" i="87"/>
  <c r="AB911" i="87"/>
  <c r="X37" i="89"/>
  <c r="AB37" i="89"/>
  <c r="Z37" i="89"/>
  <c r="AB90" i="87"/>
  <c r="AC186" i="87"/>
  <c r="AC601" i="89"/>
  <c r="AB647" i="89"/>
  <c r="AB530" i="87"/>
  <c r="X63" i="89"/>
  <c r="Z63" i="89"/>
  <c r="AB200" i="89"/>
  <c r="Z266" i="89"/>
  <c r="X266" i="89"/>
  <c r="AB266" i="89" s="1"/>
  <c r="AC82" i="89"/>
  <c r="AB100" i="89"/>
  <c r="AC575" i="89"/>
  <c r="AC812" i="89"/>
  <c r="AB819" i="89"/>
  <c r="AB827" i="89"/>
  <c r="AB849" i="89"/>
  <c r="AB395" i="87"/>
  <c r="AB558" i="87"/>
  <c r="Z117" i="89"/>
  <c r="AC117" i="89" s="1"/>
  <c r="X117" i="89"/>
  <c r="AB117" i="89" s="1"/>
  <c r="AB994" i="89"/>
  <c r="AB32" i="87"/>
  <c r="AB216" i="87"/>
  <c r="Z332" i="89"/>
  <c r="AC332" i="89"/>
  <c r="Z305" i="87"/>
  <c r="AC305" i="87" s="1"/>
  <c r="Z49" i="89"/>
  <c r="Z582" i="89"/>
  <c r="X582" i="89"/>
  <c r="AB582" i="89"/>
  <c r="AB593" i="89"/>
  <c r="AC709" i="89"/>
  <c r="K22" i="88"/>
  <c r="X370" i="87"/>
  <c r="AB370" i="87" s="1"/>
  <c r="X572" i="87"/>
  <c r="X690" i="87"/>
  <c r="AB690" i="87" s="1"/>
  <c r="Z364" i="89"/>
  <c r="AC364" i="89"/>
  <c r="Z751" i="89"/>
  <c r="AC751" i="89"/>
  <c r="X20" i="87"/>
  <c r="AB20" i="87"/>
  <c r="X525" i="87"/>
  <c r="AB525" i="87"/>
  <c r="K40" i="88"/>
  <c r="Z200" i="89"/>
  <c r="Z274" i="89"/>
  <c r="K88" i="88"/>
  <c r="N20" i="111"/>
  <c r="K15" i="115"/>
  <c r="M15" i="115"/>
  <c r="G74" i="111"/>
  <c r="AC200" i="89"/>
  <c r="G12" i="84"/>
  <c r="O37" i="111"/>
  <c r="P37" i="111"/>
  <c r="D13" i="110" s="1"/>
  <c r="AC742" i="89"/>
  <c r="AC582" i="89"/>
  <c r="Z624" i="89"/>
  <c r="AB1007" i="89"/>
  <c r="AC486" i="87"/>
  <c r="AC266" i="89"/>
  <c r="AC833" i="87"/>
  <c r="AB555" i="87"/>
  <c r="AC704" i="89"/>
  <c r="AC63" i="89"/>
  <c r="T20" i="75"/>
  <c r="K13" i="110"/>
  <c r="F13" i="110"/>
  <c r="AB394" i="87"/>
  <c r="AB572" i="87"/>
  <c r="AB516" i="87"/>
  <c r="AB375" i="87"/>
  <c r="AC338" i="87"/>
  <c r="AB432" i="87"/>
  <c r="AC704" i="87"/>
  <c r="K517" i="87"/>
  <c r="O189" i="87"/>
  <c r="AC229" i="87"/>
  <c r="K28" i="90"/>
  <c r="K36" i="90"/>
  <c r="K42" i="90"/>
  <c r="X624" i="89"/>
  <c r="AB676" i="89"/>
  <c r="AC317" i="89"/>
  <c r="AB207" i="89"/>
  <c r="AC819" i="89"/>
  <c r="AC872" i="89"/>
  <c r="S774" i="89"/>
  <c r="S413" i="89"/>
  <c r="AC779" i="89"/>
  <c r="O1024" i="89"/>
  <c r="AC248" i="89"/>
  <c r="AB609" i="89"/>
  <c r="AC415" i="89"/>
  <c r="AC31" i="89"/>
  <c r="AC628" i="89"/>
  <c r="AC725" i="89"/>
  <c r="AB825" i="89"/>
  <c r="O815" i="89"/>
  <c r="AB116" i="89"/>
  <c r="AB745" i="89"/>
  <c r="AB156" i="89"/>
  <c r="O990" i="89"/>
  <c r="AB924" i="89"/>
  <c r="AB145" i="89"/>
  <c r="AB485" i="89"/>
  <c r="AB379" i="89"/>
  <c r="AB944" i="89"/>
  <c r="J281" i="94"/>
  <c r="K24" i="94"/>
  <c r="Q842" i="89"/>
  <c r="AC842" i="89"/>
  <c r="Q843" i="89"/>
  <c r="D19" i="110" l="1"/>
  <c r="G55" i="111"/>
  <c r="G84" i="111" s="1"/>
  <c r="G86" i="111" s="1"/>
  <c r="I84" i="111"/>
  <c r="I86" i="111" s="1"/>
  <c r="H36" i="119"/>
  <c r="G36" i="119" s="1"/>
  <c r="T31" i="81" s="1"/>
  <c r="U31" i="81" s="1"/>
  <c r="E30" i="119"/>
  <c r="F30" i="119" s="1"/>
  <c r="F36" i="119" s="1"/>
  <c r="J11" i="118"/>
  <c r="K15" i="118"/>
  <c r="K30" i="120"/>
  <c r="I14" i="75"/>
  <c r="U14" i="75"/>
  <c r="V14" i="75" s="1"/>
  <c r="O277" i="94"/>
  <c r="N277" i="94" s="1"/>
  <c r="Z279" i="87"/>
  <c r="AC279" i="87" s="1"/>
  <c r="X279" i="87"/>
  <c r="AB279" i="87" s="1"/>
  <c r="J280" i="94"/>
  <c r="K19" i="94"/>
  <c r="AB126" i="87"/>
  <c r="O156" i="87"/>
  <c r="AB650" i="87"/>
  <c r="O674" i="87"/>
  <c r="Z849" i="87"/>
  <c r="AC849" i="87" s="1"/>
  <c r="X849" i="87"/>
  <c r="AB849" i="87" s="1"/>
  <c r="K72" i="90"/>
  <c r="S162" i="90"/>
  <c r="S42" i="90"/>
  <c r="O529" i="89"/>
  <c r="Z850" i="87"/>
  <c r="AC850" i="87" s="1"/>
  <c r="X850" i="87"/>
  <c r="AB850" i="87" s="1"/>
  <c r="X196" i="87"/>
  <c r="AB196" i="87" s="1"/>
  <c r="Z196" i="87"/>
  <c r="AC196" i="87" s="1"/>
  <c r="AB538" i="89"/>
  <c r="Z149" i="89"/>
  <c r="Z510" i="89"/>
  <c r="X510" i="89"/>
  <c r="AB510" i="89" s="1"/>
  <c r="Z814" i="87"/>
  <c r="AC814" i="87" s="1"/>
  <c r="X814" i="87"/>
  <c r="AB814" i="87" s="1"/>
  <c r="S68" i="90"/>
  <c r="S72" i="90" s="1"/>
  <c r="H160" i="90"/>
  <c r="O413" i="89"/>
  <c r="J15" i="75"/>
  <c r="AB250" i="87"/>
  <c r="Z425" i="89"/>
  <c r="Z446" i="89" s="1"/>
  <c r="X425" i="89"/>
  <c r="AB425" i="89" s="1"/>
  <c r="Z685" i="87"/>
  <c r="AC685" i="87" s="1"/>
  <c r="X685" i="87"/>
  <c r="AB685" i="87" s="1"/>
  <c r="Z820" i="87"/>
  <c r="AC820" i="87" s="1"/>
  <c r="X820" i="87"/>
  <c r="AB820" i="87" s="1"/>
  <c r="Z815" i="89"/>
  <c r="I35" i="115"/>
  <c r="I37" i="115" s="1"/>
  <c r="Z471" i="87"/>
  <c r="AC471" i="87" s="1"/>
  <c r="X471" i="87"/>
  <c r="AB471" i="87" s="1"/>
  <c r="AC566" i="87"/>
  <c r="K299" i="87"/>
  <c r="Z289" i="87"/>
  <c r="AC289" i="87" s="1"/>
  <c r="X289" i="87"/>
  <c r="AB289" i="87" s="1"/>
  <c r="Z489" i="87"/>
  <c r="AC489" i="87" s="1"/>
  <c r="X489" i="87"/>
  <c r="AB489" i="87" s="1"/>
  <c r="I15" i="118"/>
  <c r="AC162" i="87"/>
  <c r="Z189" i="87"/>
  <c r="AC563" i="87"/>
  <c r="I11" i="118"/>
  <c r="X684" i="87"/>
  <c r="AB684" i="87" s="1"/>
  <c r="AB232" i="89"/>
  <c r="O1032" i="89"/>
  <c r="J13" i="75" s="1"/>
  <c r="AB889" i="89"/>
  <c r="O922" i="89"/>
  <c r="AC548" i="87"/>
  <c r="X614" i="87"/>
  <c r="AB614" i="87" s="1"/>
  <c r="AC307" i="87"/>
  <c r="K218" i="94"/>
  <c r="K278" i="94" s="1"/>
  <c r="O481" i="87"/>
  <c r="AB281" i="89"/>
  <c r="AC787" i="87"/>
  <c r="AB531" i="89"/>
  <c r="AB615" i="89"/>
  <c r="O76" i="88"/>
  <c r="AB869" i="87"/>
  <c r="O914" i="87"/>
  <c r="X699" i="87"/>
  <c r="AB699" i="87" s="1"/>
  <c r="AC690" i="87"/>
  <c r="AC519" i="87"/>
  <c r="AC532" i="87"/>
  <c r="F18" i="116"/>
  <c r="AB258" i="87"/>
  <c r="O299" i="87"/>
  <c r="AC891" i="89"/>
  <c r="Z922" i="89"/>
  <c r="AB946" i="89"/>
  <c r="AC956" i="89"/>
  <c r="Z990" i="89"/>
  <c r="Z1024" i="89"/>
  <c r="AB1012" i="89"/>
  <c r="AC9" i="87"/>
  <c r="AC396" i="87"/>
  <c r="Z252" i="89"/>
  <c r="AC252" i="89" s="1"/>
  <c r="X252" i="89"/>
  <c r="AB252" i="89" s="1"/>
  <c r="AC226" i="87"/>
  <c r="AC275" i="87"/>
  <c r="Z97" i="87"/>
  <c r="AC97" i="87" s="1"/>
  <c r="X97" i="87"/>
  <c r="AB97" i="87" s="1"/>
  <c r="Z16" i="87"/>
  <c r="AC16" i="87" s="1"/>
  <c r="X16" i="87"/>
  <c r="AB16" i="87" s="1"/>
  <c r="AC510" i="87"/>
  <c r="AC250" i="87"/>
  <c r="AB88" i="87"/>
  <c r="Z489" i="89"/>
  <c r="AC489" i="89" s="1"/>
  <c r="X489" i="89"/>
  <c r="Z612" i="87"/>
  <c r="AC612" i="87" s="1"/>
  <c r="X612" i="87"/>
  <c r="AB612" i="87" s="1"/>
  <c r="X819" i="87"/>
  <c r="AB819" i="87" s="1"/>
  <c r="Z819" i="87"/>
  <c r="AC819" i="87" s="1"/>
  <c r="I14" i="101"/>
  <c r="I18" i="101"/>
  <c r="K481" i="87"/>
  <c r="O44" i="87"/>
  <c r="O972" i="87" s="1"/>
  <c r="N972" i="87" s="1"/>
  <c r="AC774" i="87"/>
  <c r="AC48" i="87"/>
  <c r="Z513" i="87"/>
  <c r="AC513" i="87" s="1"/>
  <c r="X513" i="87"/>
  <c r="AB513" i="87" s="1"/>
  <c r="Z434" i="87"/>
  <c r="X434" i="87"/>
  <c r="K482" i="89"/>
  <c r="AB435" i="89"/>
  <c r="AC139" i="87"/>
  <c r="AB180" i="87"/>
  <c r="X306" i="87"/>
  <c r="AB306" i="87" s="1"/>
  <c r="Z306" i="87"/>
  <c r="AC306" i="87" s="1"/>
  <c r="K952" i="89"/>
  <c r="I63" i="114"/>
  <c r="O672" i="89"/>
  <c r="AC341" i="87"/>
  <c r="O68" i="90"/>
  <c r="O72" i="90" s="1"/>
  <c r="X241" i="89"/>
  <c r="O377" i="89"/>
  <c r="X1024" i="89"/>
  <c r="O90" i="90"/>
  <c r="X446" i="89"/>
  <c r="X56" i="89"/>
  <c r="X1028" i="89" s="1"/>
  <c r="W1028" i="89" s="1"/>
  <c r="AB6" i="89"/>
  <c r="AB589" i="89"/>
  <c r="Z251" i="89"/>
  <c r="AC251" i="89" s="1"/>
  <c r="AB18" i="89"/>
  <c r="O149" i="89"/>
  <c r="O821" i="87"/>
  <c r="O137" i="94"/>
  <c r="O281" i="94"/>
  <c r="H16" i="97"/>
  <c r="H50" i="97" s="1"/>
  <c r="F53" i="97"/>
  <c r="AC721" i="89"/>
  <c r="Z774" i="89"/>
  <c r="X815" i="89"/>
  <c r="AB778" i="89"/>
  <c r="AB822" i="89"/>
  <c r="X856" i="89"/>
  <c r="X990" i="89"/>
  <c r="Z778" i="87"/>
  <c r="AC778" i="87" s="1"/>
  <c r="X778" i="87"/>
  <c r="AB778" i="87" s="1"/>
  <c r="Z791" i="87"/>
  <c r="AC791" i="87" s="1"/>
  <c r="X791" i="87"/>
  <c r="AB791" i="87" s="1"/>
  <c r="AB481" i="89"/>
  <c r="O767" i="87"/>
  <c r="AC213" i="87"/>
  <c r="X396" i="89"/>
  <c r="AB396" i="89" s="1"/>
  <c r="Z396" i="89"/>
  <c r="AC396" i="89" s="1"/>
  <c r="X461" i="89"/>
  <c r="AB461" i="89" s="1"/>
  <c r="Z461" i="89"/>
  <c r="AC461" i="89" s="1"/>
  <c r="Z512" i="87"/>
  <c r="AC512" i="87" s="1"/>
  <c r="X512" i="87"/>
  <c r="AB512" i="87" s="1"/>
  <c r="X654" i="87"/>
  <c r="AB654" i="87" s="1"/>
  <c r="Z654" i="87"/>
  <c r="AC432" i="87"/>
  <c r="X488" i="87"/>
  <c r="AB488" i="87" s="1"/>
  <c r="Z488" i="87"/>
  <c r="AC488" i="87" s="1"/>
  <c r="Z686" i="87"/>
  <c r="AC686" i="87" s="1"/>
  <c r="X686" i="87"/>
  <c r="AB686" i="87" s="1"/>
  <c r="Z196" i="89"/>
  <c r="AC397" i="87"/>
  <c r="Z472" i="87"/>
  <c r="AC472" i="87" s="1"/>
  <c r="X472" i="87"/>
  <c r="AB472" i="87" s="1"/>
  <c r="AB45" i="89"/>
  <c r="AB62" i="89"/>
  <c r="K856" i="89"/>
  <c r="N30" i="111"/>
  <c r="AB61" i="89"/>
  <c r="AB9" i="87"/>
  <c r="X413" i="87"/>
  <c r="AB413" i="87" s="1"/>
  <c r="Z585" i="87"/>
  <c r="AC585" i="87" s="1"/>
  <c r="Z376" i="89"/>
  <c r="Z377" i="89" s="1"/>
  <c r="X376" i="89"/>
  <c r="AB376" i="89" s="1"/>
  <c r="O427" i="87"/>
  <c r="X308" i="89"/>
  <c r="H53" i="97"/>
  <c r="G53" i="97" s="1"/>
  <c r="R16" i="88"/>
  <c r="R117" i="88" s="1"/>
  <c r="P117" i="88" s="1"/>
  <c r="X774" i="89"/>
  <c r="AB901" i="89"/>
  <c r="AC531" i="87"/>
  <c r="AC588" i="87"/>
  <c r="Z758" i="87"/>
  <c r="X758" i="87"/>
  <c r="AB758" i="87" s="1"/>
  <c r="Z297" i="87"/>
  <c r="X297" i="87"/>
  <c r="AB297" i="87" s="1"/>
  <c r="Z57" i="87"/>
  <c r="AC57" i="87" s="1"/>
  <c r="X57" i="87"/>
  <c r="AB57" i="87" s="1"/>
  <c r="S144" i="90"/>
  <c r="Z529" i="89"/>
  <c r="K10" i="101"/>
  <c r="Z542" i="87"/>
  <c r="AC542" i="87" s="1"/>
  <c r="X542" i="87"/>
  <c r="AB542" i="87" s="1"/>
  <c r="X657" i="87"/>
  <c r="AB657" i="87" s="1"/>
  <c r="Z657" i="87"/>
  <c r="AC657" i="87" s="1"/>
  <c r="T18" i="75"/>
  <c r="F50" i="97"/>
  <c r="V972" i="87"/>
  <c r="AC451" i="89"/>
  <c r="O56" i="89"/>
  <c r="O1028" i="89" s="1"/>
  <c r="N1028" i="89" s="1"/>
  <c r="Z457" i="87"/>
  <c r="AC457" i="87" s="1"/>
  <c r="X457" i="87"/>
  <c r="AB457" i="87" s="1"/>
  <c r="O390" i="87"/>
  <c r="AC531" i="89"/>
  <c r="J16" i="75"/>
  <c r="G225" i="84"/>
  <c r="O42" i="90"/>
  <c r="AC712" i="87"/>
  <c r="X189" i="87"/>
  <c r="E12" i="116"/>
  <c r="F12" i="116" s="1"/>
  <c r="AB741" i="87"/>
  <c r="X149" i="89"/>
  <c r="O482" i="89"/>
  <c r="Z288" i="89"/>
  <c r="AC288" i="89" s="1"/>
  <c r="AB752" i="89"/>
  <c r="AB804" i="89"/>
  <c r="AB882" i="89"/>
  <c r="AC236" i="87"/>
  <c r="AC255" i="87"/>
  <c r="AC653" i="87"/>
  <c r="AC194" i="87"/>
  <c r="AB211" i="89"/>
  <c r="O60" i="90"/>
  <c r="O241" i="89"/>
  <c r="AB31" i="89"/>
  <c r="AC29" i="87"/>
  <c r="O105" i="90"/>
  <c r="K105" i="90"/>
  <c r="K108" i="90" s="1"/>
  <c r="K116" i="87"/>
  <c r="K149" i="89"/>
  <c r="K308" i="89"/>
  <c r="K446" i="89"/>
  <c r="O10" i="90"/>
  <c r="AC37" i="87"/>
  <c r="S86" i="90"/>
  <c r="S90" i="90" s="1"/>
  <c r="K86" i="90"/>
  <c r="K90" i="90" s="1"/>
  <c r="AB286" i="89"/>
  <c r="AC251" i="87"/>
  <c r="Z115" i="89"/>
  <c r="AC115" i="89" s="1"/>
  <c r="X115" i="89"/>
  <c r="AB115" i="89" s="1"/>
  <c r="Z382" i="87"/>
  <c r="AC382" i="87" s="1"/>
  <c r="X382" i="87"/>
  <c r="AB382" i="87" s="1"/>
  <c r="K672" i="89"/>
  <c r="AB49" i="87"/>
  <c r="AB198" i="89"/>
  <c r="AB41" i="89"/>
  <c r="AB395" i="89"/>
  <c r="Z672" i="89"/>
  <c r="O774" i="89"/>
  <c r="O1029" i="89" s="1"/>
  <c r="N1029" i="89" s="1"/>
  <c r="AB437" i="89"/>
  <c r="AC875" i="87"/>
  <c r="AC916" i="87"/>
  <c r="K390" i="87"/>
  <c r="AB603" i="89"/>
  <c r="AB841" i="89"/>
  <c r="AC172" i="87"/>
  <c r="X968" i="87"/>
  <c r="AB916" i="87"/>
  <c r="Z253" i="87"/>
  <c r="AC253" i="87" s="1"/>
  <c r="X253" i="87"/>
  <c r="AB253" i="87" s="1"/>
  <c r="X291" i="87"/>
  <c r="AB291" i="87" s="1"/>
  <c r="Z291" i="87"/>
  <c r="AC291" i="87" s="1"/>
  <c r="X366" i="87"/>
  <c r="AB366" i="87" s="1"/>
  <c r="Z366" i="87"/>
  <c r="AC366" i="87" s="1"/>
  <c r="X414" i="87"/>
  <c r="AB414" i="87" s="1"/>
  <c r="Z414" i="87"/>
  <c r="AC414" i="87" s="1"/>
  <c r="X473" i="87"/>
  <c r="AB473" i="87" s="1"/>
  <c r="Z473" i="87"/>
  <c r="AC473" i="87" s="1"/>
  <c r="Z490" i="87"/>
  <c r="AC490" i="87" s="1"/>
  <c r="X490" i="87"/>
  <c r="AB490" i="87" s="1"/>
  <c r="Z543" i="87"/>
  <c r="AC543" i="87" s="1"/>
  <c r="X543" i="87"/>
  <c r="AB543" i="87" s="1"/>
  <c r="O116" i="87"/>
  <c r="O973" i="87" s="1"/>
  <c r="N973" i="87" s="1"/>
  <c r="AC6" i="87"/>
  <c r="AB654" i="89"/>
  <c r="AB559" i="89"/>
  <c r="O16" i="88"/>
  <c r="AB447" i="87"/>
  <c r="Z684" i="89"/>
  <c r="Z719" i="89" s="1"/>
  <c r="X684" i="89"/>
  <c r="AB38" i="87"/>
  <c r="Z191" i="87"/>
  <c r="X191" i="87"/>
  <c r="Z206" i="87"/>
  <c r="AC206" i="87" s="1"/>
  <c r="X206" i="87"/>
  <c r="AB206" i="87" s="1"/>
  <c r="O645" i="87"/>
  <c r="AC298" i="87"/>
  <c r="AB466" i="89"/>
  <c r="AB475" i="89"/>
  <c r="Z663" i="89"/>
  <c r="AC663" i="89" s="1"/>
  <c r="X663" i="89"/>
  <c r="AB663" i="89" s="1"/>
  <c r="Z207" i="87"/>
  <c r="AC207" i="87" s="1"/>
  <c r="X207" i="87"/>
  <c r="AB207" i="87" s="1"/>
  <c r="Z347" i="87"/>
  <c r="AC347" i="87" s="1"/>
  <c r="X347" i="87"/>
  <c r="Z385" i="87"/>
  <c r="AC385" i="87" s="1"/>
  <c r="X385" i="87"/>
  <c r="AB385" i="87" s="1"/>
  <c r="X400" i="87"/>
  <c r="AB400" i="87" s="1"/>
  <c r="Z400" i="87"/>
  <c r="AC400" i="87" s="1"/>
  <c r="Z416" i="87"/>
  <c r="AC416" i="87" s="1"/>
  <c r="X416" i="87"/>
  <c r="AB416" i="87" s="1"/>
  <c r="X476" i="87"/>
  <c r="AB476" i="87" s="1"/>
  <c r="Z476" i="87"/>
  <c r="AC476" i="87" s="1"/>
  <c r="Z494" i="87"/>
  <c r="AC494" i="87" s="1"/>
  <c r="X494" i="87"/>
  <c r="AB494" i="87" s="1"/>
  <c r="X226" i="87"/>
  <c r="AB226" i="87" s="1"/>
  <c r="N80" i="111"/>
  <c r="AC573" i="87"/>
  <c r="AB265" i="89"/>
  <c r="AB667" i="89"/>
  <c r="O1031" i="89"/>
  <c r="J12" i="75" s="1"/>
  <c r="X368" i="87"/>
  <c r="AB368" i="87" s="1"/>
  <c r="AB448" i="87"/>
  <c r="X68" i="89"/>
  <c r="AB68" i="89" s="1"/>
  <c r="Z68" i="89"/>
  <c r="Z104" i="89" s="1"/>
  <c r="Z452" i="89"/>
  <c r="AC452" i="89" s="1"/>
  <c r="X452" i="89"/>
  <c r="X500" i="89"/>
  <c r="AB500" i="89" s="1"/>
  <c r="Z500" i="89"/>
  <c r="AC500" i="89" s="1"/>
  <c r="Z521" i="89"/>
  <c r="AC521" i="89" s="1"/>
  <c r="X521" i="89"/>
  <c r="AB521" i="89" s="1"/>
  <c r="X537" i="89"/>
  <c r="AB537" i="89" s="1"/>
  <c r="X43" i="87"/>
  <c r="AB43" i="87" s="1"/>
  <c r="Z43" i="87"/>
  <c r="AC43" i="87" s="1"/>
  <c r="X137" i="87"/>
  <c r="AB137" i="87" s="1"/>
  <c r="Z137" i="87"/>
  <c r="Z193" i="87"/>
  <c r="AC193" i="87" s="1"/>
  <c r="X193" i="87"/>
  <c r="AB193" i="87" s="1"/>
  <c r="X327" i="87"/>
  <c r="AB327" i="87" s="1"/>
  <c r="Z327" i="87"/>
  <c r="AC327" i="87" s="1"/>
  <c r="X369" i="87"/>
  <c r="AB369" i="87" s="1"/>
  <c r="Z386" i="87"/>
  <c r="X386" i="87"/>
  <c r="AB386" i="87" s="1"/>
  <c r="Z401" i="87"/>
  <c r="AC401" i="87" s="1"/>
  <c r="X401" i="87"/>
  <c r="AB401" i="87" s="1"/>
  <c r="Z462" i="87"/>
  <c r="AC462" i="87" s="1"/>
  <c r="X462" i="87"/>
  <c r="AB462" i="87" s="1"/>
  <c r="X499" i="87"/>
  <c r="AB499" i="87" s="1"/>
  <c r="Z549" i="87"/>
  <c r="AC549" i="87" s="1"/>
  <c r="X549" i="87"/>
  <c r="X828" i="87"/>
  <c r="AB828" i="87" s="1"/>
  <c r="Z828" i="87"/>
  <c r="AC828" i="87" s="1"/>
  <c r="O84" i="90"/>
  <c r="O884" i="89"/>
  <c r="X196" i="89"/>
  <c r="O58" i="88"/>
  <c r="O28" i="88"/>
  <c r="O624" i="89"/>
  <c r="AB312" i="89"/>
  <c r="X344" i="89"/>
  <c r="AB415" i="89"/>
  <c r="X20" i="89"/>
  <c r="AB20" i="89" s="1"/>
  <c r="Z20" i="89"/>
  <c r="V116" i="87"/>
  <c r="V973" i="87" s="1"/>
  <c r="Z209" i="87"/>
  <c r="AC209" i="87" s="1"/>
  <c r="X209" i="87"/>
  <c r="AB209" i="87" s="1"/>
  <c r="Z328" i="87"/>
  <c r="AC328" i="87" s="1"/>
  <c r="X328" i="87"/>
  <c r="AB328" i="87" s="1"/>
  <c r="Z418" i="87"/>
  <c r="AC418" i="87" s="1"/>
  <c r="X418" i="87"/>
  <c r="AB418" i="87" s="1"/>
  <c r="Z439" i="87"/>
  <c r="AC439" i="87" s="1"/>
  <c r="X439" i="87"/>
  <c r="AB439" i="87" s="1"/>
  <c r="Z463" i="87"/>
  <c r="AC463" i="87" s="1"/>
  <c r="X463" i="87"/>
  <c r="AB463" i="87" s="1"/>
  <c r="AC647" i="87"/>
  <c r="O728" i="87"/>
  <c r="AB607" i="89"/>
  <c r="O114" i="90"/>
  <c r="O196" i="89"/>
  <c r="AB160" i="89"/>
  <c r="Z344" i="89"/>
  <c r="AB723" i="87"/>
  <c r="AB488" i="89"/>
  <c r="Z523" i="89"/>
  <c r="AC523" i="89" s="1"/>
  <c r="X523" i="89"/>
  <c r="AB523" i="89" s="1"/>
  <c r="Z96" i="87"/>
  <c r="AC96" i="87" s="1"/>
  <c r="X96" i="87"/>
  <c r="AB96" i="87" s="1"/>
  <c r="Z278" i="87"/>
  <c r="AC278" i="87" s="1"/>
  <c r="X278" i="87"/>
  <c r="AB278" i="87" s="1"/>
  <c r="Z296" i="87"/>
  <c r="X296" i="87"/>
  <c r="AB296" i="87" s="1"/>
  <c r="AC790" i="87"/>
  <c r="Z459" i="87"/>
  <c r="AC459" i="87" s="1"/>
  <c r="X459" i="87"/>
  <c r="AB459" i="87" s="1"/>
  <c r="Z515" i="87"/>
  <c r="AC515" i="87" s="1"/>
  <c r="X515" i="87"/>
  <c r="AB515" i="87" s="1"/>
  <c r="F10" i="100"/>
  <c r="H9" i="100"/>
  <c r="F11" i="100"/>
  <c r="H11" i="100" s="1"/>
  <c r="O952" i="89"/>
  <c r="AB532" i="89"/>
  <c r="Z73" i="89"/>
  <c r="AC73" i="89" s="1"/>
  <c r="AB814" i="89"/>
  <c r="Z260" i="87"/>
  <c r="AC260" i="87" s="1"/>
  <c r="X260" i="87"/>
  <c r="AB260" i="87" s="1"/>
  <c r="Z280" i="87"/>
  <c r="AC280" i="87" s="1"/>
  <c r="X280" i="87"/>
  <c r="AB280" i="87" s="1"/>
  <c r="Z763" i="87"/>
  <c r="AC763" i="87" s="1"/>
  <c r="X763" i="87"/>
  <c r="AB763" i="87" s="1"/>
  <c r="K245" i="87"/>
  <c r="AB666" i="89"/>
  <c r="O344" i="89"/>
  <c r="O280" i="94"/>
  <c r="J11" i="75" s="1"/>
  <c r="AB98" i="87"/>
  <c r="AB450" i="87"/>
  <c r="Z35" i="89"/>
  <c r="AC35" i="89" s="1"/>
  <c r="X35" i="89"/>
  <c r="AB35" i="89" s="1"/>
  <c r="AB47" i="89"/>
  <c r="Z565" i="89"/>
  <c r="AC565" i="89" s="1"/>
  <c r="X565" i="89"/>
  <c r="AB565" i="89" s="1"/>
  <c r="Z115" i="87"/>
  <c r="AC115" i="87" s="1"/>
  <c r="X115" i="87"/>
  <c r="AB115" i="87" s="1"/>
  <c r="K97" i="88"/>
  <c r="K100" i="88" s="1"/>
  <c r="R97" i="88"/>
  <c r="R100" i="88" s="1"/>
  <c r="AC693" i="87"/>
  <c r="AB248" i="89"/>
  <c r="Z267" i="89"/>
  <c r="AC267" i="89" s="1"/>
  <c r="X267" i="89"/>
  <c r="AB267" i="89" s="1"/>
  <c r="Z656" i="89"/>
  <c r="X656" i="89"/>
  <c r="AB656" i="89" s="1"/>
  <c r="Z19" i="87"/>
  <c r="AC19" i="87" s="1"/>
  <c r="X19" i="87"/>
  <c r="AB19" i="87" s="1"/>
  <c r="AB972" i="87" s="1"/>
  <c r="K975" i="87"/>
  <c r="K674" i="87"/>
  <c r="O156" i="90"/>
  <c r="AB65" i="87"/>
  <c r="AB123" i="87"/>
  <c r="AC131" i="87"/>
  <c r="AB451" i="87"/>
  <c r="X249" i="89"/>
  <c r="AB249" i="89" s="1"/>
  <c r="Z249" i="89"/>
  <c r="AC249" i="89" s="1"/>
  <c r="Z657" i="89"/>
  <c r="AC657" i="89" s="1"/>
  <c r="X657" i="89"/>
  <c r="AB657" i="89" s="1"/>
  <c r="S104" i="90"/>
  <c r="S108" i="90" s="1"/>
  <c r="O104" i="90"/>
  <c r="O108" i="90" s="1"/>
  <c r="O34" i="88"/>
  <c r="AB866" i="89"/>
  <c r="AC15" i="87"/>
  <c r="AB276" i="87"/>
  <c r="AC694" i="87"/>
  <c r="X732" i="87"/>
  <c r="Z611" i="87"/>
  <c r="X611" i="87"/>
  <c r="Z683" i="87"/>
  <c r="X683" i="87"/>
  <c r="AB683" i="87" s="1"/>
  <c r="K54" i="88"/>
  <c r="K58" i="88" s="1"/>
  <c r="R54" i="88"/>
  <c r="R58" i="88" s="1"/>
  <c r="K76" i="87"/>
  <c r="K104" i="89"/>
  <c r="O719" i="89"/>
  <c r="AB747" i="87"/>
  <c r="AC917" i="87"/>
  <c r="Z136" i="87"/>
  <c r="AC136" i="87" s="1"/>
  <c r="X136" i="87"/>
  <c r="AB136" i="87" s="1"/>
  <c r="X460" i="87"/>
  <c r="AB460" i="87" s="1"/>
  <c r="Z460" i="87"/>
  <c r="AC460" i="87" s="1"/>
  <c r="AB468" i="87"/>
  <c r="AB921" i="87"/>
  <c r="AC928" i="87"/>
  <c r="Z54" i="89"/>
  <c r="X54" i="89"/>
  <c r="AB54" i="89" s="1"/>
  <c r="Z232" i="87"/>
  <c r="AC232" i="87" s="1"/>
  <c r="X232" i="87"/>
  <c r="AB232" i="87" s="1"/>
  <c r="Z244" i="87"/>
  <c r="AC244" i="87" s="1"/>
  <c r="X244" i="87"/>
  <c r="AB244" i="87" s="1"/>
  <c r="Z754" i="87"/>
  <c r="X754" i="87"/>
  <c r="AB754" i="87" s="1"/>
  <c r="Z825" i="87"/>
  <c r="X825" i="87"/>
  <c r="Z837" i="87"/>
  <c r="AC837" i="87" s="1"/>
  <c r="X837" i="87"/>
  <c r="AB837" i="87" s="1"/>
  <c r="K645" i="87"/>
  <c r="AB528" i="87"/>
  <c r="AC872" i="87"/>
  <c r="AB929" i="87"/>
  <c r="Z635" i="89"/>
  <c r="X635" i="89"/>
  <c r="AB635" i="89" s="1"/>
  <c r="Z200" i="87"/>
  <c r="AC200" i="87" s="1"/>
  <c r="X200" i="87"/>
  <c r="AB200" i="87" s="1"/>
  <c r="Z218" i="87"/>
  <c r="AC218" i="87" s="1"/>
  <c r="X218" i="87"/>
  <c r="AB218" i="87" s="1"/>
  <c r="Z630" i="87"/>
  <c r="AC630" i="87" s="1"/>
  <c r="X630" i="87"/>
  <c r="AB630" i="87" s="1"/>
  <c r="Z755" i="87"/>
  <c r="AC755" i="87" s="1"/>
  <c r="X755" i="87"/>
  <c r="AB755" i="87" s="1"/>
  <c r="Z775" i="87"/>
  <c r="AC775" i="87" s="1"/>
  <c r="X775" i="87"/>
  <c r="AB775" i="87" s="1"/>
  <c r="Z838" i="87"/>
  <c r="AC838" i="87" s="1"/>
  <c r="X838" i="87"/>
  <c r="AB838" i="87" s="1"/>
  <c r="K44" i="87"/>
  <c r="K972" i="87" s="1"/>
  <c r="AB872" i="89"/>
  <c r="AC558" i="87"/>
  <c r="AC937" i="87"/>
  <c r="Z21" i="87"/>
  <c r="X21" i="87"/>
  <c r="AB21" i="87" s="1"/>
  <c r="Z635" i="87"/>
  <c r="AC635" i="87" s="1"/>
  <c r="X635" i="87"/>
  <c r="AB635" i="87" s="1"/>
  <c r="Z649" i="87"/>
  <c r="X649" i="87"/>
  <c r="Z742" i="87"/>
  <c r="Z767" i="87" s="1"/>
  <c r="X742" i="87"/>
  <c r="AB742" i="87" s="1"/>
  <c r="Z776" i="87"/>
  <c r="AC776" i="87" s="1"/>
  <c r="S88" i="90"/>
  <c r="K88" i="90"/>
  <c r="AB264" i="87"/>
  <c r="X827" i="87"/>
  <c r="AB827" i="87" s="1"/>
  <c r="Z827" i="87"/>
  <c r="Z841" i="87"/>
  <c r="AC841" i="87" s="1"/>
  <c r="X841" i="87"/>
  <c r="AB841" i="87" s="1"/>
  <c r="K189" i="87"/>
  <c r="K545" i="87"/>
  <c r="K914" i="87"/>
  <c r="Z470" i="87"/>
  <c r="AC470" i="87" s="1"/>
  <c r="X470" i="87"/>
  <c r="AB470" i="87" s="1"/>
  <c r="Z487" i="87"/>
  <c r="X487" i="87"/>
  <c r="X534" i="87"/>
  <c r="AB534" i="87" s="1"/>
  <c r="Z534" i="87"/>
  <c r="AC534" i="87" s="1"/>
  <c r="Z584" i="87"/>
  <c r="X584" i="87"/>
  <c r="Z777" i="87"/>
  <c r="AC777" i="87" s="1"/>
  <c r="X777" i="87"/>
  <c r="AB777" i="87" s="1"/>
  <c r="X425" i="87"/>
  <c r="AB425" i="87" s="1"/>
  <c r="X714" i="87"/>
  <c r="AB714" i="87" s="1"/>
  <c r="Z246" i="89"/>
  <c r="AC246" i="89" s="1"/>
  <c r="X246" i="89"/>
  <c r="AB618" i="87"/>
  <c r="Z642" i="87"/>
  <c r="X642" i="87"/>
  <c r="AB642" i="87" s="1"/>
  <c r="K427" i="87"/>
  <c r="K821" i="87"/>
  <c r="K577" i="89"/>
  <c r="Z703" i="87"/>
  <c r="AC703" i="87" s="1"/>
  <c r="Z335" i="87"/>
  <c r="AC335" i="87" s="1"/>
  <c r="AB620" i="87"/>
  <c r="Z577" i="87"/>
  <c r="AC577" i="87" s="1"/>
  <c r="X577" i="87"/>
  <c r="AB577" i="87" s="1"/>
  <c r="AC765" i="87"/>
  <c r="Z303" i="87"/>
  <c r="Z553" i="87"/>
  <c r="X553" i="87"/>
  <c r="AB553" i="87" s="1"/>
  <c r="S57" i="90"/>
  <c r="S60" i="90" s="1"/>
  <c r="K57" i="90"/>
  <c r="K60" i="90" s="1"/>
  <c r="K48" i="88"/>
  <c r="K968" i="87"/>
  <c r="K196" i="89"/>
  <c r="AB896" i="87"/>
  <c r="AC920" i="87"/>
  <c r="Z318" i="87"/>
  <c r="AC318" i="87" s="1"/>
  <c r="X318" i="87"/>
  <c r="AB318" i="87" s="1"/>
  <c r="Z406" i="87"/>
  <c r="AC406" i="87" s="1"/>
  <c r="X406" i="87"/>
  <c r="AB406" i="87" s="1"/>
  <c r="Z579" i="87"/>
  <c r="AC579" i="87" s="1"/>
  <c r="X579" i="87"/>
  <c r="AB579" i="87" s="1"/>
  <c r="Z769" i="87"/>
  <c r="X769" i="87"/>
  <c r="K56" i="89"/>
  <c r="K1028" i="89" s="1"/>
  <c r="K581" i="87"/>
  <c r="K719" i="89"/>
  <c r="AB694" i="87"/>
  <c r="Z304" i="87"/>
  <c r="AC304" i="87" s="1"/>
  <c r="X304" i="87"/>
  <c r="Z393" i="87"/>
  <c r="X393" i="87"/>
  <c r="Z717" i="87"/>
  <c r="X717" i="87"/>
  <c r="AB717" i="87" s="1"/>
  <c r="S102" i="90"/>
  <c r="K156" i="87"/>
  <c r="K413" i="89"/>
  <c r="K51" i="88"/>
  <c r="K860" i="87"/>
  <c r="K1032" i="89"/>
  <c r="O41" i="114"/>
  <c r="O65" i="114" s="1"/>
  <c r="S48" i="90"/>
  <c r="K71" i="90"/>
  <c r="S107" i="90"/>
  <c r="K107" i="90"/>
  <c r="K767" i="87"/>
  <c r="K275" i="89"/>
  <c r="AC50" i="89"/>
  <c r="AC34" i="89"/>
  <c r="AC18" i="89"/>
  <c r="AC1028" i="89" s="1"/>
  <c r="AC100" i="89"/>
  <c r="S104" i="89"/>
  <c r="AC305" i="89"/>
  <c r="AC289" i="89"/>
  <c r="AC340" i="89"/>
  <c r="AC324" i="89"/>
  <c r="AC359" i="89"/>
  <c r="AC410" i="89"/>
  <c r="AC394" i="89"/>
  <c r="AC445" i="89"/>
  <c r="AC480" i="89"/>
  <c r="AC464" i="89"/>
  <c r="AC513" i="89"/>
  <c r="AC497" i="89"/>
  <c r="AC603" i="89"/>
  <c r="S624" i="89"/>
  <c r="AC807" i="89"/>
  <c r="AC791" i="89"/>
  <c r="AC874" i="89"/>
  <c r="K42" i="88"/>
  <c r="K46" i="88" s="1"/>
  <c r="K54" i="90"/>
  <c r="K160" i="90" s="1"/>
  <c r="K884" i="89"/>
  <c r="AC49" i="89"/>
  <c r="AC33" i="89"/>
  <c r="AC99" i="89"/>
  <c r="AC83" i="89"/>
  <c r="AC67" i="89"/>
  <c r="AC226" i="89"/>
  <c r="AC210" i="89"/>
  <c r="AC255" i="89"/>
  <c r="AC304" i="89"/>
  <c r="S308" i="89"/>
  <c r="AC374" i="89"/>
  <c r="AC358" i="89"/>
  <c r="AC393" i="89"/>
  <c r="AC444" i="89"/>
  <c r="AC428" i="89"/>
  <c r="AC512" i="89"/>
  <c r="AC496" i="89"/>
  <c r="AC573" i="89"/>
  <c r="AC557" i="89"/>
  <c r="S577" i="89"/>
  <c r="AC790" i="89"/>
  <c r="AC939" i="89"/>
  <c r="S98" i="90"/>
  <c r="K98" i="90"/>
  <c r="K102" i="90" s="1"/>
  <c r="I41" i="114"/>
  <c r="I65" i="114" s="1"/>
  <c r="I67" i="114" s="1"/>
  <c r="O67" i="114" s="1"/>
  <c r="K774" i="89"/>
  <c r="K922" i="89"/>
  <c r="AC240" i="89"/>
  <c r="AC224" i="89"/>
  <c r="AC208" i="89"/>
  <c r="AC253" i="89"/>
  <c r="AC356" i="89"/>
  <c r="AC407" i="89"/>
  <c r="AC391" i="89"/>
  <c r="AC442" i="89"/>
  <c r="AC510" i="89"/>
  <c r="AC571" i="89"/>
  <c r="AC555" i="89"/>
  <c r="AC539" i="89"/>
  <c r="AC706" i="89"/>
  <c r="AC690" i="89"/>
  <c r="AC804" i="89"/>
  <c r="AC788" i="89"/>
  <c r="AC871" i="89"/>
  <c r="AC919" i="89"/>
  <c r="AC986" i="89"/>
  <c r="AC970" i="89"/>
  <c r="AC1009" i="89"/>
  <c r="AC46" i="89"/>
  <c r="AC139" i="89"/>
  <c r="AC123" i="89"/>
  <c r="AC268" i="89"/>
  <c r="S275" i="89"/>
  <c r="AC355" i="89"/>
  <c r="AC406" i="89"/>
  <c r="AC476" i="89"/>
  <c r="AC460" i="89"/>
  <c r="AC525" i="89"/>
  <c r="AC509" i="89"/>
  <c r="AC570" i="89"/>
  <c r="AC538" i="89"/>
  <c r="AC787" i="89"/>
  <c r="AC918" i="89"/>
  <c r="AC936" i="89"/>
  <c r="AC985" i="89"/>
  <c r="AC969" i="89"/>
  <c r="AC1008" i="89"/>
  <c r="AC138" i="89"/>
  <c r="AC122" i="89"/>
  <c r="S241" i="89"/>
  <c r="S344" i="89"/>
  <c r="AC354" i="89"/>
  <c r="AC508" i="89"/>
  <c r="AC658" i="89"/>
  <c r="AC786" i="89"/>
  <c r="AC850" i="89"/>
  <c r="AC834" i="89"/>
  <c r="AC917" i="89"/>
  <c r="AC901" i="89"/>
  <c r="S952" i="89"/>
  <c r="AC968" i="89"/>
  <c r="AC1007" i="89"/>
  <c r="N26" i="111"/>
  <c r="N60" i="111"/>
  <c r="I11" i="120"/>
  <c r="AC136" i="89"/>
  <c r="AC120" i="89"/>
  <c r="AC194" i="89"/>
  <c r="AC178" i="89"/>
  <c r="AC403" i="89"/>
  <c r="S482" i="89"/>
  <c r="AC612" i="89"/>
  <c r="AC656" i="89"/>
  <c r="AC718" i="89"/>
  <c r="AC702" i="89"/>
  <c r="AC686" i="89"/>
  <c r="AC754" i="89"/>
  <c r="AC738" i="89"/>
  <c r="AC800" i="89"/>
  <c r="AC784" i="89"/>
  <c r="AC832" i="89"/>
  <c r="AC1021" i="89"/>
  <c r="AC1005" i="89"/>
  <c r="S218" i="94"/>
  <c r="AC121" i="89"/>
  <c r="AC195" i="89"/>
  <c r="AC179" i="89"/>
  <c r="AC163" i="89"/>
  <c r="AC423" i="89"/>
  <c r="AC474" i="89"/>
  <c r="AC491" i="89"/>
  <c r="AC536" i="89"/>
  <c r="AC641" i="89"/>
  <c r="AC785" i="89"/>
  <c r="AC833" i="89"/>
  <c r="AC868" i="89"/>
  <c r="AC916" i="89"/>
  <c r="AC900" i="89"/>
  <c r="AC967" i="89"/>
  <c r="AC1022" i="89"/>
  <c r="AC1006" i="89"/>
  <c r="AC21" i="87"/>
  <c r="AC13" i="87"/>
  <c r="AC972" i="87" s="1"/>
  <c r="AC42" i="87"/>
  <c r="AC67" i="87"/>
  <c r="AC59" i="87"/>
  <c r="AC51" i="87"/>
  <c r="AC94" i="87"/>
  <c r="AC86" i="87"/>
  <c r="AC150" i="87"/>
  <c r="AC178" i="87"/>
  <c r="AC170" i="87"/>
  <c r="AC227" i="87"/>
  <c r="AC219" i="87"/>
  <c r="AC211" i="87"/>
  <c r="AC195" i="87"/>
  <c r="AC241" i="87"/>
  <c r="AC284" i="87"/>
  <c r="AC276" i="87"/>
  <c r="AC268" i="87"/>
  <c r="AC252" i="87"/>
  <c r="AC296" i="87"/>
  <c r="AC374" i="87"/>
  <c r="AC350" i="87"/>
  <c r="AC342" i="87"/>
  <c r="AC386" i="87"/>
  <c r="AC597" i="87"/>
  <c r="AC589" i="87"/>
  <c r="AC642" i="87"/>
  <c r="AC717" i="87"/>
  <c r="AC772" i="87"/>
  <c r="AC816" i="87"/>
  <c r="AC851" i="87"/>
  <c r="AC835" i="87"/>
  <c r="AC827" i="87"/>
  <c r="AC865" i="87"/>
  <c r="AC962" i="87"/>
  <c r="S968" i="87"/>
  <c r="I14" i="120"/>
  <c r="S137" i="94"/>
  <c r="AC36" i="89"/>
  <c r="AC20" i="89"/>
  <c r="AC102" i="89"/>
  <c r="AC86" i="89"/>
  <c r="AC229" i="89"/>
  <c r="AC274" i="89"/>
  <c r="AC291" i="89"/>
  <c r="AC342" i="89"/>
  <c r="AC326" i="89"/>
  <c r="AC361" i="89"/>
  <c r="AC431" i="89"/>
  <c r="AC515" i="89"/>
  <c r="AC499" i="89"/>
  <c r="AC576" i="89"/>
  <c r="AC560" i="89"/>
  <c r="AC621" i="89"/>
  <c r="AC605" i="89"/>
  <c r="AC649" i="89"/>
  <c r="AC633" i="89"/>
  <c r="AC747" i="89"/>
  <c r="AC809" i="89"/>
  <c r="AC793" i="89"/>
  <c r="H84" i="111"/>
  <c r="H86" i="111" s="1"/>
  <c r="AC228" i="89"/>
  <c r="AC212" i="89"/>
  <c r="AC273" i="89"/>
  <c r="AC257" i="89"/>
  <c r="AC341" i="89"/>
  <c r="AC360" i="89"/>
  <c r="AC411" i="89"/>
  <c r="AC395" i="89"/>
  <c r="AC430" i="89"/>
  <c r="AC481" i="89"/>
  <c r="AC514" i="89"/>
  <c r="AC498" i="89"/>
  <c r="AC620" i="89"/>
  <c r="AC588" i="89"/>
  <c r="AC808" i="89"/>
  <c r="AC792" i="89"/>
  <c r="AC875" i="89"/>
  <c r="AC48" i="89"/>
  <c r="AC32" i="89"/>
  <c r="AC16" i="89"/>
  <c r="AC209" i="89"/>
  <c r="AC270" i="89"/>
  <c r="AC254" i="89"/>
  <c r="AC322" i="89"/>
  <c r="AC408" i="89"/>
  <c r="AC392" i="89"/>
  <c r="AC443" i="89"/>
  <c r="AC478" i="89"/>
  <c r="AC462" i="89"/>
  <c r="AC527" i="89"/>
  <c r="AC511" i="89"/>
  <c r="AC495" i="89"/>
  <c r="AC572" i="89"/>
  <c r="AC556" i="89"/>
  <c r="AC540" i="89"/>
  <c r="AC707" i="89"/>
  <c r="AC789" i="89"/>
  <c r="AC22" i="87"/>
  <c r="AC14" i="87"/>
  <c r="AC35" i="87"/>
  <c r="AC68" i="87"/>
  <c r="AC60" i="87"/>
  <c r="AC52" i="87"/>
  <c r="AC137" i="87"/>
  <c r="AC129" i="87"/>
  <c r="AC171" i="87"/>
  <c r="AC242" i="87"/>
  <c r="AC297" i="87"/>
  <c r="AC313" i="87"/>
  <c r="S336" i="87"/>
  <c r="AC419" i="87"/>
  <c r="AC411" i="87"/>
  <c r="AC403" i="87"/>
  <c r="AC395" i="87"/>
  <c r="AC516" i="87"/>
  <c r="S545" i="87"/>
  <c r="AC575" i="87"/>
  <c r="AC598" i="87"/>
  <c r="AC590" i="87"/>
  <c r="AC617" i="87"/>
  <c r="AC643" i="87"/>
  <c r="AC651" i="87"/>
  <c r="AC758" i="87"/>
  <c r="AC734" i="87"/>
  <c r="AC789" i="87"/>
  <c r="AC781" i="87"/>
  <c r="AC773" i="87"/>
  <c r="AC882" i="87"/>
  <c r="AC874" i="87"/>
  <c r="AC910" i="87"/>
  <c r="AC161" i="89"/>
  <c r="AC402" i="89"/>
  <c r="AC421" i="89"/>
  <c r="AC472" i="89"/>
  <c r="AC611" i="89"/>
  <c r="AC671" i="89"/>
  <c r="AC717" i="89"/>
  <c r="AC701" i="89"/>
  <c r="AC685" i="89"/>
  <c r="AC737" i="89"/>
  <c r="AC866" i="89"/>
  <c r="AC914" i="89"/>
  <c r="AC898" i="89"/>
  <c r="AC981" i="89"/>
  <c r="AC965" i="89"/>
  <c r="AC1020" i="89"/>
  <c r="AC1004" i="89"/>
  <c r="AC40" i="87"/>
  <c r="AC32" i="87"/>
  <c r="AC100" i="87"/>
  <c r="AC92" i="87"/>
  <c r="AC114" i="87"/>
  <c r="AC134" i="87"/>
  <c r="AC126" i="87"/>
  <c r="AC348" i="87"/>
  <c r="AC340" i="87"/>
  <c r="AC408" i="87"/>
  <c r="AC452" i="87"/>
  <c r="AC444" i="87"/>
  <c r="AC436" i="87"/>
  <c r="AC480" i="87"/>
  <c r="AC495" i="87"/>
  <c r="AC487" i="87"/>
  <c r="AC535" i="87"/>
  <c r="AC527" i="87"/>
  <c r="AC562" i="87"/>
  <c r="AC554" i="87"/>
  <c r="AC806" i="87"/>
  <c r="AC940" i="87"/>
  <c r="AC932" i="87"/>
  <c r="AC75" i="89"/>
  <c r="AC134" i="89"/>
  <c r="AC118" i="89"/>
  <c r="S196" i="89"/>
  <c r="AC594" i="89"/>
  <c r="AC716" i="89"/>
  <c r="AC700" i="89"/>
  <c r="AC752" i="89"/>
  <c r="AC736" i="89"/>
  <c r="AC913" i="89"/>
  <c r="S922" i="89"/>
  <c r="H18" i="116"/>
  <c r="G18" i="116" s="1"/>
  <c r="T25" i="81" s="1"/>
  <c r="U25" i="81" s="1"/>
  <c r="AC74" i="89"/>
  <c r="AC133" i="89"/>
  <c r="AC564" i="89"/>
  <c r="AC548" i="89"/>
  <c r="AC609" i="89"/>
  <c r="AC669" i="89"/>
  <c r="AC653" i="89"/>
  <c r="AC699" i="89"/>
  <c r="AC683" i="89"/>
  <c r="AC767" i="89"/>
  <c r="AC845" i="89"/>
  <c r="AC829" i="89"/>
  <c r="AC912" i="89"/>
  <c r="AC896" i="89"/>
  <c r="AC979" i="89"/>
  <c r="AC1018" i="89"/>
  <c r="AC26" i="87"/>
  <c r="AC18" i="87"/>
  <c r="AC10" i="87"/>
  <c r="AC39" i="87"/>
  <c r="AC91" i="87"/>
  <c r="AC83" i="87"/>
  <c r="AC113" i="87"/>
  <c r="AC141" i="87"/>
  <c r="AC133" i="87"/>
  <c r="AC125" i="87"/>
  <c r="AC293" i="87"/>
  <c r="AC325" i="87"/>
  <c r="AC309" i="87"/>
  <c r="AC383" i="87"/>
  <c r="AC415" i="87"/>
  <c r="AC399" i="87"/>
  <c r="AC479" i="87"/>
  <c r="AC526" i="87"/>
  <c r="AC561" i="87"/>
  <c r="AC553" i="87"/>
  <c r="AC629" i="87"/>
  <c r="AC613" i="87"/>
  <c r="AC639" i="87"/>
  <c r="AC663" i="87"/>
  <c r="AC655" i="87"/>
  <c r="AC754" i="87"/>
  <c r="AC746" i="87"/>
  <c r="AC738" i="87"/>
  <c r="AC793" i="87"/>
  <c r="AC785" i="87"/>
  <c r="AC813" i="87"/>
  <c r="S821" i="87"/>
  <c r="AC886" i="87"/>
  <c r="AC878" i="87"/>
  <c r="AC870" i="87"/>
  <c r="AC898" i="87"/>
  <c r="AC939" i="87"/>
  <c r="AC923" i="87"/>
  <c r="AC39" i="89"/>
  <c r="AC132" i="89"/>
  <c r="AC294" i="89"/>
  <c r="AC547" i="89"/>
  <c r="AC668" i="89"/>
  <c r="AC652" i="89"/>
  <c r="S672" i="89"/>
  <c r="AC698" i="89"/>
  <c r="AC828" i="89"/>
  <c r="AC895" i="89"/>
  <c r="AC962" i="89"/>
  <c r="AC1017" i="89"/>
  <c r="S1024" i="89"/>
  <c r="AC54" i="89"/>
  <c r="AC22" i="89"/>
  <c r="AC88" i="89"/>
  <c r="AC131" i="89"/>
  <c r="AC231" i="89"/>
  <c r="AC215" i="89"/>
  <c r="AC363" i="89"/>
  <c r="AC517" i="89"/>
  <c r="AC501" i="89"/>
  <c r="AC623" i="89"/>
  <c r="AC607" i="89"/>
  <c r="AC591" i="89"/>
  <c r="AC667" i="89"/>
  <c r="AC635" i="89"/>
  <c r="AC765" i="89"/>
  <c r="AC733" i="89"/>
  <c r="AC843" i="89"/>
  <c r="AC827" i="89"/>
  <c r="AC961" i="89"/>
  <c r="AC140" i="87"/>
  <c r="AC132" i="87"/>
  <c r="AC154" i="87"/>
  <c r="AC174" i="87"/>
  <c r="S189" i="87"/>
  <c r="AC223" i="87"/>
  <c r="AC215" i="87"/>
  <c r="AC199" i="87"/>
  <c r="AC324" i="87"/>
  <c r="AC316" i="87"/>
  <c r="AC370" i="87"/>
  <c r="AC354" i="87"/>
  <c r="AC458" i="87"/>
  <c r="AC450" i="87"/>
  <c r="AC442" i="87"/>
  <c r="AC434" i="87"/>
  <c r="AC511" i="87"/>
  <c r="AC533" i="87"/>
  <c r="AC525" i="87"/>
  <c r="AC662" i="87"/>
  <c r="AC654" i="87"/>
  <c r="AC753" i="87"/>
  <c r="AC745" i="87"/>
  <c r="AC792" i="87"/>
  <c r="AC784" i="87"/>
  <c r="AC847" i="87"/>
  <c r="AC839" i="87"/>
  <c r="AC831" i="87"/>
  <c r="AC885" i="87"/>
  <c r="AC869" i="87"/>
  <c r="AC37" i="89"/>
  <c r="AC21" i="89"/>
  <c r="AC87" i="89"/>
  <c r="AC71" i="89"/>
  <c r="AC230" i="89"/>
  <c r="AC214" i="89"/>
  <c r="AC343" i="89"/>
  <c r="AC327" i="89"/>
  <c r="S377" i="89"/>
  <c r="AC432" i="89"/>
  <c r="AC545" i="89"/>
  <c r="AC622" i="89"/>
  <c r="AC606" i="89"/>
  <c r="AC590" i="89"/>
  <c r="AC666" i="89"/>
  <c r="AC634" i="89"/>
  <c r="AC764" i="89"/>
  <c r="AC748" i="89"/>
  <c r="S856" i="89"/>
  <c r="S28" i="90"/>
  <c r="S160" i="90" s="1"/>
  <c r="P160" i="90" s="1"/>
  <c r="S36" i="90"/>
  <c r="S54" i="90"/>
  <c r="AC954" i="87"/>
  <c r="S914" i="87"/>
  <c r="S860" i="87"/>
  <c r="AC805" i="87"/>
  <c r="S767" i="87"/>
  <c r="AC735" i="87"/>
  <c r="S728" i="87"/>
  <c r="S674" i="87"/>
  <c r="S645" i="87"/>
  <c r="S609" i="87"/>
  <c r="S581" i="87"/>
  <c r="S517" i="87"/>
  <c r="AC477" i="87"/>
  <c r="S427" i="87"/>
  <c r="S390" i="87"/>
  <c r="AC346" i="87"/>
  <c r="S299" i="87"/>
  <c r="S245" i="87"/>
  <c r="S975" i="87"/>
  <c r="R975" i="87" s="1"/>
  <c r="O30" i="111" s="1"/>
  <c r="AC166" i="87"/>
  <c r="S156" i="87"/>
  <c r="S116" i="87"/>
  <c r="S76" i="87"/>
  <c r="S44" i="87"/>
  <c r="S972" i="87" s="1"/>
  <c r="P972" i="87" s="1"/>
  <c r="AC1001" i="89"/>
  <c r="S990" i="89"/>
  <c r="AC897" i="89"/>
  <c r="S884" i="89"/>
  <c r="S815" i="89"/>
  <c r="S719" i="89"/>
  <c r="S446" i="89"/>
  <c r="AC362" i="89"/>
  <c r="S149" i="89"/>
  <c r="S1032" i="89"/>
  <c r="S529" i="89"/>
  <c r="S1031" i="89"/>
  <c r="S56" i="89"/>
  <c r="S1028" i="89" s="1"/>
  <c r="P1028" i="89" s="1"/>
  <c r="S273" i="94"/>
  <c r="S278" i="94" s="1"/>
  <c r="P278" i="94" s="1"/>
  <c r="S281" i="94"/>
  <c r="R281" i="94" s="1"/>
  <c r="O16" i="111" s="1"/>
  <c r="P16" i="111" s="1"/>
  <c r="S78" i="94"/>
  <c r="S277" i="94" s="1"/>
  <c r="P277" i="94" s="1"/>
  <c r="S280" i="94"/>
  <c r="R280" i="94" s="1"/>
  <c r="O12" i="111" s="1"/>
  <c r="P12" i="111" s="1"/>
  <c r="K11" i="75"/>
  <c r="L11" i="75" s="1"/>
  <c r="K19" i="110" l="1"/>
  <c r="F19" i="110"/>
  <c r="D23" i="110"/>
  <c r="F23" i="110" s="1"/>
  <c r="K117" i="88"/>
  <c r="O160" i="90"/>
  <c r="N160" i="90" s="1"/>
  <c r="J15" i="118"/>
  <c r="O72" i="111" s="1"/>
  <c r="P72" i="111" s="1"/>
  <c r="I17" i="118"/>
  <c r="X728" i="87"/>
  <c r="AC393" i="87"/>
  <c r="Z427" i="87"/>
  <c r="H10" i="100"/>
  <c r="F14" i="100"/>
  <c r="I15" i="75"/>
  <c r="U15" i="75"/>
  <c r="V15" i="75" s="1"/>
  <c r="V20" i="75" s="1"/>
  <c r="L15" i="75"/>
  <c r="X156" i="87"/>
  <c r="Z413" i="89"/>
  <c r="K52" i="88"/>
  <c r="Z56" i="89"/>
  <c r="Z1028" i="89" s="1"/>
  <c r="Y1028" i="89" s="1"/>
  <c r="Z116" i="87"/>
  <c r="Z308" i="89"/>
  <c r="Z76" i="87"/>
  <c r="Z156" i="87"/>
  <c r="K78" i="94"/>
  <c r="K277" i="94" s="1"/>
  <c r="K280" i="94"/>
  <c r="U16" i="75"/>
  <c r="V16" i="75" s="1"/>
  <c r="L16" i="75"/>
  <c r="I16" i="75"/>
  <c r="AB584" i="87"/>
  <c r="X609" i="87"/>
  <c r="K15" i="101"/>
  <c r="K18" i="101" s="1"/>
  <c r="K14" i="101"/>
  <c r="AB684" i="89"/>
  <c r="X719" i="89"/>
  <c r="Z545" i="87"/>
  <c r="Z581" i="87"/>
  <c r="AB825" i="87"/>
  <c r="X860" i="87"/>
  <c r="AB489" i="89"/>
  <c r="X529" i="89"/>
  <c r="N8" i="111"/>
  <c r="AB649" i="87"/>
  <c r="X674" i="87"/>
  <c r="Z390" i="87"/>
  <c r="Z275" i="89"/>
  <c r="Z1029" i="89" s="1"/>
  <c r="Y1029" i="89" s="1"/>
  <c r="AC68" i="89"/>
  <c r="AC1029" i="89" s="1"/>
  <c r="AC376" i="89"/>
  <c r="Z299" i="87"/>
  <c r="X413" i="89"/>
  <c r="I12" i="75"/>
  <c r="U12" i="75"/>
  <c r="V12" i="75" s="1"/>
  <c r="AB434" i="87"/>
  <c r="X481" i="87"/>
  <c r="X427" i="87"/>
  <c r="AB393" i="87"/>
  <c r="AB973" i="87" s="1"/>
  <c r="O117" i="88"/>
  <c r="N117" i="88" s="1"/>
  <c r="Z44" i="87"/>
  <c r="Z972" i="87" s="1"/>
  <c r="Y972" i="87" s="1"/>
  <c r="X299" i="87"/>
  <c r="U13" i="75"/>
  <c r="V13" i="75" s="1"/>
  <c r="I13" i="75"/>
  <c r="X275" i="89"/>
  <c r="AB246" i="89"/>
  <c r="AB1029" i="89" s="1"/>
  <c r="X44" i="87"/>
  <c r="X972" i="87" s="1"/>
  <c r="W972" i="87" s="1"/>
  <c r="X577" i="89"/>
  <c r="AC611" i="87"/>
  <c r="Z645" i="87"/>
  <c r="AB347" i="87"/>
  <c r="X390" i="87"/>
  <c r="Z517" i="87"/>
  <c r="S1029" i="89"/>
  <c r="P1029" i="89" s="1"/>
  <c r="I26" i="120"/>
  <c r="I30" i="120"/>
  <c r="H24" i="120"/>
  <c r="I24" i="120"/>
  <c r="H26" i="120"/>
  <c r="AC649" i="87"/>
  <c r="Z674" i="87"/>
  <c r="Z482" i="89"/>
  <c r="P30" i="111"/>
  <c r="O68" i="114"/>
  <c r="O71" i="114" s="1"/>
  <c r="Q71" i="114" s="1"/>
  <c r="X672" i="89"/>
  <c r="AB191" i="87"/>
  <c r="X245" i="87"/>
  <c r="AB732" i="87"/>
  <c r="X767" i="87"/>
  <c r="AC584" i="87"/>
  <c r="Z609" i="87"/>
  <c r="AC425" i="89"/>
  <c r="AB487" i="87"/>
  <c r="X517" i="87"/>
  <c r="AC825" i="87"/>
  <c r="Z860" i="87"/>
  <c r="H14" i="100"/>
  <c r="G14" i="100" s="1"/>
  <c r="Z481" i="87"/>
  <c r="X76" i="87"/>
  <c r="X973" i="87" s="1"/>
  <c r="W973" i="87" s="1"/>
  <c r="K1029" i="89"/>
  <c r="X821" i="87"/>
  <c r="AB769" i="87"/>
  <c r="AC683" i="87"/>
  <c r="Z728" i="87"/>
  <c r="AB452" i="89"/>
  <c r="X482" i="89"/>
  <c r="X104" i="89"/>
  <c r="X377" i="89"/>
  <c r="Z245" i="87"/>
  <c r="AC191" i="87"/>
  <c r="AC973" i="87" s="1"/>
  <c r="Z577" i="89"/>
  <c r="AC684" i="89"/>
  <c r="I11" i="75"/>
  <c r="U11" i="75"/>
  <c r="V11" i="75" s="1"/>
  <c r="V18" i="75" s="1"/>
  <c r="X581" i="87"/>
  <c r="AB549" i="87"/>
  <c r="AB304" i="87"/>
  <c r="X336" i="87"/>
  <c r="K14" i="75"/>
  <c r="L14" i="75" s="1"/>
  <c r="R162" i="90"/>
  <c r="O26" i="111" s="1"/>
  <c r="P26" i="111" s="1"/>
  <c r="P60" i="111"/>
  <c r="N55" i="111"/>
  <c r="N84" i="111" s="1"/>
  <c r="N86" i="111" s="1"/>
  <c r="X116" i="87"/>
  <c r="K973" i="87"/>
  <c r="AC742" i="87"/>
  <c r="AC769" i="87"/>
  <c r="Z821" i="87"/>
  <c r="AC303" i="87"/>
  <c r="Z336" i="87"/>
  <c r="X645" i="87"/>
  <c r="AB611" i="87"/>
  <c r="AB1028" i="89"/>
  <c r="X545" i="87"/>
  <c r="S973" i="87"/>
  <c r="P973" i="87" s="1"/>
  <c r="R1032" i="89"/>
  <c r="O24" i="111" s="1"/>
  <c r="P24" i="111" s="1"/>
  <c r="K13" i="75"/>
  <c r="L13" i="75" s="1"/>
  <c r="R1031" i="89"/>
  <c r="O20" i="111" s="1"/>
  <c r="P20" i="111" s="1"/>
  <c r="K12" i="75"/>
  <c r="L12" i="75" s="1"/>
  <c r="N11" i="75"/>
  <c r="Y11" i="75"/>
  <c r="Y16" i="75" l="1"/>
  <c r="N16" i="75"/>
  <c r="Y15" i="75"/>
  <c r="N15" i="75"/>
  <c r="I32" i="120"/>
  <c r="J30" i="120"/>
  <c r="J32" i="120" s="1"/>
  <c r="O69" i="111" s="1"/>
  <c r="P69" i="111" s="1"/>
  <c r="D12" i="110"/>
  <c r="F12" i="110" s="1"/>
  <c r="Z973" i="87"/>
  <c r="Y973" i="87" s="1"/>
  <c r="X1029" i="89"/>
  <c r="W1029" i="89" s="1"/>
  <c r="Y14" i="75"/>
  <c r="N14" i="75"/>
  <c r="O77" i="111"/>
  <c r="P77" i="111" s="1"/>
  <c r="O58" i="111"/>
  <c r="P58" i="111" s="1"/>
  <c r="O47" i="111"/>
  <c r="P47" i="111" s="1"/>
  <c r="D15" i="110" s="1"/>
  <c r="F15" i="110" s="1"/>
  <c r="O44" i="111"/>
  <c r="P44" i="111" s="1"/>
  <c r="D14" i="110" s="1"/>
  <c r="F14" i="110" s="1"/>
  <c r="Y13" i="75"/>
  <c r="Y18" i="75" s="1"/>
  <c r="N13" i="75"/>
  <c r="Y12" i="75"/>
  <c r="N12" i="75"/>
  <c r="P55" i="111" l="1"/>
  <c r="D17" i="110"/>
  <c r="P74" i="111"/>
  <c r="D18" i="110"/>
  <c r="K12" i="110"/>
  <c r="K32" i="120"/>
  <c r="K15" i="110"/>
  <c r="N18" i="75"/>
  <c r="N22" i="75" s="1"/>
  <c r="Y22" i="75" s="1"/>
  <c r="O49" i="111"/>
  <c r="P49" i="111" s="1"/>
  <c r="D16" i="110" s="1"/>
  <c r="K14" i="110"/>
  <c r="D21" i="110" l="1"/>
  <c r="K21" i="110" s="1"/>
  <c r="K18" i="110"/>
  <c r="F18" i="110"/>
  <c r="K17" i="110"/>
  <c r="F17" i="110"/>
  <c r="P8" i="111"/>
  <c r="P84" i="111"/>
  <c r="P86" i="111" s="1"/>
  <c r="F16" i="110"/>
  <c r="K16" i="110"/>
  <c r="F21" i="110" l="1"/>
  <c r="F26" i="110" s="1"/>
  <c r="D26" i="110"/>
  <c r="K26" i="1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O60" authorId="0" shapeId="0" xr:uid="{51F17378-A177-4F48-A62A-D8D50AEB4A15}">
      <text>
        <r>
          <rPr>
            <b/>
            <sz val="9"/>
            <color indexed="81"/>
            <rFont val="Tahoma"/>
            <family val="2"/>
          </rPr>
          <t>Himal Kosala:</t>
        </r>
        <r>
          <rPr>
            <sz val="9"/>
            <color indexed="81"/>
            <rFont val="Tahoma"/>
            <family val="2"/>
          </rPr>
          <t xml:space="preserve">
Please provide markup drawings, WIRs, and measurement sheets</t>
        </r>
      </text>
    </comment>
    <comment ref="O62" authorId="0" shapeId="0" xr:uid="{DAB6BAF6-4F60-45BA-81C1-A59612670610}">
      <text>
        <r>
          <rPr>
            <b/>
            <sz val="9"/>
            <color indexed="81"/>
            <rFont val="Tahoma"/>
            <family val="2"/>
          </rPr>
          <t>Himal Kosala:</t>
        </r>
        <r>
          <rPr>
            <sz val="9"/>
            <color indexed="81"/>
            <rFont val="Tahoma"/>
            <family val="2"/>
          </rPr>
          <t xml:space="preserve">
Please provide markup drawings, WIRs, and measurement sheets</t>
        </r>
      </text>
    </comment>
    <comment ref="O81" authorId="0" shapeId="0" xr:uid="{4379A922-BCD5-4AEF-BCA1-93359E1A65CA}">
      <text>
        <r>
          <rPr>
            <b/>
            <sz val="9"/>
            <color indexed="81"/>
            <rFont val="Tahoma"/>
            <family val="2"/>
          </rPr>
          <t>Himal Kosala:</t>
        </r>
        <r>
          <rPr>
            <sz val="9"/>
            <color indexed="81"/>
            <rFont val="Tahoma"/>
            <family val="2"/>
          </rPr>
          <t xml:space="preserve">
No certified any due to more work balance at the site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Jayson Balosbalos (APL)</author>
  </authors>
  <commentList>
    <comment ref="J124" authorId="0" shapeId="0" xr:uid="{00000000-0006-0000-0700-000001000000}">
      <text>
        <r>
          <rPr>
            <b/>
            <sz val="9"/>
            <color indexed="81"/>
            <rFont val="Tahoma"/>
            <family val="2"/>
          </rPr>
          <t>Could not be installed removed from scope</t>
        </r>
      </text>
    </comment>
    <comment ref="J140" authorId="0" shapeId="0" xr:uid="{00000000-0006-0000-0700-000002000000}">
      <text>
        <r>
          <rPr>
            <b/>
            <sz val="9"/>
            <color indexed="81"/>
            <rFont val="Tahoma"/>
            <family val="2"/>
          </rPr>
          <t>Could not be installed removed from scope</t>
        </r>
      </text>
    </comment>
    <comment ref="I258" authorId="0" shapeId="0" xr:uid="{00000000-0006-0000-0700-000003000000}">
      <text>
        <r>
          <rPr>
            <b/>
            <sz val="9"/>
            <color indexed="81"/>
            <rFont val="Tahoma"/>
            <family val="2"/>
          </rPr>
          <t>WIR-L10-01250</t>
        </r>
      </text>
    </comment>
    <comment ref="H282" authorId="0" shapeId="0" xr:uid="{00000000-0006-0000-0700-000004000000}">
      <text>
        <r>
          <rPr>
            <b/>
            <sz val="9"/>
            <color indexed="81"/>
            <rFont val="Tahoma"/>
            <family val="2"/>
          </rPr>
          <t>WIR-L13-01246</t>
        </r>
      </text>
    </comment>
    <comment ref="I330" authorId="0" shapeId="0" xr:uid="{00000000-0006-0000-0700-000005000000}">
      <text>
        <r>
          <rPr>
            <b/>
            <sz val="9"/>
            <color indexed="81"/>
            <rFont val="Tahoma"/>
            <family val="2"/>
          </rPr>
          <t>WIR-L19-01252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J9" authorId="0" shapeId="0" xr:uid="{C19ADD7C-59FC-4DC2-9CC1-DED84D1CBF96}">
      <text>
        <r>
          <rPr>
            <b/>
            <sz val="9"/>
            <color indexed="81"/>
            <rFont val="Tahoma"/>
            <family val="2"/>
          </rPr>
          <t>Himal Kosala:</t>
        </r>
        <r>
          <rPr>
            <sz val="9"/>
            <color indexed="81"/>
            <rFont val="Tahoma"/>
            <family val="2"/>
          </rPr>
          <t xml:space="preserve">
WIR not approved, some balance work need to done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Jayson Balosbalos (APL)</author>
    <author>Himal Kosala</author>
  </authors>
  <commentList>
    <comment ref="P6" authorId="0" shapeId="0" xr:uid="{00000000-0006-0000-0B00-000001000000}">
      <text>
        <r>
          <rPr>
            <b/>
            <sz val="9"/>
            <color indexed="81"/>
            <rFont val="Tahoma"/>
            <family val="2"/>
          </rPr>
          <t>(site management team supervision, temporary works, protection works)</t>
        </r>
      </text>
    </comment>
    <comment ref="Q6" authorId="0" shapeId="0" xr:uid="{00000000-0006-0000-0B00-000002000000}">
      <text>
        <r>
          <rPr>
            <b/>
            <sz val="9"/>
            <color indexed="81"/>
            <rFont val="Tahoma"/>
            <family val="2"/>
          </rPr>
          <t>(design and coordination, calculations, 3D model, shop dwg, fabrication dwg.)</t>
        </r>
      </text>
    </comment>
    <comment ref="T13" authorId="1" shapeId="0" xr:uid="{B5B0BB84-E509-49F4-9FEC-1D669BDB7002}">
      <text>
        <r>
          <rPr>
            <b/>
            <sz val="9"/>
            <color indexed="81"/>
            <rFont val="Tahoma"/>
            <family val="2"/>
          </rPr>
          <t>Himal Kosala:</t>
        </r>
        <r>
          <rPr>
            <sz val="9"/>
            <color indexed="81"/>
            <rFont val="Tahoma"/>
            <family val="2"/>
          </rPr>
          <t xml:space="preserve">
No WIR</t>
        </r>
      </text>
    </comment>
    <comment ref="R31" authorId="1" shapeId="0" xr:uid="{1707D6C9-AF6B-48B8-93E2-229B7AA7AE04}">
      <text>
        <r>
          <rPr>
            <b/>
            <sz val="9"/>
            <color indexed="81"/>
            <rFont val="Tahoma"/>
            <family val="2"/>
          </rPr>
          <t>Himal Kosala:</t>
        </r>
        <r>
          <rPr>
            <sz val="9"/>
            <color indexed="81"/>
            <rFont val="Tahoma"/>
            <family val="2"/>
          </rPr>
          <t xml:space="preserve">
Variation amount change why?
Previous amount 142,226.00</t>
        </r>
      </text>
    </comment>
    <comment ref="T40" authorId="1" shapeId="0" xr:uid="{84FE80A7-1B2D-43C7-8B58-79EA3E99580D}">
      <text>
        <r>
          <rPr>
            <b/>
            <sz val="9"/>
            <color indexed="81"/>
            <rFont val="Tahoma"/>
            <family val="2"/>
          </rPr>
          <t>Himal Kosala:</t>
        </r>
        <r>
          <rPr>
            <sz val="9"/>
            <color indexed="81"/>
            <rFont val="Tahoma"/>
            <family val="2"/>
          </rPr>
          <t xml:space="preserve">
No Supporting</t>
        </r>
      </text>
    </comment>
    <comment ref="U44" authorId="1" shapeId="0" xr:uid="{C3E7067E-45B7-47C6-AF65-C004623B5320}">
      <text>
        <r>
          <rPr>
            <b/>
            <sz val="9"/>
            <color indexed="81"/>
            <rFont val="Tahoma"/>
            <family val="2"/>
          </rPr>
          <t>Himal Kosala:</t>
        </r>
        <r>
          <rPr>
            <sz val="9"/>
            <color indexed="81"/>
            <rFont val="Tahoma"/>
            <family val="2"/>
          </rPr>
          <t xml:space="preserve">
90% untiil Variation approval</t>
        </r>
      </text>
    </comment>
  </commentList>
</comments>
</file>

<file path=xl/sharedStrings.xml><?xml version="1.0" encoding="utf-8"?>
<sst xmlns="http://schemas.openxmlformats.org/spreadsheetml/2006/main" count="7956" uniqueCount="3878">
  <si>
    <t>ITEM</t>
  </si>
  <si>
    <t>1</t>
  </si>
  <si>
    <t>Amount</t>
  </si>
  <si>
    <t>PROGRESS</t>
  </si>
  <si>
    <t>C</t>
  </si>
  <si>
    <t>D</t>
  </si>
  <si>
    <t>E</t>
  </si>
  <si>
    <t>B</t>
  </si>
  <si>
    <t>F</t>
  </si>
  <si>
    <t>ITEM NO</t>
  </si>
  <si>
    <t>DESCRIPTION</t>
  </si>
  <si>
    <t>UNIT</t>
  </si>
  <si>
    <t>GRAND TOTAL</t>
  </si>
  <si>
    <t>CONTRACT AMOUNT (DHS)</t>
  </si>
  <si>
    <t>CURRENT               (DHS)</t>
  </si>
  <si>
    <t>PREVIOUS                  (DHS)</t>
  </si>
  <si>
    <t>THIS APPLICATION                           (DHS)</t>
  </si>
  <si>
    <t xml:space="preserve">PROJECT: </t>
  </si>
  <si>
    <t>SUB-CONTRACTOR:</t>
  </si>
  <si>
    <t>DOCUMENT TITLE:</t>
  </si>
  <si>
    <t>SUB-CONTRACT PRICE SUM</t>
  </si>
  <si>
    <t>PACKAGE:</t>
  </si>
  <si>
    <t>QUANT</t>
  </si>
  <si>
    <t>UNIT RATE</t>
  </si>
  <si>
    <t>TOTAL</t>
  </si>
  <si>
    <t>G</t>
  </si>
  <si>
    <t>H</t>
  </si>
  <si>
    <t>To Collection</t>
  </si>
  <si>
    <t>TOTAL CARRIED TO BILL SUMMARY</t>
  </si>
  <si>
    <t>G E N E R A L       S U M M A R Y</t>
  </si>
  <si>
    <t>%</t>
  </si>
  <si>
    <t>ARABIAN PROFILE COMPANY LIMITED</t>
  </si>
  <si>
    <t>SUB-TOTAL</t>
  </si>
  <si>
    <t>A1</t>
  </si>
  <si>
    <t>A2</t>
  </si>
  <si>
    <t>Materials On Site</t>
  </si>
  <si>
    <t>Item
no.</t>
  </si>
  <si>
    <t>Description</t>
  </si>
  <si>
    <t>BOQ
Ref</t>
  </si>
  <si>
    <t>MIR No</t>
  </si>
  <si>
    <t>Delivery
Note. No</t>
  </si>
  <si>
    <t>Unit</t>
  </si>
  <si>
    <t>Amount
(Dhs)</t>
  </si>
  <si>
    <t>Remarks</t>
  </si>
  <si>
    <t>Previous</t>
  </si>
  <si>
    <t>This month</t>
  </si>
  <si>
    <t>To-date</t>
  </si>
  <si>
    <t xml:space="preserve">Total Value of Material </t>
  </si>
  <si>
    <t>SUMMARY:</t>
  </si>
  <si>
    <t>Total Invoice Value
for Material</t>
  </si>
  <si>
    <t>% Delivered</t>
  </si>
  <si>
    <t>Item</t>
  </si>
  <si>
    <t>Date</t>
  </si>
  <si>
    <t>Approx: Rate
(Supply of Materials)</t>
  </si>
  <si>
    <t>The Design and Construction of GRC Cladding</t>
  </si>
  <si>
    <t>GRC CLADDING SYSTEM</t>
  </si>
  <si>
    <t>A</t>
  </si>
  <si>
    <t>2nd and 3rd Levels</t>
  </si>
  <si>
    <t>J</t>
  </si>
  <si>
    <t>K</t>
  </si>
  <si>
    <t>L</t>
  </si>
  <si>
    <t>M</t>
  </si>
  <si>
    <t>Glass reinforced concrete (GRC) edge profile complete with all necessary fixing accessories, supporting frame work, hoisting into position, fixing, sealant between panels and the like all in accordance with specification and drawings</t>
  </si>
  <si>
    <t>800 mm wide GRC Edge profile Type EWS-101</t>
  </si>
  <si>
    <t>Ditto, Curved</t>
  </si>
  <si>
    <t>Apartment 4th and Hotel 4th Levels</t>
  </si>
  <si>
    <t>Apartment 6th and Hotel 7th Levels</t>
  </si>
  <si>
    <t>600 mm wide GRC Edge profile Type EWS-101</t>
  </si>
  <si>
    <t>900 mm wide GRC Edge profile Type EWS-101</t>
  </si>
  <si>
    <t>N</t>
  </si>
  <si>
    <t>P</t>
  </si>
  <si>
    <t>m2</t>
  </si>
  <si>
    <t>excluded</t>
  </si>
  <si>
    <t>lm</t>
  </si>
  <si>
    <t>Balcony Separator</t>
  </si>
  <si>
    <t>Balcony Separator Type EWS-105</t>
  </si>
  <si>
    <t>Apartment Level 6 to 31</t>
  </si>
  <si>
    <t>Reintroduction of the Hotel Balcony area refer to façade commented drawings</t>
  </si>
  <si>
    <t>Nr</t>
  </si>
  <si>
    <t>Structural Steel Support</t>
  </si>
  <si>
    <t>Structural steel support for fixing GRC Works (Epoxy paint finish without fire protection)</t>
  </si>
  <si>
    <t>Scaffold</t>
  </si>
  <si>
    <t>Equipment and aluminium scaffold towers</t>
  </si>
  <si>
    <t>Preliminaries</t>
  </si>
  <si>
    <t>Engineering Works</t>
  </si>
  <si>
    <t>QA / QC &amp; Safety</t>
  </si>
  <si>
    <t>Site Management</t>
  </si>
  <si>
    <t>Finance Cost</t>
  </si>
  <si>
    <t>Additional Items (Structural Steel Support)</t>
  </si>
  <si>
    <t>Project      :  PLOT 18, BUSINESS BAY, DUBAI, PROJECT</t>
  </si>
  <si>
    <t>Sub-Contractor : ARABIAN PROFILE COMPANY LIMITED</t>
  </si>
  <si>
    <t>Contractor : ROBERTS-PIZZAROTTI JV</t>
  </si>
  <si>
    <t>BOQ Qty</t>
  </si>
  <si>
    <t>7th Level - Hotel</t>
  </si>
  <si>
    <t>6th Level - Apartment</t>
  </si>
  <si>
    <t>7th Level - Apartment</t>
  </si>
  <si>
    <t>8th Level - Apartment</t>
  </si>
  <si>
    <t>9th Level - Apartment</t>
  </si>
  <si>
    <t>10th Level - Apartment</t>
  </si>
  <si>
    <t>11th Level - Apartment</t>
  </si>
  <si>
    <t>12th Level - Apartment</t>
  </si>
  <si>
    <t>13th Level - Apartment</t>
  </si>
  <si>
    <t>14th Level - Apartment</t>
  </si>
  <si>
    <t>15th Level - Apartment</t>
  </si>
  <si>
    <t>16th Level - Apartment</t>
  </si>
  <si>
    <t>17th Level - Apartment</t>
  </si>
  <si>
    <t>18th Level - Apartment</t>
  </si>
  <si>
    <t>19th Level - Apartment</t>
  </si>
  <si>
    <t>20th Level - Apartment</t>
  </si>
  <si>
    <t>21st Level - Apartment</t>
  </si>
  <si>
    <t>22nd Level - Apartment</t>
  </si>
  <si>
    <t>23rd Level - Apartment</t>
  </si>
  <si>
    <t>24th Level - Apartment</t>
  </si>
  <si>
    <t>25th Level - Apartment</t>
  </si>
  <si>
    <t>26th Level - Apartment</t>
  </si>
  <si>
    <t>27th Level - Apartment</t>
  </si>
  <si>
    <t>28th Level - Apartment</t>
  </si>
  <si>
    <t>29th Level - Apartment</t>
  </si>
  <si>
    <t>30th Level - Apartment</t>
  </si>
  <si>
    <t>31st Level - Apartment</t>
  </si>
  <si>
    <t>8th Level - Hotel</t>
  </si>
  <si>
    <t>9th Level - Hotel</t>
  </si>
  <si>
    <t>10th Level - Hotel</t>
  </si>
  <si>
    <t>11th Level - Hotel</t>
  </si>
  <si>
    <t>12th Level - Hotel</t>
  </si>
  <si>
    <t>13th Level - Hotel</t>
  </si>
  <si>
    <t>14th Level - Hotel</t>
  </si>
  <si>
    <t>15th Level - Hotel</t>
  </si>
  <si>
    <t>16th Level - Hotel</t>
  </si>
  <si>
    <t>17th Level - Hotel</t>
  </si>
  <si>
    <t>18th Level - Hotel</t>
  </si>
  <si>
    <t>19th Level - Hotel</t>
  </si>
  <si>
    <t>20th Level - Hotel</t>
  </si>
  <si>
    <t>21st Level - Hotel</t>
  </si>
  <si>
    <t>22nd Level - Hotel</t>
  </si>
  <si>
    <t>23rd Level - Hotel</t>
  </si>
  <si>
    <t>24th Level - Hotel</t>
  </si>
  <si>
    <t>25th Level - Hotel</t>
  </si>
  <si>
    <t>26th Level - Hotel</t>
  </si>
  <si>
    <t>27th Level - Hotel</t>
  </si>
  <si>
    <t>28th Level - Hotel</t>
  </si>
  <si>
    <t>29th Level - Hotel</t>
  </si>
  <si>
    <r>
      <t xml:space="preserve">PROJECT: </t>
    </r>
    <r>
      <rPr>
        <b/>
        <sz val="12"/>
        <color indexed="8"/>
        <rFont val="Calibri"/>
        <family val="2"/>
      </rPr>
      <t>PLOT 18, BUSINESS BAY, DUBAI, PROJECT</t>
    </r>
  </si>
  <si>
    <r>
      <t xml:space="preserve">SUB-CONTRACTOR: </t>
    </r>
    <r>
      <rPr>
        <b/>
        <sz val="12"/>
        <color indexed="8"/>
        <rFont val="Calibri"/>
        <family val="2"/>
      </rPr>
      <t>ARABIAN PROFILE COMPANY LIMITED</t>
    </r>
  </si>
  <si>
    <r>
      <t xml:space="preserve">DOCUMENT TITLE: </t>
    </r>
    <r>
      <rPr>
        <b/>
        <sz val="10"/>
        <rFont val="Arial"/>
        <family val="2"/>
      </rPr>
      <t>SUB-CONTRACT PRICE SUM</t>
    </r>
  </si>
  <si>
    <t>Hotel Level 8th to 29th</t>
  </si>
  <si>
    <t>GRC Panel (600 mm wide GRC Edge profile Type EWS-101) - Apartment 6th and Hotel 7th Levels</t>
  </si>
  <si>
    <t>Apartment 7th to 31st Levels</t>
  </si>
  <si>
    <t>GRC Panel (600 mm wide GRC Edge profile Type EWS-101) - Apartment 7th to 31st Levels &amp; Hotel Level 8th to 29th</t>
  </si>
  <si>
    <t>GRC Panel (800 mm wide GRC Edge profile Type EWS-101) - 2nd and 3rd Levels &amp; Apartment 4th and Hotel 4th Levels</t>
  </si>
  <si>
    <t>Hotel Level 7th to 29th</t>
  </si>
  <si>
    <t>GRC Panel (900 mm wide GRC Edge profile Type EWS-101) - Apartment 7th to 31st Levels &amp; Hotel Level 7th to 29th</t>
  </si>
  <si>
    <t>G&amp;L</t>
  </si>
  <si>
    <t>J&amp;N</t>
  </si>
  <si>
    <t>Subject: VARIATION AND CLAIMS SCHEDULE</t>
  </si>
  <si>
    <t>Ref No.</t>
  </si>
  <si>
    <t>Brief Description of Change</t>
  </si>
  <si>
    <t>Reason to Claim
(Instruction / Notice)</t>
  </si>
  <si>
    <t>Site Work Status</t>
  </si>
  <si>
    <t>APL Statement</t>
  </si>
  <si>
    <t>Status</t>
  </si>
  <si>
    <t>Instruction / Drawing / Letter</t>
  </si>
  <si>
    <t>SI /
Letter Ref.</t>
  </si>
  <si>
    <t>EI / VR</t>
  </si>
  <si>
    <t>Start / Finish</t>
  </si>
  <si>
    <t>VO No.</t>
  </si>
  <si>
    <t>APL Letter
References</t>
  </si>
  <si>
    <t>Time Impact</t>
  </si>
  <si>
    <t>SUB - TOTAL</t>
  </si>
  <si>
    <t>Project: Plot 18, Business Bay, Dubai, Project</t>
  </si>
  <si>
    <t>Total Value</t>
  </si>
  <si>
    <t>Redesign of Brackets</t>
  </si>
  <si>
    <t>079</t>
  </si>
  <si>
    <t>Engineering, Procurement &amp; Installation Works for the Additional GRC Panel</t>
  </si>
  <si>
    <t>Engineering, Procurement &amp; Installation Works for the Additional Steel Support Bracket for GRC Edge Panel</t>
  </si>
  <si>
    <t>Delivered</t>
  </si>
  <si>
    <t>PACKAGE: The Design and Construction of GRC Cladding System at Plot 18, Business Bay, Dubai, Project</t>
  </si>
  <si>
    <t>Length</t>
  </si>
  <si>
    <t>Projected Progress</t>
  </si>
  <si>
    <t>D.N. No.</t>
  </si>
  <si>
    <t>1547, 1553</t>
  </si>
  <si>
    <t>131,132</t>
  </si>
  <si>
    <t>018</t>
  </si>
  <si>
    <t>021</t>
  </si>
  <si>
    <t>1165</t>
  </si>
  <si>
    <t>022</t>
  </si>
  <si>
    <t>1168</t>
  </si>
  <si>
    <t>023</t>
  </si>
  <si>
    <t>1171</t>
  </si>
  <si>
    <t>026</t>
  </si>
  <si>
    <t>027</t>
  </si>
  <si>
    <t>1180</t>
  </si>
  <si>
    <t>028</t>
  </si>
  <si>
    <t>029</t>
  </si>
  <si>
    <t>030</t>
  </si>
  <si>
    <t>031</t>
  </si>
  <si>
    <t>033</t>
  </si>
  <si>
    <t>034</t>
  </si>
  <si>
    <t>037</t>
  </si>
  <si>
    <t>039</t>
  </si>
  <si>
    <t>040</t>
  </si>
  <si>
    <t>041</t>
  </si>
  <si>
    <t>042</t>
  </si>
  <si>
    <t>1208</t>
  </si>
  <si>
    <t>043</t>
  </si>
  <si>
    <t>1214</t>
  </si>
  <si>
    <t>046</t>
  </si>
  <si>
    <t>047</t>
  </si>
  <si>
    <t>048</t>
  </si>
  <si>
    <t>057</t>
  </si>
  <si>
    <t>1238</t>
  </si>
  <si>
    <t>058</t>
  </si>
  <si>
    <t>060</t>
  </si>
  <si>
    <t>061</t>
  </si>
  <si>
    <t>062</t>
  </si>
  <si>
    <t>063</t>
  </si>
  <si>
    <t>064</t>
  </si>
  <si>
    <t>065</t>
  </si>
  <si>
    <t>066</t>
  </si>
  <si>
    <t>067</t>
  </si>
  <si>
    <t>068</t>
  </si>
  <si>
    <t>1267</t>
  </si>
  <si>
    <t>069</t>
  </si>
  <si>
    <t>1271</t>
  </si>
  <si>
    <t>070</t>
  </si>
  <si>
    <t>1272</t>
  </si>
  <si>
    <t>071</t>
  </si>
  <si>
    <t>072</t>
  </si>
  <si>
    <t>073</t>
  </si>
  <si>
    <t>074</t>
  </si>
  <si>
    <t>075</t>
  </si>
  <si>
    <t>076</t>
  </si>
  <si>
    <t>1289, 1291</t>
  </si>
  <si>
    <t>077</t>
  </si>
  <si>
    <t>1294, 1296</t>
  </si>
  <si>
    <t>078</t>
  </si>
  <si>
    <t>080</t>
  </si>
  <si>
    <t>081</t>
  </si>
  <si>
    <t>1316</t>
  </si>
  <si>
    <t>082</t>
  </si>
  <si>
    <t>083</t>
  </si>
  <si>
    <t>084</t>
  </si>
  <si>
    <t>083, 084</t>
  </si>
  <si>
    <t>1316, 1322</t>
  </si>
  <si>
    <t>082, 084</t>
  </si>
  <si>
    <t>096</t>
  </si>
  <si>
    <t>097</t>
  </si>
  <si>
    <t>1294, 1386</t>
  </si>
  <si>
    <t>077, 097</t>
  </si>
  <si>
    <t>1311, 1386</t>
  </si>
  <si>
    <t>081, 097</t>
  </si>
  <si>
    <t>098</t>
  </si>
  <si>
    <t>1241,1390</t>
  </si>
  <si>
    <t>058,098</t>
  </si>
  <si>
    <t>1386,1395</t>
  </si>
  <si>
    <t>097,099</t>
  </si>
  <si>
    <t>099</t>
  </si>
  <si>
    <t>100</t>
  </si>
  <si>
    <t>1386, 1405</t>
  </si>
  <si>
    <t>097, 100</t>
  </si>
  <si>
    <t>1386,1405</t>
  </si>
  <si>
    <t>097,100</t>
  </si>
  <si>
    <t>1391,1405</t>
  </si>
  <si>
    <t>098,100</t>
  </si>
  <si>
    <t>101</t>
  </si>
  <si>
    <t>101,102</t>
  </si>
  <si>
    <t>1408,1413</t>
  </si>
  <si>
    <t>102</t>
  </si>
  <si>
    <t>097,104</t>
  </si>
  <si>
    <t>1386,1416</t>
  </si>
  <si>
    <t>1386,1419</t>
  </si>
  <si>
    <t>097,105</t>
  </si>
  <si>
    <t>1428,1437</t>
  </si>
  <si>
    <t>106,107</t>
  </si>
  <si>
    <t>1386,1437</t>
  </si>
  <si>
    <t>097,107</t>
  </si>
  <si>
    <t>1428,1444</t>
  </si>
  <si>
    <t>106,108</t>
  </si>
  <si>
    <t>1419,1450</t>
  </si>
  <si>
    <t>105,110</t>
  </si>
  <si>
    <t>1437,1450</t>
  </si>
  <si>
    <t>107,110</t>
  </si>
  <si>
    <t>1386,1458</t>
  </si>
  <si>
    <t>097,112</t>
  </si>
  <si>
    <t>1419,1463</t>
  </si>
  <si>
    <t>105,113</t>
  </si>
  <si>
    <t>1450,1465</t>
  </si>
  <si>
    <t>110,114</t>
  </si>
  <si>
    <t>1419,1471</t>
  </si>
  <si>
    <t>105,116</t>
  </si>
  <si>
    <t>1453,1471</t>
  </si>
  <si>
    <t>111,116</t>
  </si>
  <si>
    <t>1471,1529</t>
  </si>
  <si>
    <t>1308, 1311,1494</t>
  </si>
  <si>
    <t>080,081,125</t>
  </si>
  <si>
    <t>1386,1419,1444</t>
  </si>
  <si>
    <t>1419,1473</t>
  </si>
  <si>
    <t>1473,1416</t>
  </si>
  <si>
    <t>1428,1471,1474</t>
  </si>
  <si>
    <t>1472,1481</t>
  </si>
  <si>
    <t>1473,1481</t>
  </si>
  <si>
    <t>1486,1156</t>
  </si>
  <si>
    <t>1473,1496</t>
  </si>
  <si>
    <t>052,118</t>
  </si>
  <si>
    <t>118</t>
  </si>
  <si>
    <t>105,118</t>
  </si>
  <si>
    <t>106,116,118</t>
  </si>
  <si>
    <t>118,121</t>
  </si>
  <si>
    <t>171,121</t>
  </si>
  <si>
    <t>018,123</t>
  </si>
  <si>
    <t>1505,1553</t>
  </si>
  <si>
    <t>127,132</t>
  </si>
  <si>
    <t>1505,1525</t>
  </si>
  <si>
    <t>127,128</t>
  </si>
  <si>
    <t>1171,1579</t>
  </si>
  <si>
    <t>1214,1579</t>
  </si>
  <si>
    <t>1191</t>
  </si>
  <si>
    <t>1471</t>
  </si>
  <si>
    <r>
      <rPr>
        <b/>
        <sz val="10"/>
        <rFont val="Arial"/>
        <family val="2"/>
      </rPr>
      <t>Approx.
BOQ Qty</t>
    </r>
    <r>
      <rPr>
        <b/>
        <sz val="10"/>
        <color indexed="13"/>
        <rFont val="Arial"/>
        <family val="2"/>
      </rPr>
      <t xml:space="preserve">
(Residential)</t>
    </r>
  </si>
  <si>
    <r>
      <rPr>
        <b/>
        <sz val="10"/>
        <rFont val="Arial"/>
        <family val="2"/>
      </rPr>
      <t>Approx.
BOQ Qty</t>
    </r>
    <r>
      <rPr>
        <b/>
        <sz val="10"/>
        <color indexed="40"/>
        <rFont val="Arial"/>
        <family val="2"/>
      </rPr>
      <t xml:space="preserve">
(Hotel)</t>
    </r>
  </si>
  <si>
    <t>Approx.
BOQ Qty</t>
  </si>
  <si>
    <t>MOS Applied
for Certification</t>
  </si>
  <si>
    <t>BOQ Rate</t>
  </si>
  <si>
    <t>Apartment 6th to 31st Levels</t>
  </si>
  <si>
    <t>Hotel Level 7th to 29th (600mm)</t>
  </si>
  <si>
    <t>nos</t>
  </si>
  <si>
    <t>Nos.</t>
  </si>
  <si>
    <t>Sum</t>
  </si>
  <si>
    <t>1553, 1577</t>
  </si>
  <si>
    <t>1553,1625</t>
  </si>
  <si>
    <t>1634,1637</t>
  </si>
  <si>
    <t>1553,1639</t>
  </si>
  <si>
    <t>1634,1639</t>
  </si>
  <si>
    <t>132,145</t>
  </si>
  <si>
    <t>146,147</t>
  </si>
  <si>
    <t>132,147</t>
  </si>
  <si>
    <t>1639,1645</t>
  </si>
  <si>
    <t>147,148</t>
  </si>
  <si>
    <t>1463,1645</t>
  </si>
  <si>
    <t>113,148</t>
  </si>
  <si>
    <t>1619,1625,1648</t>
  </si>
  <si>
    <t>1499,1652</t>
  </si>
  <si>
    <t>1630,1660</t>
  </si>
  <si>
    <t>1591,1663</t>
  </si>
  <si>
    <t>1650,1672</t>
  </si>
  <si>
    <t>1543,1672</t>
  </si>
  <si>
    <t>1637,1672</t>
  </si>
  <si>
    <t>1622,1672</t>
  </si>
  <si>
    <t>1639,1659</t>
  </si>
  <si>
    <t>1660,1659</t>
  </si>
  <si>
    <t>053</t>
  </si>
  <si>
    <t>048,053</t>
  </si>
  <si>
    <t>054</t>
  </si>
  <si>
    <t>1168,1231</t>
  </si>
  <si>
    <t>023'054</t>
  </si>
  <si>
    <t>149</t>
  </si>
  <si>
    <t>126,149</t>
  </si>
  <si>
    <t>147,150</t>
  </si>
  <si>
    <t>146'150</t>
  </si>
  <si>
    <t>146,150</t>
  </si>
  <si>
    <t>140</t>
  </si>
  <si>
    <t>146,152</t>
  </si>
  <si>
    <t>144,152</t>
  </si>
  <si>
    <t>147,152</t>
  </si>
  <si>
    <t>130,152</t>
  </si>
  <si>
    <t>149,152</t>
  </si>
  <si>
    <t>1684,1686</t>
  </si>
  <si>
    <t>1619,1686</t>
  </si>
  <si>
    <t>144,154</t>
  </si>
  <si>
    <t>1686,1693</t>
  </si>
  <si>
    <t>154,155</t>
  </si>
  <si>
    <t>1553,1695</t>
  </si>
  <si>
    <t>132,155</t>
  </si>
  <si>
    <t>1693,1695</t>
  </si>
  <si>
    <t>1686,1693'1695</t>
  </si>
  <si>
    <t>Quantity Take Off- Hotel ( Tower )</t>
  </si>
  <si>
    <t>S. No.</t>
  </si>
  <si>
    <t>Width</t>
  </si>
  <si>
    <t>Floor Level</t>
  </si>
  <si>
    <t>CODE</t>
  </si>
  <si>
    <t>Qty</t>
  </si>
  <si>
    <t>Mat'l On Site</t>
  </si>
  <si>
    <t>Work Done</t>
  </si>
  <si>
    <t>EWS-101</t>
  </si>
  <si>
    <t>900mm</t>
  </si>
  <si>
    <t>H7-N/24</t>
  </si>
  <si>
    <t>H7-N/25</t>
  </si>
  <si>
    <t>H7-N/26</t>
  </si>
  <si>
    <t>H7-N/27</t>
  </si>
  <si>
    <t xml:space="preserve">TOTAL </t>
  </si>
  <si>
    <t>H8-N/24</t>
  </si>
  <si>
    <t>H8-N/25</t>
  </si>
  <si>
    <t>H8-N/26</t>
  </si>
  <si>
    <t>H8-N/27</t>
  </si>
  <si>
    <t>H9-N/25</t>
  </si>
  <si>
    <t>H9-N/26</t>
  </si>
  <si>
    <t>H9-N/27</t>
  </si>
  <si>
    <t>H9-N/28</t>
  </si>
  <si>
    <t>H10-N/25</t>
  </si>
  <si>
    <t>H10-N/26</t>
  </si>
  <si>
    <t>H10-N/27</t>
  </si>
  <si>
    <t>H10-N/28</t>
  </si>
  <si>
    <t>H11-N/24</t>
  </si>
  <si>
    <t>H11-N/25</t>
  </si>
  <si>
    <t>H11-N/26</t>
  </si>
  <si>
    <t>H11-N/27</t>
  </si>
  <si>
    <t>H13-N/39</t>
  </si>
  <si>
    <t>H13-N/40</t>
  </si>
  <si>
    <t>H13-N/41</t>
  </si>
  <si>
    <t>H13-N/42</t>
  </si>
  <si>
    <t>H14-N/29</t>
  </si>
  <si>
    <t>H14-N/30</t>
  </si>
  <si>
    <t>H14-N/31</t>
  </si>
  <si>
    <t>H14-N/32</t>
  </si>
  <si>
    <t>H15-N/39</t>
  </si>
  <si>
    <t>H15-N/40</t>
  </si>
  <si>
    <t>H15-N/41</t>
  </si>
  <si>
    <t>H15-N/42</t>
  </si>
  <si>
    <t>H16-N/29</t>
  </si>
  <si>
    <t>H16-N/30</t>
  </si>
  <si>
    <t>H16-N/31</t>
  </si>
  <si>
    <t>H16-N/32</t>
  </si>
  <si>
    <t>H18-N/21</t>
  </si>
  <si>
    <t>H18-N/22</t>
  </si>
  <si>
    <t>H18-N/23</t>
  </si>
  <si>
    <t>H18-N/24</t>
  </si>
  <si>
    <t>H19-N/20</t>
  </si>
  <si>
    <t>H19-N/21</t>
  </si>
  <si>
    <t>H19-N/22</t>
  </si>
  <si>
    <t>H19-N/23</t>
  </si>
  <si>
    <t>H20-N/21</t>
  </si>
  <si>
    <t>H20-N/22</t>
  </si>
  <si>
    <t>H20-N/23</t>
  </si>
  <si>
    <t>H20-N/24</t>
  </si>
  <si>
    <t>H21-N/20</t>
  </si>
  <si>
    <t>H21-N/21</t>
  </si>
  <si>
    <t>H21-N/22</t>
  </si>
  <si>
    <t>H21-N/23</t>
  </si>
  <si>
    <t>H22-N/21</t>
  </si>
  <si>
    <t>H22-N/22</t>
  </si>
  <si>
    <t>H22-N/23</t>
  </si>
  <si>
    <t>H22-N/24</t>
  </si>
  <si>
    <t>H23-N/21</t>
  </si>
  <si>
    <t>H23-N/22</t>
  </si>
  <si>
    <t>H23-N/23</t>
  </si>
  <si>
    <t>H23-N/24</t>
  </si>
  <si>
    <t>H25-N/30</t>
  </si>
  <si>
    <t>H25-N/31</t>
  </si>
  <si>
    <t>H25-N/32</t>
  </si>
  <si>
    <t>H25-N/33</t>
  </si>
  <si>
    <t>H26-N/29</t>
  </si>
  <si>
    <t>H26-N/30</t>
  </si>
  <si>
    <t>H26-N/31</t>
  </si>
  <si>
    <t>H26-N/32</t>
  </si>
  <si>
    <t>H27-N/30</t>
  </si>
  <si>
    <t>H27-N/31</t>
  </si>
  <si>
    <t>H27-N/32</t>
  </si>
  <si>
    <t>H27-N/33</t>
  </si>
  <si>
    <t>Quantity Take Off- Service Apartment ( Tower )</t>
  </si>
  <si>
    <t>R6-N/21</t>
  </si>
  <si>
    <t>R6-N/22</t>
  </si>
  <si>
    <t>R6-N/23</t>
  </si>
  <si>
    <t>R6-N/24</t>
  </si>
  <si>
    <t>R7-N/18</t>
  </si>
  <si>
    <t>R7-N/19</t>
  </si>
  <si>
    <t>R7-N/31</t>
  </si>
  <si>
    <t>R7-N/32</t>
  </si>
  <si>
    <t>R7-N/33</t>
  </si>
  <si>
    <t>R7-N/34</t>
  </si>
  <si>
    <t>R8-N/21</t>
  </si>
  <si>
    <t>R8-N/22</t>
  </si>
  <si>
    <t>R8-N/23</t>
  </si>
  <si>
    <t>R8-N/24</t>
  </si>
  <si>
    <t>R8-N/36</t>
  </si>
  <si>
    <t>R8-N/37</t>
  </si>
  <si>
    <t>R8-N/38</t>
  </si>
  <si>
    <t>R8-N/39</t>
  </si>
  <si>
    <t>R9-N/18</t>
  </si>
  <si>
    <t>R9-N/19</t>
  </si>
  <si>
    <t>R9-N/31</t>
  </si>
  <si>
    <t>R9-N/32</t>
  </si>
  <si>
    <t>R9-N/33</t>
  </si>
  <si>
    <t>R9-N/34</t>
  </si>
  <si>
    <t>R10-N/36</t>
  </si>
  <si>
    <t>R10-N/37</t>
  </si>
  <si>
    <t>R10-N/38</t>
  </si>
  <si>
    <t>R10-N/39</t>
  </si>
  <si>
    <t>R11-N/16</t>
  </si>
  <si>
    <t>R11-N/17</t>
  </si>
  <si>
    <t>R11-N/18</t>
  </si>
  <si>
    <t>R11-N/19</t>
  </si>
  <si>
    <t>R12-N/24</t>
  </si>
  <si>
    <t>R12-N/25</t>
  </si>
  <si>
    <t>R12-N/26</t>
  </si>
  <si>
    <t>R12-N/27</t>
  </si>
  <si>
    <t>R13-N/09</t>
  </si>
  <si>
    <t>R13-N/10</t>
  </si>
  <si>
    <t>R13-N/11</t>
  </si>
  <si>
    <t>R13-N/12</t>
  </si>
  <si>
    <t>R14-N/24</t>
  </si>
  <si>
    <t>R14-N/25</t>
  </si>
  <si>
    <t>R14-N/26</t>
  </si>
  <si>
    <t>R14-N/27</t>
  </si>
  <si>
    <t>R15-N/09</t>
  </si>
  <si>
    <t>R15-N/10</t>
  </si>
  <si>
    <t>R15-N/11</t>
  </si>
  <si>
    <t>R15-N/12</t>
  </si>
  <si>
    <t>R16-N/24</t>
  </si>
  <si>
    <t>R16-N/25</t>
  </si>
  <si>
    <t>R16-N/26</t>
  </si>
  <si>
    <t>R16-N/27</t>
  </si>
  <si>
    <t>R17-N/09</t>
  </si>
  <si>
    <t>R17-N/10</t>
  </si>
  <si>
    <t>R17-N/11</t>
  </si>
  <si>
    <t>R17-N/12</t>
  </si>
  <si>
    <t>R19-N/11</t>
  </si>
  <si>
    <t>R19-N/12</t>
  </si>
  <si>
    <t>R19-N/13</t>
  </si>
  <si>
    <t>R19-N/14</t>
  </si>
  <si>
    <t>R20-N/05</t>
  </si>
  <si>
    <t>R20-N/06</t>
  </si>
  <si>
    <t>R20-N/07</t>
  </si>
  <si>
    <t>R20-N/08</t>
  </si>
  <si>
    <t>R21-N/11</t>
  </si>
  <si>
    <t>R21-N/12</t>
  </si>
  <si>
    <t>R21-N/13</t>
  </si>
  <si>
    <t>R21-N/14</t>
  </si>
  <si>
    <t>R26-N/21</t>
  </si>
  <si>
    <t>R26-N/22</t>
  </si>
  <si>
    <t>R26-N/23</t>
  </si>
  <si>
    <t>R26-N/24</t>
  </si>
  <si>
    <t>R27-N/20</t>
  </si>
  <si>
    <t>R27-N/21</t>
  </si>
  <si>
    <t>R27-N/22</t>
  </si>
  <si>
    <t>R27-N/23</t>
  </si>
  <si>
    <t>R28-N/17</t>
  </si>
  <si>
    <t>R28-N/18</t>
  </si>
  <si>
    <t>R28-N/19</t>
  </si>
  <si>
    <t>R28-N/20</t>
  </si>
  <si>
    <t>With corner panel</t>
  </si>
  <si>
    <t>R6-N/01</t>
  </si>
  <si>
    <t>R6-N/02</t>
  </si>
  <si>
    <t>R6-N/03</t>
  </si>
  <si>
    <t>R6-N/04</t>
  </si>
  <si>
    <t>R6-N/05</t>
  </si>
  <si>
    <t>R6-N/06</t>
  </si>
  <si>
    <t>R6-N/07</t>
  </si>
  <si>
    <t>R6-N/08</t>
  </si>
  <si>
    <t>R6-N/09</t>
  </si>
  <si>
    <t>R6-N/10</t>
  </si>
  <si>
    <t>R6-N/11</t>
  </si>
  <si>
    <t>R6-N/12</t>
  </si>
  <si>
    <t>R6-N/13</t>
  </si>
  <si>
    <t>R6-N/14</t>
  </si>
  <si>
    <t>R6-N/15</t>
  </si>
  <si>
    <t>R6-N/16</t>
  </si>
  <si>
    <t>R6-N/17</t>
  </si>
  <si>
    <t>R6-N/18</t>
  </si>
  <si>
    <t>Curve with C Panel</t>
  </si>
  <si>
    <t>R6-N/19</t>
  </si>
  <si>
    <t>R6-N/20</t>
  </si>
  <si>
    <t>refer to SA - 900mm(Qty) worksheet</t>
  </si>
  <si>
    <t>R6-N/25</t>
  </si>
  <si>
    <t>R6-N/26</t>
  </si>
  <si>
    <t>R6-N/27</t>
  </si>
  <si>
    <t>R6-N/28</t>
  </si>
  <si>
    <t>R6-N/29</t>
  </si>
  <si>
    <t>R6-N/30</t>
  </si>
  <si>
    <t>R6-N/31</t>
  </si>
  <si>
    <t>R6-N/32</t>
  </si>
  <si>
    <t>R6-N/33</t>
  </si>
  <si>
    <t>R6-N/34</t>
  </si>
  <si>
    <t>R6-N/35</t>
  </si>
  <si>
    <t>R6-N/36</t>
  </si>
  <si>
    <t>R6-N/37</t>
  </si>
  <si>
    <t>R6-N/38</t>
  </si>
  <si>
    <t>R6-N/39</t>
  </si>
  <si>
    <t>R6-N/40</t>
  </si>
  <si>
    <t>R6-N/41</t>
  </si>
  <si>
    <t>R6-N/42</t>
  </si>
  <si>
    <t>R6-N/43</t>
  </si>
  <si>
    <t>R6-N/44</t>
  </si>
  <si>
    <t>R6-N/45</t>
  </si>
  <si>
    <t>R6-N/46</t>
  </si>
  <si>
    <t>R6-N/47</t>
  </si>
  <si>
    <t>R6-N/48</t>
  </si>
  <si>
    <t>R6-N/49</t>
  </si>
  <si>
    <t>R6-N/50</t>
  </si>
  <si>
    <t>R7-N/01</t>
  </si>
  <si>
    <t>R7-N/02</t>
  </si>
  <si>
    <t>R7-N/03</t>
  </si>
  <si>
    <t>R7-N/04</t>
  </si>
  <si>
    <t>R7-N/05</t>
  </si>
  <si>
    <t>R7-N/06</t>
  </si>
  <si>
    <t>R7-N/07</t>
  </si>
  <si>
    <t>R7-N/08</t>
  </si>
  <si>
    <t>R7-N/09</t>
  </si>
  <si>
    <t>R7-N/10</t>
  </si>
  <si>
    <t>R7-N/11</t>
  </si>
  <si>
    <t>R7-N/12</t>
  </si>
  <si>
    <t>R7-N/13</t>
  </si>
  <si>
    <t>R7-N/14</t>
  </si>
  <si>
    <t>R7-N/15</t>
  </si>
  <si>
    <t>R7-N/16</t>
  </si>
  <si>
    <t>Curve with flat panel</t>
  </si>
  <si>
    <t>R7-N/17</t>
  </si>
  <si>
    <t>R7-N/20</t>
  </si>
  <si>
    <t>R7-N/21</t>
  </si>
  <si>
    <t>R7-N/22</t>
  </si>
  <si>
    <t>R7-N/23</t>
  </si>
  <si>
    <t>R7-N/24</t>
  </si>
  <si>
    <t>R7-N/25</t>
  </si>
  <si>
    <t>R7-N/26</t>
  </si>
  <si>
    <t>R7-N/27</t>
  </si>
  <si>
    <t>R7-N/28</t>
  </si>
  <si>
    <t>R7-N/29</t>
  </si>
  <si>
    <t>R7-N/30</t>
  </si>
  <si>
    <t>R7-N/35</t>
  </si>
  <si>
    <t>R7-N/36</t>
  </si>
  <si>
    <t>R7-N/37</t>
  </si>
  <si>
    <t>R7-N/38</t>
  </si>
  <si>
    <t>R7-N/39</t>
  </si>
  <si>
    <t>R7-N/40</t>
  </si>
  <si>
    <t>R7-N/41</t>
  </si>
  <si>
    <t>R7-N/42</t>
  </si>
  <si>
    <t>R7-N/43</t>
  </si>
  <si>
    <t>R7-N/44</t>
  </si>
  <si>
    <t>R7-N/45</t>
  </si>
  <si>
    <t>R8-N/01</t>
  </si>
  <si>
    <t>R8-N/02</t>
  </si>
  <si>
    <t>R8-N/03</t>
  </si>
  <si>
    <t>R8-N/04</t>
  </si>
  <si>
    <t>R8-N/05</t>
  </si>
  <si>
    <t>R8-N/06</t>
  </si>
  <si>
    <t>R8-N/07</t>
  </si>
  <si>
    <t>R8-N/08</t>
  </si>
  <si>
    <t>R8-N/09</t>
  </si>
  <si>
    <t>R8-N/10</t>
  </si>
  <si>
    <t>R8-N/11</t>
  </si>
  <si>
    <t>R8-N/12</t>
  </si>
  <si>
    <t>R8-N/13</t>
  </si>
  <si>
    <t>R8-N/14</t>
  </si>
  <si>
    <t>R8-N/15</t>
  </si>
  <si>
    <t>R8-N/16</t>
  </si>
  <si>
    <t>R8-N/17</t>
  </si>
  <si>
    <t>R8-N/18</t>
  </si>
  <si>
    <t>R8-N/19</t>
  </si>
  <si>
    <t>R8-N/20</t>
  </si>
  <si>
    <t>R8-N/25</t>
  </si>
  <si>
    <t>R8-N/26</t>
  </si>
  <si>
    <t>R8-N/27</t>
  </si>
  <si>
    <t>R8-N/28</t>
  </si>
  <si>
    <t>R8-N/29</t>
  </si>
  <si>
    <t>R8-N/30</t>
  </si>
  <si>
    <t>R8-N/31</t>
  </si>
  <si>
    <t>R8-N/32</t>
  </si>
  <si>
    <t>R8-N/33</t>
  </si>
  <si>
    <t>R8-N/34</t>
  </si>
  <si>
    <t>R8-N/35</t>
  </si>
  <si>
    <t>R8-N/40</t>
  </si>
  <si>
    <t>R8-N/41</t>
  </si>
  <si>
    <t>R8-N/42</t>
  </si>
  <si>
    <t>R8-N/43</t>
  </si>
  <si>
    <t>R9-N/01</t>
  </si>
  <si>
    <t>R9-N/02</t>
  </si>
  <si>
    <t>R9-N/03</t>
  </si>
  <si>
    <t>R9-N/04</t>
  </si>
  <si>
    <t>R9-N/05</t>
  </si>
  <si>
    <t>R9-N/06</t>
  </si>
  <si>
    <t>R9-N/07</t>
  </si>
  <si>
    <t>R9-N/08</t>
  </si>
  <si>
    <t>R9-N/09</t>
  </si>
  <si>
    <t>R9-N/10</t>
  </si>
  <si>
    <t>R9-N/11</t>
  </si>
  <si>
    <t>R9-N/12</t>
  </si>
  <si>
    <t>R9-N/13</t>
  </si>
  <si>
    <t>R9-N/14</t>
  </si>
  <si>
    <t>R9-N/15</t>
  </si>
  <si>
    <t>R9-N/16</t>
  </si>
  <si>
    <t>R9-N/17</t>
  </si>
  <si>
    <t>R9-N/20</t>
  </si>
  <si>
    <t>R9-N/21</t>
  </si>
  <si>
    <t>R9-N/22</t>
  </si>
  <si>
    <t>R9-N/23</t>
  </si>
  <si>
    <t>R9-N/24</t>
  </si>
  <si>
    <t>R9-N/25</t>
  </si>
  <si>
    <t>R9-N/26</t>
  </si>
  <si>
    <t>R9-N/27</t>
  </si>
  <si>
    <t>R9-N/28</t>
  </si>
  <si>
    <t>R9-N/29</t>
  </si>
  <si>
    <t>R9-N/30</t>
  </si>
  <si>
    <t>R9-N/35</t>
  </si>
  <si>
    <t>R9-N/36</t>
  </si>
  <si>
    <t>R9-N/37</t>
  </si>
  <si>
    <t>R9-N/38</t>
  </si>
  <si>
    <t>R9-N/39</t>
  </si>
  <si>
    <t>Corner panel</t>
  </si>
  <si>
    <t>R9-N/40</t>
  </si>
  <si>
    <t>R9-N/41</t>
  </si>
  <si>
    <t>R9-N/42</t>
  </si>
  <si>
    <t>R9-N/43</t>
  </si>
  <si>
    <t>R9-N/44</t>
  </si>
  <si>
    <t>R9-N/45</t>
  </si>
  <si>
    <t>R10-N/01</t>
  </si>
  <si>
    <t>R10-N/02</t>
  </si>
  <si>
    <t>R10-N/03</t>
  </si>
  <si>
    <t>R10-N/04</t>
  </si>
  <si>
    <t>R10-N/05</t>
  </si>
  <si>
    <t>R10-N/06</t>
  </si>
  <si>
    <t>R10-N/07</t>
  </si>
  <si>
    <t>R10-N/08</t>
  </si>
  <si>
    <t>R10-N/09</t>
  </si>
  <si>
    <t>R10-N/10</t>
  </si>
  <si>
    <t>R10-N/11</t>
  </si>
  <si>
    <t>R10-N/12</t>
  </si>
  <si>
    <t>R10-N/13</t>
  </si>
  <si>
    <t>R10-N/14</t>
  </si>
  <si>
    <t>R10-N/15</t>
  </si>
  <si>
    <t>R10-N/16</t>
  </si>
  <si>
    <t>R10-N/17</t>
  </si>
  <si>
    <t>R10-N/18</t>
  </si>
  <si>
    <t>Curve Panel</t>
  </si>
  <si>
    <t>R10-N/19</t>
  </si>
  <si>
    <t>R10-N/20</t>
  </si>
  <si>
    <t>R10-N/21</t>
  </si>
  <si>
    <t>R10-N/22</t>
  </si>
  <si>
    <t>R10-N/23</t>
  </si>
  <si>
    <t>R10-N/24</t>
  </si>
  <si>
    <t>R10-N/25</t>
  </si>
  <si>
    <t>R10-N/26</t>
  </si>
  <si>
    <t>R10-N/27</t>
  </si>
  <si>
    <t>R10-N/28</t>
  </si>
  <si>
    <t>R10-N/29</t>
  </si>
  <si>
    <t>R10-N/30</t>
  </si>
  <si>
    <t>R10-N/31</t>
  </si>
  <si>
    <t>R10-N/32</t>
  </si>
  <si>
    <t>R10-N/33</t>
  </si>
  <si>
    <t>R10-N/34</t>
  </si>
  <si>
    <t>R10-N/35</t>
  </si>
  <si>
    <t>R10-N/40</t>
  </si>
  <si>
    <t>R10-N/41</t>
  </si>
  <si>
    <t>R10-N/42</t>
  </si>
  <si>
    <t>R10-N/43</t>
  </si>
  <si>
    <t>R11-N/01</t>
  </si>
  <si>
    <t>R11-N/02</t>
  </si>
  <si>
    <t>R11-N/03</t>
  </si>
  <si>
    <t>R11-N/04</t>
  </si>
  <si>
    <t>R11-N/05</t>
  </si>
  <si>
    <t>R11-N/06</t>
  </si>
  <si>
    <t>R11-N/07</t>
  </si>
  <si>
    <t>R11-N/08</t>
  </si>
  <si>
    <t>R11-N/09</t>
  </si>
  <si>
    <t>R11-N/10</t>
  </si>
  <si>
    <t>R11-N/11</t>
  </si>
  <si>
    <t>R11-N/12</t>
  </si>
  <si>
    <t>R11-N/13</t>
  </si>
  <si>
    <t>R11-N/14</t>
  </si>
  <si>
    <t>R11-N/15</t>
  </si>
  <si>
    <t>R11-N/20</t>
  </si>
  <si>
    <t>R11-N/21</t>
  </si>
  <si>
    <t>R11-N/22</t>
  </si>
  <si>
    <t>R11-N/23</t>
  </si>
  <si>
    <t>R11-N/24</t>
  </si>
  <si>
    <t>R11-N/25</t>
  </si>
  <si>
    <t>R11-N/26</t>
  </si>
  <si>
    <t>R11-N/27</t>
  </si>
  <si>
    <t>R11-N/28</t>
  </si>
  <si>
    <t>R11-N/29</t>
  </si>
  <si>
    <t>R11-N/30</t>
  </si>
  <si>
    <t>R11-N/31</t>
  </si>
  <si>
    <t>R11-N/32</t>
  </si>
  <si>
    <t>R12-N/01</t>
  </si>
  <si>
    <t>R12-N/02</t>
  </si>
  <si>
    <t>R12-N/03</t>
  </si>
  <si>
    <t>R12-N/04</t>
  </si>
  <si>
    <t>R12-N/05</t>
  </si>
  <si>
    <t>R12-N/06</t>
  </si>
  <si>
    <t>R12-N/07</t>
  </si>
  <si>
    <t>R12-N/08</t>
  </si>
  <si>
    <t>R12-N/09</t>
  </si>
  <si>
    <t>R12-N/10</t>
  </si>
  <si>
    <t>R12-N/11</t>
  </si>
  <si>
    <t>R12-N/12</t>
  </si>
  <si>
    <t>R12-N/13</t>
  </si>
  <si>
    <t>R12-N/14</t>
  </si>
  <si>
    <t>R12-N/15</t>
  </si>
  <si>
    <t>R12-N/16</t>
  </si>
  <si>
    <t>R12-N/17</t>
  </si>
  <si>
    <t>R12-N/18</t>
  </si>
  <si>
    <t>R12-N/19</t>
  </si>
  <si>
    <t>R12-N/20</t>
  </si>
  <si>
    <t>R12-N/21</t>
  </si>
  <si>
    <t>R12-N/22</t>
  </si>
  <si>
    <t>R12-N/23</t>
  </si>
  <si>
    <t>R12-N/28</t>
  </si>
  <si>
    <t>R12-N/29</t>
  </si>
  <si>
    <t>R12-N/30</t>
  </si>
  <si>
    <t>R12-N/31</t>
  </si>
  <si>
    <t>R13-N/01</t>
  </si>
  <si>
    <t>R13-N/02</t>
  </si>
  <si>
    <t>R13-N/03</t>
  </si>
  <si>
    <t>R13-N/04</t>
  </si>
  <si>
    <t>R13-N/05</t>
  </si>
  <si>
    <t>R13-N/06</t>
  </si>
  <si>
    <t>R13-N/07</t>
  </si>
  <si>
    <t>R13-N/08</t>
  </si>
  <si>
    <t>R13-N/13</t>
  </si>
  <si>
    <t>R13-N/14</t>
  </si>
  <si>
    <t>R13-N/15</t>
  </si>
  <si>
    <t>R13-N/16</t>
  </si>
  <si>
    <t>R13-N/17</t>
  </si>
  <si>
    <t>R13-N/18</t>
  </si>
  <si>
    <t>R13-N/19</t>
  </si>
  <si>
    <t>R13-N/20</t>
  </si>
  <si>
    <t>R13-N/21</t>
  </si>
  <si>
    <t>R13-N/22</t>
  </si>
  <si>
    <t>R13-N/23</t>
  </si>
  <si>
    <t>R13-N/24</t>
  </si>
  <si>
    <t>R13-N/25</t>
  </si>
  <si>
    <t>R13-N/26</t>
  </si>
  <si>
    <t>R13-N/27</t>
  </si>
  <si>
    <t>R13-N/28</t>
  </si>
  <si>
    <t>R13-N/29</t>
  </si>
  <si>
    <t>R13-N/30</t>
  </si>
  <si>
    <t>R13-N/31</t>
  </si>
  <si>
    <t>R13-N/32</t>
  </si>
  <si>
    <t>R13-N/33</t>
  </si>
  <si>
    <t>R13-N/34</t>
  </si>
  <si>
    <t>R14-N/01</t>
  </si>
  <si>
    <t>R14-N/02</t>
  </si>
  <si>
    <t>R14-N/03</t>
  </si>
  <si>
    <t>R14-N/04</t>
  </si>
  <si>
    <t>R14-N/05</t>
  </si>
  <si>
    <t>R14-N/06</t>
  </si>
  <si>
    <t>R14-N/07</t>
  </si>
  <si>
    <t>R14-N/08</t>
  </si>
  <si>
    <t>R14-N/09</t>
  </si>
  <si>
    <t>R14-N/10</t>
  </si>
  <si>
    <t>R14-N/11</t>
  </si>
  <si>
    <t>R14-N/12</t>
  </si>
  <si>
    <t>R14-N/13</t>
  </si>
  <si>
    <t>R14-N/14</t>
  </si>
  <si>
    <t>R14-N/15</t>
  </si>
  <si>
    <t>R14-N/16</t>
  </si>
  <si>
    <t>R14-N/17</t>
  </si>
  <si>
    <t>R14-N/18</t>
  </si>
  <si>
    <t>R14-N/19</t>
  </si>
  <si>
    <t>R14-N/20</t>
  </si>
  <si>
    <t>R14-N/21</t>
  </si>
  <si>
    <t>R14-N/22</t>
  </si>
  <si>
    <t>R14-N/23</t>
  </si>
  <si>
    <t>R14-N/28</t>
  </si>
  <si>
    <t>R14-N/29</t>
  </si>
  <si>
    <t>R14-N/30</t>
  </si>
  <si>
    <t>R14-N/31</t>
  </si>
  <si>
    <t>R15-N/01</t>
  </si>
  <si>
    <t>R15-N/02</t>
  </si>
  <si>
    <t>R15-N/03</t>
  </si>
  <si>
    <t>R15-N/04</t>
  </si>
  <si>
    <t>R15-N/05</t>
  </si>
  <si>
    <t>R15-N/06</t>
  </si>
  <si>
    <t>R15-N/07</t>
  </si>
  <si>
    <t>R15-N/08</t>
  </si>
  <si>
    <t>R15-N/13</t>
  </si>
  <si>
    <t>R15-N/14</t>
  </si>
  <si>
    <t>R15-N/15</t>
  </si>
  <si>
    <t>R15-N/16</t>
  </si>
  <si>
    <t>R15-N/17</t>
  </si>
  <si>
    <t>R15-N/18</t>
  </si>
  <si>
    <t>R15-N/19</t>
  </si>
  <si>
    <t>R15-N/20</t>
  </si>
  <si>
    <t>R15-N/21</t>
  </si>
  <si>
    <t>R15-N/22</t>
  </si>
  <si>
    <t>R15-N/23</t>
  </si>
  <si>
    <t>R15-N/24</t>
  </si>
  <si>
    <t>R15-N/25</t>
  </si>
  <si>
    <t>R15-N/26</t>
  </si>
  <si>
    <t>R15-N/27</t>
  </si>
  <si>
    <t>R15-N/28</t>
  </si>
  <si>
    <t>R15-N/29</t>
  </si>
  <si>
    <t>R15-N/30</t>
  </si>
  <si>
    <t>R15-N/31</t>
  </si>
  <si>
    <t>R15-N/32</t>
  </si>
  <si>
    <t>R15-N/33</t>
  </si>
  <si>
    <t>R15-N/34</t>
  </si>
  <si>
    <t>R16-N/01</t>
  </si>
  <si>
    <t>R16-N/02</t>
  </si>
  <si>
    <t>R16-N/03</t>
  </si>
  <si>
    <t>R16-N/04</t>
  </si>
  <si>
    <t>R16-N/05</t>
  </si>
  <si>
    <t>R16-N/06</t>
  </si>
  <si>
    <t>R16-N/07</t>
  </si>
  <si>
    <t>R16-N/08</t>
  </si>
  <si>
    <t>R16-N/09</t>
  </si>
  <si>
    <t>R16-N/10</t>
  </si>
  <si>
    <t>R16-N/11</t>
  </si>
  <si>
    <t>R16-N/12</t>
  </si>
  <si>
    <t>R16-N/13</t>
  </si>
  <si>
    <t>R16-N/14</t>
  </si>
  <si>
    <t>R16-N/15</t>
  </si>
  <si>
    <t>R16-N/16</t>
  </si>
  <si>
    <t>R16-N/17</t>
  </si>
  <si>
    <t>R16-N/18</t>
  </si>
  <si>
    <t>R16-N/19</t>
  </si>
  <si>
    <t>R16-N/20</t>
  </si>
  <si>
    <t>R16-N/21</t>
  </si>
  <si>
    <t>R16-N/22</t>
  </si>
  <si>
    <t>R16-N/23</t>
  </si>
  <si>
    <t>R16-N/28</t>
  </si>
  <si>
    <t>R16-N/29</t>
  </si>
  <si>
    <t>R16-N/30</t>
  </si>
  <si>
    <t>R16-N/31</t>
  </si>
  <si>
    <t>R17-N/01</t>
  </si>
  <si>
    <t>R17-N/02</t>
  </si>
  <si>
    <t>R17-N/03</t>
  </si>
  <si>
    <t>R17-N/04</t>
  </si>
  <si>
    <t>R17-N/05</t>
  </si>
  <si>
    <t>R17-N/06</t>
  </si>
  <si>
    <t>R17-N/07</t>
  </si>
  <si>
    <t>R17-N/08</t>
  </si>
  <si>
    <t>R17-N/13</t>
  </si>
  <si>
    <t>R17-N/14</t>
  </si>
  <si>
    <t>R17-N/15</t>
  </si>
  <si>
    <t>R17-N/16</t>
  </si>
  <si>
    <t>R17-N/17</t>
  </si>
  <si>
    <t>R17-N/18</t>
  </si>
  <si>
    <t>R17-N/19</t>
  </si>
  <si>
    <t>R17-N/20</t>
  </si>
  <si>
    <t>R17-N/21</t>
  </si>
  <si>
    <t>R17-N/22</t>
  </si>
  <si>
    <t>R17-N/23</t>
  </si>
  <si>
    <t>R17-N/24</t>
  </si>
  <si>
    <t>R17-N/25</t>
  </si>
  <si>
    <t>R17-N/26</t>
  </si>
  <si>
    <t>R17-N/27</t>
  </si>
  <si>
    <t>R17-N/28</t>
  </si>
  <si>
    <t>R17-N/29</t>
  </si>
  <si>
    <t>R17-N/30</t>
  </si>
  <si>
    <t>R17-N/31</t>
  </si>
  <si>
    <t>R17-N/32</t>
  </si>
  <si>
    <t>R17-N/33</t>
  </si>
  <si>
    <t>R17-N/34</t>
  </si>
  <si>
    <t>R18-N/01</t>
  </si>
  <si>
    <t>R18-N/02</t>
  </si>
  <si>
    <t>R18-N/03</t>
  </si>
  <si>
    <t>R18-N/04</t>
  </si>
  <si>
    <t>R18-N/05</t>
  </si>
  <si>
    <t>R18-N/06</t>
  </si>
  <si>
    <t>R18-N/07</t>
  </si>
  <si>
    <t>R18-N/08</t>
  </si>
  <si>
    <t>R18-N/09</t>
  </si>
  <si>
    <t>R18-N/10</t>
  </si>
  <si>
    <t>R18-N/11</t>
  </si>
  <si>
    <t>R18-N/12</t>
  </si>
  <si>
    <t>R18-N/13</t>
  </si>
  <si>
    <t>R18-N/14</t>
  </si>
  <si>
    <t>R18-N/15</t>
  </si>
  <si>
    <t>R18-N/16</t>
  </si>
  <si>
    <t>R18-N/17</t>
  </si>
  <si>
    <t>R18-N/18</t>
  </si>
  <si>
    <t>R18-N/19</t>
  </si>
  <si>
    <t>R18-N/20</t>
  </si>
  <si>
    <t>R18-N/21</t>
  </si>
  <si>
    <t>R18-N/22</t>
  </si>
  <si>
    <t>R18-N/23</t>
  </si>
  <si>
    <t>R18-N/24</t>
  </si>
  <si>
    <t>R18-N/25</t>
  </si>
  <si>
    <t>R18-N/26</t>
  </si>
  <si>
    <t>R18-N/27</t>
  </si>
  <si>
    <t>R18-N/28</t>
  </si>
  <si>
    <t>R18-N/29</t>
  </si>
  <si>
    <t>R18-N/30</t>
  </si>
  <si>
    <t>R18-N/31</t>
  </si>
  <si>
    <t>R18-N/32</t>
  </si>
  <si>
    <t>R18-N/33</t>
  </si>
  <si>
    <t>R18-N/34</t>
  </si>
  <si>
    <t>R18-N/35</t>
  </si>
  <si>
    <t>R18-N/36</t>
  </si>
  <si>
    <t>R18-N/37</t>
  </si>
  <si>
    <t>R18-N/38</t>
  </si>
  <si>
    <t>R18-N/39</t>
  </si>
  <si>
    <t>R18-N/40</t>
  </si>
  <si>
    <t>R18-N/41</t>
  </si>
  <si>
    <t>R18-N/42</t>
  </si>
  <si>
    <t>R18-N/43</t>
  </si>
  <si>
    <t>R18-N/44</t>
  </si>
  <si>
    <t>R18-N/45</t>
  </si>
  <si>
    <t>R19-N/01</t>
  </si>
  <si>
    <t>R19-N/02</t>
  </si>
  <si>
    <t>R19-N/03</t>
  </si>
  <si>
    <t>R19-N/04</t>
  </si>
  <si>
    <t>R19-N/05</t>
  </si>
  <si>
    <t>R19-N/06</t>
  </si>
  <si>
    <t>R19-N/07</t>
  </si>
  <si>
    <t>R19-N/08</t>
  </si>
  <si>
    <t>R19-N/09</t>
  </si>
  <si>
    <t>R19-N/10</t>
  </si>
  <si>
    <t>R19-N/15</t>
  </si>
  <si>
    <t>R19-N/16</t>
  </si>
  <si>
    <t>R19-N/17</t>
  </si>
  <si>
    <t>R19-N/18</t>
  </si>
  <si>
    <t>R19-N/19</t>
  </si>
  <si>
    <t>R19-N/20</t>
  </si>
  <si>
    <t>R19-N/21</t>
  </si>
  <si>
    <t>R19-N/22</t>
  </si>
  <si>
    <t>R19-N/23</t>
  </si>
  <si>
    <t>R19-N/24</t>
  </si>
  <si>
    <t>R19-N/25</t>
  </si>
  <si>
    <t>R19-N/26</t>
  </si>
  <si>
    <t>R19-N/27</t>
  </si>
  <si>
    <t>R19-N/28</t>
  </si>
  <si>
    <t>R19-N/29</t>
  </si>
  <si>
    <t>R19-N/30</t>
  </si>
  <si>
    <t>R19-N/31</t>
  </si>
  <si>
    <t>R19-N/32</t>
  </si>
  <si>
    <t>R19-N/33</t>
  </si>
  <si>
    <t>R19-N/34</t>
  </si>
  <si>
    <t>R19-N/35</t>
  </si>
  <si>
    <t>R19-N/36</t>
  </si>
  <si>
    <t>R19-N/37</t>
  </si>
  <si>
    <t>R19-N/38</t>
  </si>
  <si>
    <t>R19-N/39</t>
  </si>
  <si>
    <t>R19-N/40</t>
  </si>
  <si>
    <t>R19-N/41</t>
  </si>
  <si>
    <t>R19-N/42</t>
  </si>
  <si>
    <t>R19-N/43</t>
  </si>
  <si>
    <t>R19-N/44</t>
  </si>
  <si>
    <t>R19-N/45</t>
  </si>
  <si>
    <t>R19-N/46</t>
  </si>
  <si>
    <t>R20-N/01</t>
  </si>
  <si>
    <t>R20-N/02</t>
  </si>
  <si>
    <t>R20-N/03</t>
  </si>
  <si>
    <t>R20-N/04</t>
  </si>
  <si>
    <t>R20-N/09</t>
  </si>
  <si>
    <t>R20-N/10</t>
  </si>
  <si>
    <t>R20-N/11</t>
  </si>
  <si>
    <t>R20-N/12</t>
  </si>
  <si>
    <t>R20-N/13</t>
  </si>
  <si>
    <t>R20-N/14</t>
  </si>
  <si>
    <t>R20-N/15</t>
  </si>
  <si>
    <t>R20-N/16</t>
  </si>
  <si>
    <t>R20-N/17</t>
  </si>
  <si>
    <t>R20-N/18</t>
  </si>
  <si>
    <t>R20-N/19</t>
  </si>
  <si>
    <t>R20-N/20</t>
  </si>
  <si>
    <t>R20-N/21</t>
  </si>
  <si>
    <t>R20-N/22</t>
  </si>
  <si>
    <t>R20-N/23</t>
  </si>
  <si>
    <t>R20-N/24</t>
  </si>
  <si>
    <t>R20-N/25</t>
  </si>
  <si>
    <t>R20-N/26</t>
  </si>
  <si>
    <t>R20-N/27</t>
  </si>
  <si>
    <t>R20-N/28</t>
  </si>
  <si>
    <t>R20-N/29</t>
  </si>
  <si>
    <t>R20-N/30</t>
  </si>
  <si>
    <t>R20-N/31</t>
  </si>
  <si>
    <t>R20-N/32</t>
  </si>
  <si>
    <t>R20-N/33</t>
  </si>
  <si>
    <t>R20-N/34</t>
  </si>
  <si>
    <t>R20-N/35</t>
  </si>
  <si>
    <t>R20-N/36</t>
  </si>
  <si>
    <t>R20-N/37</t>
  </si>
  <si>
    <t>R20-N/38</t>
  </si>
  <si>
    <t>R20-N/39</t>
  </si>
  <si>
    <t>R20-N/40</t>
  </si>
  <si>
    <t>R20-N/41</t>
  </si>
  <si>
    <t>R20-N/42</t>
  </si>
  <si>
    <t>R20-N/43</t>
  </si>
  <si>
    <t>R20-N/44</t>
  </si>
  <si>
    <t>R20-N/45</t>
  </si>
  <si>
    <t>R21-N/01</t>
  </si>
  <si>
    <t>R21-N/02</t>
  </si>
  <si>
    <t>R21-N/03</t>
  </si>
  <si>
    <t>R21-N/04</t>
  </si>
  <si>
    <t>R21-N/05</t>
  </si>
  <si>
    <t>R21-N/06</t>
  </si>
  <si>
    <t>R21-N/07</t>
  </si>
  <si>
    <t>R21-N/08</t>
  </si>
  <si>
    <t>R21-N/09</t>
  </si>
  <si>
    <t>R21-N/10</t>
  </si>
  <si>
    <t>R21-N/15</t>
  </si>
  <si>
    <t>R21-N/16</t>
  </si>
  <si>
    <t>R21-N/17</t>
  </si>
  <si>
    <t>R21-N/18</t>
  </si>
  <si>
    <t>R21-N/19</t>
  </si>
  <si>
    <t>R21-N/20</t>
  </si>
  <si>
    <t>R21-N/21</t>
  </si>
  <si>
    <t>R21-N/22</t>
  </si>
  <si>
    <t>R21-N/23</t>
  </si>
  <si>
    <t>R21-N/24</t>
  </si>
  <si>
    <t>R21-N/25</t>
  </si>
  <si>
    <t>R21-N/26</t>
  </si>
  <si>
    <t>R21-N/27</t>
  </si>
  <si>
    <t>R21-N/28</t>
  </si>
  <si>
    <t>R21-N/29</t>
  </si>
  <si>
    <t>R21-N/30</t>
  </si>
  <si>
    <t>R21-N/31</t>
  </si>
  <si>
    <t>R21-N/32</t>
  </si>
  <si>
    <t>R21-N/33</t>
  </si>
  <si>
    <t>R21-N/34</t>
  </si>
  <si>
    <t>R21-N/35</t>
  </si>
  <si>
    <t>R21-N/36</t>
  </si>
  <si>
    <t>R21-N/37</t>
  </si>
  <si>
    <t>R21-N/38</t>
  </si>
  <si>
    <t>R21-N/39</t>
  </si>
  <si>
    <t>R21-N/40</t>
  </si>
  <si>
    <t>R21-N/41</t>
  </si>
  <si>
    <t>R21-N/42</t>
  </si>
  <si>
    <t>R21-N/43</t>
  </si>
  <si>
    <t>R21-N/44</t>
  </si>
  <si>
    <t>R21-N/45</t>
  </si>
  <si>
    <t>R21-N/46</t>
  </si>
  <si>
    <t>R22-N/01</t>
  </si>
  <si>
    <t>R22-N/02</t>
  </si>
  <si>
    <t>R22-N/03</t>
  </si>
  <si>
    <t>R22-N/04</t>
  </si>
  <si>
    <t>R22-N/05</t>
  </si>
  <si>
    <t>R22-N/06</t>
  </si>
  <si>
    <t>R22-N/07</t>
  </si>
  <si>
    <t>R22-N/08</t>
  </si>
  <si>
    <t>R22-N/09</t>
  </si>
  <si>
    <t>R22-N/10</t>
  </si>
  <si>
    <t>R22-N/11</t>
  </si>
  <si>
    <t>R22-N/12</t>
  </si>
  <si>
    <t>R22-N/13</t>
  </si>
  <si>
    <t>R22-N/14</t>
  </si>
  <si>
    <t>R22-N/15</t>
  </si>
  <si>
    <t>R22-N/16</t>
  </si>
  <si>
    <t>R22-N/17</t>
  </si>
  <si>
    <t>R22-N/18</t>
  </si>
  <si>
    <t>R22-N/19</t>
  </si>
  <si>
    <t>R22-N/20</t>
  </si>
  <si>
    <t>R22-N/21</t>
  </si>
  <si>
    <t>R22-N/22</t>
  </si>
  <si>
    <t>R22-N/23</t>
  </si>
  <si>
    <t>R22-N/24</t>
  </si>
  <si>
    <t>R22-N/25</t>
  </si>
  <si>
    <t>R22-N/26</t>
  </si>
  <si>
    <t>R22-N/27</t>
  </si>
  <si>
    <t>R22-N/28</t>
  </si>
  <si>
    <t>R22-N/29</t>
  </si>
  <si>
    <t>R22-N/30</t>
  </si>
  <si>
    <t>R22-N/31</t>
  </si>
  <si>
    <t>R22-N/32</t>
  </si>
  <si>
    <t>R22-N/33</t>
  </si>
  <si>
    <t>R22-N/34</t>
  </si>
  <si>
    <t>R22-N/35</t>
  </si>
  <si>
    <t>R22-N/36</t>
  </si>
  <si>
    <t>R22-N/37</t>
  </si>
  <si>
    <t>R22-N/38</t>
  </si>
  <si>
    <t>R22-N/39</t>
  </si>
  <si>
    <t>R22-N/40</t>
  </si>
  <si>
    <t>R22-N/41</t>
  </si>
  <si>
    <t>R22-N/42</t>
  </si>
  <si>
    <t>R22-N/43</t>
  </si>
  <si>
    <t>R22-N/44</t>
  </si>
  <si>
    <t>R22-N/45</t>
  </si>
  <si>
    <t>R23-N/01</t>
  </si>
  <si>
    <t>R23-N/02</t>
  </si>
  <si>
    <t>R23-N/03</t>
  </si>
  <si>
    <t>R23-N/04</t>
  </si>
  <si>
    <t>R23-N/05</t>
  </si>
  <si>
    <t>R23-N/06</t>
  </si>
  <si>
    <t>R23-N/07</t>
  </si>
  <si>
    <t>R23-N/08</t>
  </si>
  <si>
    <t>R23-N/09</t>
  </si>
  <si>
    <t>R23-N/10</t>
  </si>
  <si>
    <t>R23-N/11</t>
  </si>
  <si>
    <t>R23-N/12</t>
  </si>
  <si>
    <t>R23-N/13</t>
  </si>
  <si>
    <t>R23-N/14</t>
  </si>
  <si>
    <t>R23-N/15</t>
  </si>
  <si>
    <t>R23-N/16</t>
  </si>
  <si>
    <t>R23-N/17</t>
  </si>
  <si>
    <t>R23-N/18</t>
  </si>
  <si>
    <t>R23-N/19</t>
  </si>
  <si>
    <t>R23-N/20</t>
  </si>
  <si>
    <t>R23-N/21</t>
  </si>
  <si>
    <t>R23-N/22</t>
  </si>
  <si>
    <t>R23-N/23</t>
  </si>
  <si>
    <t>R23-N/24</t>
  </si>
  <si>
    <t>R23-N/25</t>
  </si>
  <si>
    <t>R23-N/26</t>
  </si>
  <si>
    <t>R23-N/27</t>
  </si>
  <si>
    <t>R23-N/28</t>
  </si>
  <si>
    <t>R23-N/29</t>
  </si>
  <si>
    <t>R23-N/30</t>
  </si>
  <si>
    <t>R23-N/31</t>
  </si>
  <si>
    <t>R23-N/32</t>
  </si>
  <si>
    <t>R23-N/33</t>
  </si>
  <si>
    <t>R23-N/34</t>
  </si>
  <si>
    <t>R23-N/35</t>
  </si>
  <si>
    <t>R23-N/36</t>
  </si>
  <si>
    <t>R23-N/37</t>
  </si>
  <si>
    <t>R23-N/38</t>
  </si>
  <si>
    <t>R23-N/39</t>
  </si>
  <si>
    <t>R23-N/40</t>
  </si>
  <si>
    <t>R23-N/41</t>
  </si>
  <si>
    <t>R23-N/42</t>
  </si>
  <si>
    <t>R23-N/43</t>
  </si>
  <si>
    <t>R23-N/44</t>
  </si>
  <si>
    <t>R23-N/45</t>
  </si>
  <si>
    <t>R23-N/46</t>
  </si>
  <si>
    <t>R23-N/47</t>
  </si>
  <si>
    <t>R23-N/48</t>
  </si>
  <si>
    <t>R23-N/49</t>
  </si>
  <si>
    <t>R24-N/01</t>
  </si>
  <si>
    <t>R24-N/02</t>
  </si>
  <si>
    <t>R24-N/03</t>
  </si>
  <si>
    <t>R24-N/04</t>
  </si>
  <si>
    <t>R24-N/05</t>
  </si>
  <si>
    <t>R24-N/06</t>
  </si>
  <si>
    <t>R24-N/07</t>
  </si>
  <si>
    <t>R24-N/08</t>
  </si>
  <si>
    <t>R24-N/09</t>
  </si>
  <si>
    <t>R24-N/10</t>
  </si>
  <si>
    <t>R24-N/11</t>
  </si>
  <si>
    <t>R24-N/12</t>
  </si>
  <si>
    <t>R24-N/13</t>
  </si>
  <si>
    <t>R24-N/14</t>
  </si>
  <si>
    <t>R24-N/15</t>
  </si>
  <si>
    <t>R24-N/16</t>
  </si>
  <si>
    <t>R24-N/17</t>
  </si>
  <si>
    <t>R24-N/18</t>
  </si>
  <si>
    <t>R24-N/19</t>
  </si>
  <si>
    <t>Corner Panel</t>
  </si>
  <si>
    <t>R24-N/20</t>
  </si>
  <si>
    <t>R24-N/21</t>
  </si>
  <si>
    <t>R24-N/22</t>
  </si>
  <si>
    <t>R24-N/23</t>
  </si>
  <si>
    <t>R24-N/24</t>
  </si>
  <si>
    <t>R24-N/25</t>
  </si>
  <si>
    <t>R24-N/26</t>
  </si>
  <si>
    <t>R24-N/27</t>
  </si>
  <si>
    <t>R24-N/28</t>
  </si>
  <si>
    <t>R24-N/29</t>
  </si>
  <si>
    <t>R24-N/30</t>
  </si>
  <si>
    <t>R24-N/31</t>
  </si>
  <si>
    <t>R24-N/32</t>
  </si>
  <si>
    <t>R24-N/33</t>
  </si>
  <si>
    <t>R24-N/34</t>
  </si>
  <si>
    <t>R24-N/35</t>
  </si>
  <si>
    <t>R24-N/36</t>
  </si>
  <si>
    <t>R24-N/37</t>
  </si>
  <si>
    <t>R24-N/38</t>
  </si>
  <si>
    <t>R24-N/39</t>
  </si>
  <si>
    <t>R25-N/01</t>
  </si>
  <si>
    <t>R25-N/02</t>
  </si>
  <si>
    <t>R25-N/03</t>
  </si>
  <si>
    <t>R25-N/04</t>
  </si>
  <si>
    <t>R25-N/05</t>
  </si>
  <si>
    <t>R25-N/06</t>
  </si>
  <si>
    <t>R25-N/07</t>
  </si>
  <si>
    <t>R25-N/08</t>
  </si>
  <si>
    <t>R25-N/09</t>
  </si>
  <si>
    <t>R25-N/10</t>
  </si>
  <si>
    <t>R25-N/11</t>
  </si>
  <si>
    <t>R25-N/12</t>
  </si>
  <si>
    <t>R25-N/13</t>
  </si>
  <si>
    <t>R25-N/14</t>
  </si>
  <si>
    <t>R25-N/15</t>
  </si>
  <si>
    <t>R25-N/16</t>
  </si>
  <si>
    <t>R25-N/17</t>
  </si>
  <si>
    <t>R25-N/18</t>
  </si>
  <si>
    <t>R25-N/19</t>
  </si>
  <si>
    <t>R25-N/20</t>
  </si>
  <si>
    <t>R25-N/21</t>
  </si>
  <si>
    <t>R25-N/22</t>
  </si>
  <si>
    <t>R25-N/23</t>
  </si>
  <si>
    <t>R25-N/24</t>
  </si>
  <si>
    <t>R25-N/25</t>
  </si>
  <si>
    <t>R25-N/26</t>
  </si>
  <si>
    <t>R25-N/27</t>
  </si>
  <si>
    <t>R25-N/28</t>
  </si>
  <si>
    <t>R25-N/29</t>
  </si>
  <si>
    <t>R25-N/30</t>
  </si>
  <si>
    <t>R25-N/31</t>
  </si>
  <si>
    <t>R25-N/32</t>
  </si>
  <si>
    <t>R25-N/33</t>
  </si>
  <si>
    <t>R25-N/34</t>
  </si>
  <si>
    <t>R25-N/35</t>
  </si>
  <si>
    <t>R25-N/36</t>
  </si>
  <si>
    <t>R25-N/37</t>
  </si>
  <si>
    <t>R25-N/38</t>
  </si>
  <si>
    <t>R25-N/39</t>
  </si>
  <si>
    <t>R26-N/01</t>
  </si>
  <si>
    <t>R26-N/02</t>
  </si>
  <si>
    <t>R26-N/03</t>
  </si>
  <si>
    <t>R26-N/04</t>
  </si>
  <si>
    <t>R26-N/05</t>
  </si>
  <si>
    <t>R26-N/06</t>
  </si>
  <si>
    <t>R26-N/07</t>
  </si>
  <si>
    <t>R26-N/08</t>
  </si>
  <si>
    <t>R26-N/09</t>
  </si>
  <si>
    <t>R26-N/10</t>
  </si>
  <si>
    <t>R26-N/11</t>
  </si>
  <si>
    <t>R26-N/12</t>
  </si>
  <si>
    <t>R26-N/13</t>
  </si>
  <si>
    <t>R26-N/14</t>
  </si>
  <si>
    <t>R26-N/15</t>
  </si>
  <si>
    <t>R26-N/16</t>
  </si>
  <si>
    <t>R26-N/17</t>
  </si>
  <si>
    <t>R26-N/18</t>
  </si>
  <si>
    <t>R26-N/19</t>
  </si>
  <si>
    <t>R26-N/20</t>
  </si>
  <si>
    <t>R26-N/25</t>
  </si>
  <si>
    <t>R26-N/26</t>
  </si>
  <si>
    <t>R27-N/01</t>
  </si>
  <si>
    <t>R27-N/02</t>
  </si>
  <si>
    <t>R27-N/03</t>
  </si>
  <si>
    <t>R27-N/04</t>
  </si>
  <si>
    <t>R27-N/05</t>
  </si>
  <si>
    <t>R27-N/06</t>
  </si>
  <si>
    <t>R27-N/07</t>
  </si>
  <si>
    <t>R27-N/08</t>
  </si>
  <si>
    <t>R27-N/09</t>
  </si>
  <si>
    <t>R27-N/10</t>
  </si>
  <si>
    <t>R27-N/11</t>
  </si>
  <si>
    <t>R27-N/12</t>
  </si>
  <si>
    <t>R27-N/13</t>
  </si>
  <si>
    <t>R27-N/14</t>
  </si>
  <si>
    <t>R27-N/15</t>
  </si>
  <si>
    <t>R27-N/16</t>
  </si>
  <si>
    <t>R27-N/17</t>
  </si>
  <si>
    <t>R27-N/18</t>
  </si>
  <si>
    <t>R27-N/19</t>
  </si>
  <si>
    <t>R27-N/24</t>
  </si>
  <si>
    <t>R27-N/25</t>
  </si>
  <si>
    <t>R27-N/26</t>
  </si>
  <si>
    <t>R27-N/27</t>
  </si>
  <si>
    <t>R27-N/28</t>
  </si>
  <si>
    <t>R27-N/29</t>
  </si>
  <si>
    <t>R27-N/30</t>
  </si>
  <si>
    <t>R27-N/31</t>
  </si>
  <si>
    <t>R27-N/32</t>
  </si>
  <si>
    <t>R27-N/33</t>
  </si>
  <si>
    <t>R27-N/34</t>
  </si>
  <si>
    <t>R27-N/35</t>
  </si>
  <si>
    <t>R27-N/36</t>
  </si>
  <si>
    <t>R28-N/01</t>
  </si>
  <si>
    <t>R28-N/02</t>
  </si>
  <si>
    <t>R28-N/03</t>
  </si>
  <si>
    <t>R28-N/04</t>
  </si>
  <si>
    <t>R28-N/05</t>
  </si>
  <si>
    <t>R28-N/06</t>
  </si>
  <si>
    <t>R28-N/07</t>
  </si>
  <si>
    <t>R28-N/08</t>
  </si>
  <si>
    <t>R28-N/09</t>
  </si>
  <si>
    <t>R28-N/10</t>
  </si>
  <si>
    <t>R28-N/11</t>
  </si>
  <si>
    <t>R28-N/12</t>
  </si>
  <si>
    <t>R28-N/13</t>
  </si>
  <si>
    <t>R28-N/14</t>
  </si>
  <si>
    <t>R28-N/15</t>
  </si>
  <si>
    <t>R28-N/16</t>
  </si>
  <si>
    <t>R28-N/21</t>
  </si>
  <si>
    <t>R28-N/22</t>
  </si>
  <si>
    <t>R28-N/23</t>
  </si>
  <si>
    <t>R28-N/24</t>
  </si>
  <si>
    <t>R28-N/25</t>
  </si>
  <si>
    <t>R28-N/26</t>
  </si>
  <si>
    <t>R28-N/27</t>
  </si>
  <si>
    <t>R28-N/28</t>
  </si>
  <si>
    <t>R29-N/01</t>
  </si>
  <si>
    <t>R29-N/02</t>
  </si>
  <si>
    <t>R29-N/03</t>
  </si>
  <si>
    <t>R29-N/04</t>
  </si>
  <si>
    <t>R29-N/05</t>
  </si>
  <si>
    <t>R29-N/06</t>
  </si>
  <si>
    <t>R29-N/07</t>
  </si>
  <si>
    <t>R29-N/08</t>
  </si>
  <si>
    <t>R29-N/09</t>
  </si>
  <si>
    <t>R29-N/10</t>
  </si>
  <si>
    <t>R29-N/11</t>
  </si>
  <si>
    <t>R29-N/12</t>
  </si>
  <si>
    <t>R29-N/13</t>
  </si>
  <si>
    <t>R29-N/14</t>
  </si>
  <si>
    <t>R29-N/15</t>
  </si>
  <si>
    <t>R29-N/16</t>
  </si>
  <si>
    <t>R29-N/17</t>
  </si>
  <si>
    <t>R29-N/18</t>
  </si>
  <si>
    <t>R29-N/19</t>
  </si>
  <si>
    <t>R29-N/20</t>
  </si>
  <si>
    <t>R29-N/21</t>
  </si>
  <si>
    <t>R29-N/22</t>
  </si>
  <si>
    <t>R29-N/23</t>
  </si>
  <si>
    <t>R29-N/24</t>
  </si>
  <si>
    <t>R29-N/25</t>
  </si>
  <si>
    <t>R29-N/26</t>
  </si>
  <si>
    <t>R29-N/27</t>
  </si>
  <si>
    <t>R29-N/28</t>
  </si>
  <si>
    <t>R29-N/29</t>
  </si>
  <si>
    <t>R29-N/30</t>
  </si>
  <si>
    <t>R29-N/31</t>
  </si>
  <si>
    <t>R29-N/32</t>
  </si>
  <si>
    <t>R29-N/33</t>
  </si>
  <si>
    <t>R29-N/34</t>
  </si>
  <si>
    <t>R29-N/35</t>
  </si>
  <si>
    <t>R29-N/36</t>
  </si>
  <si>
    <t>R30-N/01</t>
  </si>
  <si>
    <t>R30-N/02</t>
  </si>
  <si>
    <t>R30-N/03</t>
  </si>
  <si>
    <t>R30-N/04</t>
  </si>
  <si>
    <t>R30-N/05</t>
  </si>
  <si>
    <t>R30-N/06</t>
  </si>
  <si>
    <t>R30-N/07</t>
  </si>
  <si>
    <t>R30-N/08</t>
  </si>
  <si>
    <t>R30-N/09</t>
  </si>
  <si>
    <t>R30-N/10</t>
  </si>
  <si>
    <t>R30-N/11</t>
  </si>
  <si>
    <t>R30-N/12</t>
  </si>
  <si>
    <t>R30-N/13</t>
  </si>
  <si>
    <t>R30-N/14</t>
  </si>
  <si>
    <t>R30-N/15</t>
  </si>
  <si>
    <t>R30-N/16</t>
  </si>
  <si>
    <t>R30-N/17</t>
  </si>
  <si>
    <t>R30-N/18</t>
  </si>
  <si>
    <t>R30-N/19</t>
  </si>
  <si>
    <t>R30-N/20</t>
  </si>
  <si>
    <t>R30-N/21</t>
  </si>
  <si>
    <t>R30-N/22</t>
  </si>
  <si>
    <t>R30-N/23</t>
  </si>
  <si>
    <t>R30-N/24</t>
  </si>
  <si>
    <t>R30-N/25</t>
  </si>
  <si>
    <t>R30-N/26</t>
  </si>
  <si>
    <t>R30-N/27</t>
  </si>
  <si>
    <t>R30-N/28</t>
  </si>
  <si>
    <t>R30-N/29</t>
  </si>
  <si>
    <t>R30-N/30</t>
  </si>
  <si>
    <t>R30-N/31</t>
  </si>
  <si>
    <t>R30-N/32</t>
  </si>
  <si>
    <t>BOQ Item G</t>
  </si>
  <si>
    <t>H7-N/01</t>
  </si>
  <si>
    <t>H7-N/02</t>
  </si>
  <si>
    <t>H7-N/03</t>
  </si>
  <si>
    <t>H7-N/04</t>
  </si>
  <si>
    <t>H7-N/05</t>
  </si>
  <si>
    <t>H7-N/06</t>
  </si>
  <si>
    <t>H7-N/07</t>
  </si>
  <si>
    <t>H7-N/08</t>
  </si>
  <si>
    <t>H7-N/09</t>
  </si>
  <si>
    <t>H7-N/10</t>
  </si>
  <si>
    <t>H7-N/11</t>
  </si>
  <si>
    <t>Curve</t>
  </si>
  <si>
    <t>H7-N/12</t>
  </si>
  <si>
    <t>H7-N/13</t>
  </si>
  <si>
    <t>H7-N/14</t>
  </si>
  <si>
    <t>H7-N/15</t>
  </si>
  <si>
    <t>H7-N/16</t>
  </si>
  <si>
    <t>H7-N/17</t>
  </si>
  <si>
    <t>H7-N/18</t>
  </si>
  <si>
    <t>H7-N/19</t>
  </si>
  <si>
    <t>H7-N/20</t>
  </si>
  <si>
    <t>H7-N/21</t>
  </si>
  <si>
    <t>H7-N/22</t>
  </si>
  <si>
    <t>H7-N/23</t>
  </si>
  <si>
    <t>refer to Hotel - 900mm(Qty) worksheet</t>
  </si>
  <si>
    <t>H7-N/28</t>
  </si>
  <si>
    <t>H7-N/29</t>
  </si>
  <si>
    <t>H7-N/30</t>
  </si>
  <si>
    <t>H7-N/31</t>
  </si>
  <si>
    <t>H7-N/32</t>
  </si>
  <si>
    <t>H7-N/33</t>
  </si>
  <si>
    <t>H7-N/34</t>
  </si>
  <si>
    <t>H7-N/35</t>
  </si>
  <si>
    <t>H7-N/36</t>
  </si>
  <si>
    <t>H7-N/37</t>
  </si>
  <si>
    <t>H7-N/38</t>
  </si>
  <si>
    <t>H8-N/01</t>
  </si>
  <si>
    <t>H8-N/02</t>
  </si>
  <si>
    <t>H8-N/03</t>
  </si>
  <si>
    <t>H8-N/04</t>
  </si>
  <si>
    <t>H8-N/05</t>
  </si>
  <si>
    <t>H8-N/06</t>
  </si>
  <si>
    <t>H8-N/07</t>
  </si>
  <si>
    <t>H8-N/08</t>
  </si>
  <si>
    <t>H8-N/09</t>
  </si>
  <si>
    <t>H8-N/10</t>
  </si>
  <si>
    <t>H8-N/11</t>
  </si>
  <si>
    <t>H8-N/12</t>
  </si>
  <si>
    <t>H8-N/13</t>
  </si>
  <si>
    <t>H8-N/14</t>
  </si>
  <si>
    <t>H8-N/15</t>
  </si>
  <si>
    <t>H8-N/16</t>
  </si>
  <si>
    <t>H8-N/17</t>
  </si>
  <si>
    <t>H8-N/18</t>
  </si>
  <si>
    <t>H8-N/19</t>
  </si>
  <si>
    <t>H8-N/20</t>
  </si>
  <si>
    <t>H8-N/21</t>
  </si>
  <si>
    <t>H8-N/22</t>
  </si>
  <si>
    <t>H8-N/23</t>
  </si>
  <si>
    <t>H8-N/28</t>
  </si>
  <si>
    <t>H8-N/29</t>
  </si>
  <si>
    <t>H8-N/30</t>
  </si>
  <si>
    <t>H9-N/01</t>
  </si>
  <si>
    <t>H9-N/02</t>
  </si>
  <si>
    <t>H9-N/03</t>
  </si>
  <si>
    <t>H9-N/04</t>
  </si>
  <si>
    <t>H9-N/05</t>
  </si>
  <si>
    <t>H9-N/06</t>
  </si>
  <si>
    <t>H9-N/07</t>
  </si>
  <si>
    <t>H9-N/08</t>
  </si>
  <si>
    <t>H9-N/09</t>
  </si>
  <si>
    <t>H9-N/10</t>
  </si>
  <si>
    <t>H9-N/11</t>
  </si>
  <si>
    <t>H9-N/12</t>
  </si>
  <si>
    <t>H9-N/13</t>
  </si>
  <si>
    <t>H9-N/14</t>
  </si>
  <si>
    <t>H9-N/15</t>
  </si>
  <si>
    <t>H9-N/16</t>
  </si>
  <si>
    <t>H9-N/17</t>
  </si>
  <si>
    <t>H9-N/18</t>
  </si>
  <si>
    <t>H9-N/19</t>
  </si>
  <si>
    <t>H9-N/20</t>
  </si>
  <si>
    <t>H9-N/21</t>
  </si>
  <si>
    <t>H9-N/22</t>
  </si>
  <si>
    <t>H9-N/23</t>
  </si>
  <si>
    <t>H9-N/24</t>
  </si>
  <si>
    <t>H9-N/29</t>
  </si>
  <si>
    <t>H9-N/30</t>
  </si>
  <si>
    <t>H9-N/31</t>
  </si>
  <si>
    <t>H9-N/32</t>
  </si>
  <si>
    <t>H9-N/33</t>
  </si>
  <si>
    <t>H9-N/34</t>
  </si>
  <si>
    <t>H9-N/35</t>
  </si>
  <si>
    <t>H9-N/36</t>
  </si>
  <si>
    <t>H9-N/37</t>
  </si>
  <si>
    <t>H9-N/38</t>
  </si>
  <si>
    <t>H10-N/01</t>
  </si>
  <si>
    <t>H10-N/02</t>
  </si>
  <si>
    <t>H10-N/03</t>
  </si>
  <si>
    <t>H10-N/04</t>
  </si>
  <si>
    <t>H10-N/05</t>
  </si>
  <si>
    <t>H10-N/06</t>
  </si>
  <si>
    <t>H10-N/07</t>
  </si>
  <si>
    <t>H10-N/08</t>
  </si>
  <si>
    <t>H10-N/09</t>
  </si>
  <si>
    <t>H10-N/10</t>
  </si>
  <si>
    <t>H10-N/11</t>
  </si>
  <si>
    <t>H10-N/12</t>
  </si>
  <si>
    <t>H10-N/13</t>
  </si>
  <si>
    <t>H10-N/14</t>
  </si>
  <si>
    <t>H10-N/15</t>
  </si>
  <si>
    <t>H10-N/16</t>
  </si>
  <si>
    <t>H10-N/17</t>
  </si>
  <si>
    <t>H10-N/18</t>
  </si>
  <si>
    <t>H10-N/19</t>
  </si>
  <si>
    <t>H10-N/20</t>
  </si>
  <si>
    <t>H10-N/21</t>
  </si>
  <si>
    <t>H10-N/22</t>
  </si>
  <si>
    <t>H10-N/23</t>
  </si>
  <si>
    <t>H10-N/24</t>
  </si>
  <si>
    <t>H10-N/29</t>
  </si>
  <si>
    <t>H10-N/30</t>
  </si>
  <si>
    <t>H10-N/31</t>
  </si>
  <si>
    <t>H10-N/32</t>
  </si>
  <si>
    <t>H10-N/33</t>
  </si>
  <si>
    <t>H10-N/34</t>
  </si>
  <si>
    <t>H10-N/35</t>
  </si>
  <si>
    <t>H10-N/36</t>
  </si>
  <si>
    <t>H10-N/37</t>
  </si>
  <si>
    <t>H10-N/38</t>
  </si>
  <si>
    <t>H11-N/01</t>
  </si>
  <si>
    <t>H11-N/02</t>
  </si>
  <si>
    <t>H11-N/03</t>
  </si>
  <si>
    <t>H11-N/04</t>
  </si>
  <si>
    <t>H11-N/05</t>
  </si>
  <si>
    <t>H11-N/06</t>
  </si>
  <si>
    <t>H11-N/07</t>
  </si>
  <si>
    <t>H11-N/08</t>
  </si>
  <si>
    <t>H11-N/09</t>
  </si>
  <si>
    <t>H11-N/10</t>
  </si>
  <si>
    <t>H11-N/11</t>
  </si>
  <si>
    <t>H11-N/12</t>
  </si>
  <si>
    <t>H11-N/13</t>
  </si>
  <si>
    <t>H11-N/14</t>
  </si>
  <si>
    <t>H11-N/15</t>
  </si>
  <si>
    <t>H11-N/16</t>
  </si>
  <si>
    <t>H11-N/17</t>
  </si>
  <si>
    <t>H11-N/18</t>
  </si>
  <si>
    <t>H11-N/19</t>
  </si>
  <si>
    <t>H11-N/20</t>
  </si>
  <si>
    <t>H11-N/21</t>
  </si>
  <si>
    <t>H11-N/22</t>
  </si>
  <si>
    <t>H11-N/23</t>
  </si>
  <si>
    <t>H11-N/28</t>
  </si>
  <si>
    <t>H11-N/29</t>
  </si>
  <si>
    <t>H11-N/30</t>
  </si>
  <si>
    <t>H11-N/31</t>
  </si>
  <si>
    <t>H12-N/01</t>
  </si>
  <si>
    <t>H12-N/02</t>
  </si>
  <si>
    <t>H12-N/03</t>
  </si>
  <si>
    <t>H12-N/04</t>
  </si>
  <si>
    <t>H12-N/05</t>
  </si>
  <si>
    <t>H12-N/06</t>
  </si>
  <si>
    <t>H12-N/07</t>
  </si>
  <si>
    <t>H12-N/08</t>
  </si>
  <si>
    <t>H12-N/09</t>
  </si>
  <si>
    <t>H12-N/10</t>
  </si>
  <si>
    <t>H12-N/11</t>
  </si>
  <si>
    <t>H12-N/12</t>
  </si>
  <si>
    <t>H12-N/13</t>
  </si>
  <si>
    <t>H12-N/14</t>
  </si>
  <si>
    <t>H12-N/15</t>
  </si>
  <si>
    <t>H12-N/16</t>
  </si>
  <si>
    <t>H12-N/17</t>
  </si>
  <si>
    <t>H12-N/18</t>
  </si>
  <si>
    <t>H12-N/19</t>
  </si>
  <si>
    <t>H12-N/20</t>
  </si>
  <si>
    <t>H12-N/21</t>
  </si>
  <si>
    <t>H12-N/22</t>
  </si>
  <si>
    <t>H12-N/23</t>
  </si>
  <si>
    <t>H12-N/24</t>
  </si>
  <si>
    <t>H12-N/25</t>
  </si>
  <si>
    <t>H12-N/26</t>
  </si>
  <si>
    <t>H12-N/27</t>
  </si>
  <si>
    <t>H12-N/28</t>
  </si>
  <si>
    <t>H12-N/29</t>
  </si>
  <si>
    <t>H12-N/30</t>
  </si>
  <si>
    <t>H12-N/31</t>
  </si>
  <si>
    <t>H12-N/32</t>
  </si>
  <si>
    <t>H12-N/33</t>
  </si>
  <si>
    <t>H12-N/34</t>
  </si>
  <si>
    <t>H12-N/35</t>
  </si>
  <si>
    <t>H12-N/36</t>
  </si>
  <si>
    <t>H12-N/37</t>
  </si>
  <si>
    <t>H12-N/38</t>
  </si>
  <si>
    <t>H12-N/39</t>
  </si>
  <si>
    <t>H12-N/40</t>
  </si>
  <si>
    <t>H12-N/41</t>
  </si>
  <si>
    <t>H12-N/42</t>
  </si>
  <si>
    <t>H12-N/43</t>
  </si>
  <si>
    <t>H12-N/44</t>
  </si>
  <si>
    <t>H12-N/45</t>
  </si>
  <si>
    <t>H12-N/46</t>
  </si>
  <si>
    <t>H12-N/47</t>
  </si>
  <si>
    <t>H12-N/48</t>
  </si>
  <si>
    <t>H12-N/49</t>
  </si>
  <si>
    <t>H12-N/50</t>
  </si>
  <si>
    <t>H12-N/51</t>
  </si>
  <si>
    <t>H12-N/52</t>
  </si>
  <si>
    <t>H12-N/53</t>
  </si>
  <si>
    <t>H12-N/54</t>
  </si>
  <si>
    <t>H13-N/01</t>
  </si>
  <si>
    <t>H13-N/02</t>
  </si>
  <si>
    <t>H13-N/03</t>
  </si>
  <si>
    <t>H13-N/04</t>
  </si>
  <si>
    <t>H13-N/05</t>
  </si>
  <si>
    <t>H13-N/06</t>
  </si>
  <si>
    <t>H13-N/07</t>
  </si>
  <si>
    <t>H13-N/08</t>
  </si>
  <si>
    <t>H13-N/09</t>
  </si>
  <si>
    <t>H13-N/10</t>
  </si>
  <si>
    <t>H13-N/11</t>
  </si>
  <si>
    <t>H13-N/12</t>
  </si>
  <si>
    <t>H13-N/13</t>
  </si>
  <si>
    <t>H13-N/14</t>
  </si>
  <si>
    <t>H13-N/15</t>
  </si>
  <si>
    <t>H13-N/16</t>
  </si>
  <si>
    <t>H13-N/17</t>
  </si>
  <si>
    <t>H13-N/18</t>
  </si>
  <si>
    <t>H13-N/19</t>
  </si>
  <si>
    <t>H13-N/20</t>
  </si>
  <si>
    <t>H13-N/21</t>
  </si>
  <si>
    <t>H13-N/22</t>
  </si>
  <si>
    <t>H13-N/23</t>
  </si>
  <si>
    <t>H13-N/24</t>
  </si>
  <si>
    <t>H13-N/25</t>
  </si>
  <si>
    <t>H13-N/26</t>
  </si>
  <si>
    <t>H13-N/27</t>
  </si>
  <si>
    <t>H13-N/28</t>
  </si>
  <si>
    <t>H13-N/29</t>
  </si>
  <si>
    <t>H13-N/30</t>
  </si>
  <si>
    <t>H13-N/31</t>
  </si>
  <si>
    <t>H13-N/32</t>
  </si>
  <si>
    <t>H13-N/33</t>
  </si>
  <si>
    <t>H13-N/34</t>
  </si>
  <si>
    <t>H13-N/35</t>
  </si>
  <si>
    <t>H13-N/36</t>
  </si>
  <si>
    <t>H13-N/37</t>
  </si>
  <si>
    <t>H13-N/38</t>
  </si>
  <si>
    <t>H13-N/43</t>
  </si>
  <si>
    <t>H13-N/44</t>
  </si>
  <si>
    <t>H13-N/45</t>
  </si>
  <si>
    <t>H13-N/46</t>
  </si>
  <si>
    <t>H13-N/47</t>
  </si>
  <si>
    <t>H13-N/48</t>
  </si>
  <si>
    <t>H13-N/49</t>
  </si>
  <si>
    <t>H13-N/50</t>
  </si>
  <si>
    <t>H13-N/51</t>
  </si>
  <si>
    <t>H13-N/52</t>
  </si>
  <si>
    <t>H14-N/01</t>
  </si>
  <si>
    <t>H14-N/02</t>
  </si>
  <si>
    <t>H14-N/03</t>
  </si>
  <si>
    <t>H14-N/04</t>
  </si>
  <si>
    <t>H14-N/05</t>
  </si>
  <si>
    <t>H14-N/06</t>
  </si>
  <si>
    <t>H14-N/07</t>
  </si>
  <si>
    <t>H14-N/08</t>
  </si>
  <si>
    <t>H14-N/09</t>
  </si>
  <si>
    <t>H14-N/10</t>
  </si>
  <si>
    <t>H14-N/11</t>
  </si>
  <si>
    <t>H14-N/12</t>
  </si>
  <si>
    <t>H14-N/13</t>
  </si>
  <si>
    <t>H14-N/14</t>
  </si>
  <si>
    <t>H14-N/15</t>
  </si>
  <si>
    <t>H14-N/16</t>
  </si>
  <si>
    <t>H14-N/17</t>
  </si>
  <si>
    <t>H14-N/18</t>
  </si>
  <si>
    <t>H14-N/19</t>
  </si>
  <si>
    <t>H14-N/20</t>
  </si>
  <si>
    <t>H14-N/21</t>
  </si>
  <si>
    <t>H14-N/22</t>
  </si>
  <si>
    <t>H14-N/23</t>
  </si>
  <si>
    <t>H14-N/24</t>
  </si>
  <si>
    <t>H14-N/25</t>
  </si>
  <si>
    <t>H14-N/26</t>
  </si>
  <si>
    <t>H14-N/27</t>
  </si>
  <si>
    <t>H14-N/28</t>
  </si>
  <si>
    <t>H14-N/33</t>
  </si>
  <si>
    <t>H14-N/34</t>
  </si>
  <si>
    <t>H14-N/35</t>
  </si>
  <si>
    <t>H15-N/01</t>
  </si>
  <si>
    <t>H15-N/02</t>
  </si>
  <si>
    <t>H15-N/03</t>
  </si>
  <si>
    <t>H15-N/04</t>
  </si>
  <si>
    <t>H15-N/05</t>
  </si>
  <si>
    <t>H15-N/06</t>
  </si>
  <si>
    <t>H15-N/07</t>
  </si>
  <si>
    <t>H15-N/08</t>
  </si>
  <si>
    <t>H15-N/09</t>
  </si>
  <si>
    <t>H15-N/10</t>
  </si>
  <si>
    <t>H15-N/11</t>
  </si>
  <si>
    <t>H15-N/12</t>
  </si>
  <si>
    <t>H15-N/13</t>
  </si>
  <si>
    <t>H15-N/14</t>
  </si>
  <si>
    <t>H15-N/15</t>
  </si>
  <si>
    <t>H15-N/16</t>
  </si>
  <si>
    <t>H15-N/17</t>
  </si>
  <si>
    <t>H15-N/18</t>
  </si>
  <si>
    <t>H15-N/19</t>
  </si>
  <si>
    <t>H15-N/20</t>
  </si>
  <si>
    <t>H15-N/21</t>
  </si>
  <si>
    <t>H15-N/22</t>
  </si>
  <si>
    <t>H15-N/23</t>
  </si>
  <si>
    <t>H15-N/24</t>
  </si>
  <si>
    <t>H15-N/25</t>
  </si>
  <si>
    <t>H15-N/26</t>
  </si>
  <si>
    <t>H15-N/27</t>
  </si>
  <si>
    <t>H15-N/28</t>
  </si>
  <si>
    <t>H15-N/29</t>
  </si>
  <si>
    <t>H15-N/30</t>
  </si>
  <si>
    <t>H15-N/31</t>
  </si>
  <si>
    <t>H15-N/32</t>
  </si>
  <si>
    <t>H15-N/33</t>
  </si>
  <si>
    <t>H15-N/34</t>
  </si>
  <si>
    <t>H15-N/35</t>
  </si>
  <si>
    <t>H15-N/36</t>
  </si>
  <si>
    <t>H15-N/37</t>
  </si>
  <si>
    <t>H15-N/38</t>
  </si>
  <si>
    <t>H15-N/43</t>
  </si>
  <si>
    <t>H15-N/44</t>
  </si>
  <si>
    <t>H15-N/45</t>
  </si>
  <si>
    <t>H15-N/46</t>
  </si>
  <si>
    <t>H15-N/47</t>
  </si>
  <si>
    <t>H15-N/48</t>
  </si>
  <si>
    <t>H15-N/49</t>
  </si>
  <si>
    <t>H15-N/50</t>
  </si>
  <si>
    <t>H15-N/51</t>
  </si>
  <si>
    <t>H15-N/52</t>
  </si>
  <si>
    <t>H16-N/01</t>
  </si>
  <si>
    <t>H16-N/02</t>
  </si>
  <si>
    <t>H16-N/03</t>
  </si>
  <si>
    <t>H16-N/04</t>
  </si>
  <si>
    <t>H16-N/05</t>
  </si>
  <si>
    <t>H16-N/06</t>
  </si>
  <si>
    <t>H16-N/07</t>
  </si>
  <si>
    <t>H16-N/08</t>
  </si>
  <si>
    <t>H16-N/09</t>
  </si>
  <si>
    <t>H16-N/10</t>
  </si>
  <si>
    <t>H16-N/11</t>
  </si>
  <si>
    <t>H16-N/12</t>
  </si>
  <si>
    <t>H16-N/13</t>
  </si>
  <si>
    <t>H16-N/14</t>
  </si>
  <si>
    <t>H16-N/15</t>
  </si>
  <si>
    <t>H16-N/16</t>
  </si>
  <si>
    <t>H16-N/17</t>
  </si>
  <si>
    <t>H16-N/18</t>
  </si>
  <si>
    <t>H16-N/19</t>
  </si>
  <si>
    <t>H16-N/20</t>
  </si>
  <si>
    <t>H16-N/21</t>
  </si>
  <si>
    <t>H16-N/22</t>
  </si>
  <si>
    <t>H16-N/23</t>
  </si>
  <si>
    <t>H16-N/24</t>
  </si>
  <si>
    <t>H16-N/25</t>
  </si>
  <si>
    <t>H16-N/26</t>
  </si>
  <si>
    <t>H16-N/27</t>
  </si>
  <si>
    <t>H16-N/28</t>
  </si>
  <si>
    <t>H16-N/33</t>
  </si>
  <si>
    <t>H16-N/34</t>
  </si>
  <si>
    <t>H16-N/35</t>
  </si>
  <si>
    <t>H17-N/01</t>
  </si>
  <si>
    <t>H17-N/02</t>
  </si>
  <si>
    <t>H17-N/03</t>
  </si>
  <si>
    <t>H17-N/04</t>
  </si>
  <si>
    <t>H17-N/05</t>
  </si>
  <si>
    <t>H17-N/06</t>
  </si>
  <si>
    <t>H17-N/07</t>
  </si>
  <si>
    <t>H17-N/08</t>
  </si>
  <si>
    <t>H17-N/09</t>
  </si>
  <si>
    <t>H17-N/10</t>
  </si>
  <si>
    <t>H17-N/11</t>
  </si>
  <si>
    <t>H17-N/12</t>
  </si>
  <si>
    <t>H17-N/13</t>
  </si>
  <si>
    <t>H17-N/14</t>
  </si>
  <si>
    <t>H17-N/15</t>
  </si>
  <si>
    <t>H17-N/16</t>
  </si>
  <si>
    <t>H17-N/17</t>
  </si>
  <si>
    <t>H17-N/18</t>
  </si>
  <si>
    <t>H17-N/19</t>
  </si>
  <si>
    <t>H17-N/20</t>
  </si>
  <si>
    <t>H17-N/21</t>
  </si>
  <si>
    <t>H17-N/22</t>
  </si>
  <si>
    <t>H17-N/23</t>
  </si>
  <si>
    <t>H17-N/24</t>
  </si>
  <si>
    <t>H17-N/25</t>
  </si>
  <si>
    <t>H17-N/26</t>
  </si>
  <si>
    <t>H17-N/27</t>
  </si>
  <si>
    <t>H17-N/28</t>
  </si>
  <si>
    <t>H17-N/29</t>
  </si>
  <si>
    <t>H17-N/30</t>
  </si>
  <si>
    <t>H17-N/31</t>
  </si>
  <si>
    <t>H17-N/32</t>
  </si>
  <si>
    <t>H17-N/33</t>
  </si>
  <si>
    <t>H17-N/34</t>
  </si>
  <si>
    <t>H17-N/35</t>
  </si>
  <si>
    <t>H17-N/36</t>
  </si>
  <si>
    <t>H17-N/37</t>
  </si>
  <si>
    <t>H17-N/38</t>
  </si>
  <si>
    <t>H17-N/39</t>
  </si>
  <si>
    <t>H17-N/40</t>
  </si>
  <si>
    <t>H17-N/41</t>
  </si>
  <si>
    <t>H17-N/42</t>
  </si>
  <si>
    <t>H17-N/43</t>
  </si>
  <si>
    <t>H17-N/44</t>
  </si>
  <si>
    <t>H17-N/45</t>
  </si>
  <si>
    <t>H17-N/46</t>
  </si>
  <si>
    <t>H17-N/47</t>
  </si>
  <si>
    <t>H17-N/48</t>
  </si>
  <si>
    <t>H17-N/49</t>
  </si>
  <si>
    <t>H17-N/50</t>
  </si>
  <si>
    <t>H17-N/51</t>
  </si>
  <si>
    <t>H17-N/52</t>
  </si>
  <si>
    <t>H18-N/01</t>
  </si>
  <si>
    <t>H18-N/02</t>
  </si>
  <si>
    <t>H18-N/03</t>
  </si>
  <si>
    <t>H18-N/04</t>
  </si>
  <si>
    <t>H18-N/05</t>
  </si>
  <si>
    <t>H18-N/06</t>
  </si>
  <si>
    <t>H18-N/07</t>
  </si>
  <si>
    <t>H18-N/08</t>
  </si>
  <si>
    <t>H18-N/09</t>
  </si>
  <si>
    <t>H18-N/10</t>
  </si>
  <si>
    <t>Curve with C-panel</t>
  </si>
  <si>
    <t>H18-N/11</t>
  </si>
  <si>
    <t>H18-N/12</t>
  </si>
  <si>
    <t>H18-N/13</t>
  </si>
  <si>
    <t>H18-N/14</t>
  </si>
  <si>
    <t>H18-N/15</t>
  </si>
  <si>
    <t>H18-N/16</t>
  </si>
  <si>
    <t>H18-N/17</t>
  </si>
  <si>
    <t>H18-N/18</t>
  </si>
  <si>
    <t>H18-N/19</t>
  </si>
  <si>
    <t>H18-N/20</t>
  </si>
  <si>
    <t>H18-N/25</t>
  </si>
  <si>
    <t>H18-N/26</t>
  </si>
  <si>
    <t>H18-N/27</t>
  </si>
  <si>
    <t>H18-N/28</t>
  </si>
  <si>
    <t>H18-N/29</t>
  </si>
  <si>
    <t>H18-N/30</t>
  </si>
  <si>
    <t>H18-N/31</t>
  </si>
  <si>
    <t>H18-N/32</t>
  </si>
  <si>
    <t>H18-N/33</t>
  </si>
  <si>
    <t>H18-N/34</t>
  </si>
  <si>
    <t>H19-N/01</t>
  </si>
  <si>
    <t>H19-N/02</t>
  </si>
  <si>
    <t>H19-N/03</t>
  </si>
  <si>
    <t>H19-N/04</t>
  </si>
  <si>
    <t>H19-N/05</t>
  </si>
  <si>
    <t>H19-N/06</t>
  </si>
  <si>
    <t>H19-N/07</t>
  </si>
  <si>
    <t>H19-N/08</t>
  </si>
  <si>
    <t>H19-N/09</t>
  </si>
  <si>
    <t>H19-N/10</t>
  </si>
  <si>
    <t>H19-N/11</t>
  </si>
  <si>
    <t>H19-N/12</t>
  </si>
  <si>
    <t>H19-N/13</t>
  </si>
  <si>
    <t>H19-N/14</t>
  </si>
  <si>
    <t>H19-N/15</t>
  </si>
  <si>
    <t>H19-N/16</t>
  </si>
  <si>
    <t>H19-N/17</t>
  </si>
  <si>
    <t>H19-N/18</t>
  </si>
  <si>
    <t>H19-N/19</t>
  </si>
  <si>
    <t>H19-N/24</t>
  </si>
  <si>
    <t>H19-N/25</t>
  </si>
  <si>
    <t>H19-N/26</t>
  </si>
  <si>
    <t>H20-N/01</t>
  </si>
  <si>
    <t>H20-N/02</t>
  </si>
  <si>
    <t>H20-N/03</t>
  </si>
  <si>
    <t>H20-N/04</t>
  </si>
  <si>
    <t>H20-N/05</t>
  </si>
  <si>
    <t>H20-N/06</t>
  </si>
  <si>
    <t>H20-N/07</t>
  </si>
  <si>
    <t>H20-N/08</t>
  </si>
  <si>
    <t>H20-N/09</t>
  </si>
  <si>
    <t>H20-N/10</t>
  </si>
  <si>
    <t>H20-N/11</t>
  </si>
  <si>
    <t>H20-N/12</t>
  </si>
  <si>
    <t>H20-N/13</t>
  </si>
  <si>
    <t>H20-N/14</t>
  </si>
  <si>
    <t>H20-N/15</t>
  </si>
  <si>
    <t>H20-N/16</t>
  </si>
  <si>
    <t>H20-N/17</t>
  </si>
  <si>
    <t>H20-N/18</t>
  </si>
  <si>
    <t>H20-N/19</t>
  </si>
  <si>
    <t>H20-N/20</t>
  </si>
  <si>
    <t>H20-N/25</t>
  </si>
  <si>
    <t>H20-N/26</t>
  </si>
  <si>
    <t>H20-N/27</t>
  </si>
  <si>
    <t>H20-N/28</t>
  </si>
  <si>
    <t>H20-N/29</t>
  </si>
  <si>
    <t>H20-N/30</t>
  </si>
  <si>
    <t>H20-N/31</t>
  </si>
  <si>
    <t>H20-N/32</t>
  </si>
  <si>
    <t>H20-N/33</t>
  </si>
  <si>
    <t>H20-N/34</t>
  </si>
  <si>
    <t>H21-N/01</t>
  </si>
  <si>
    <t>H21-N/02</t>
  </si>
  <si>
    <t>H21-N/03</t>
  </si>
  <si>
    <t>H21-N/04</t>
  </si>
  <si>
    <t>H21-N/05</t>
  </si>
  <si>
    <t>H21-N/06</t>
  </si>
  <si>
    <t>H21-N/07</t>
  </si>
  <si>
    <t>H21-N/08</t>
  </si>
  <si>
    <t>H21-N/09</t>
  </si>
  <si>
    <t>H21-N/10</t>
  </si>
  <si>
    <t>H21-N/11</t>
  </si>
  <si>
    <t>H21-N/12</t>
  </si>
  <si>
    <t>H21-N/13</t>
  </si>
  <si>
    <t>H21-N/14</t>
  </si>
  <si>
    <t>H21-N/15</t>
  </si>
  <si>
    <t>H21-N/16</t>
  </si>
  <si>
    <t>H21-N/17</t>
  </si>
  <si>
    <t>H21-N/18</t>
  </si>
  <si>
    <t>H21-N/19</t>
  </si>
  <si>
    <t>H21-N/24</t>
  </si>
  <si>
    <t>H21-N/25</t>
  </si>
  <si>
    <t>H21-N/26</t>
  </si>
  <si>
    <t>H22-N/01</t>
  </si>
  <si>
    <t>H22-N/02</t>
  </si>
  <si>
    <t>H22-N/03</t>
  </si>
  <si>
    <t>H22-N/04</t>
  </si>
  <si>
    <t>H22-N/05</t>
  </si>
  <si>
    <t>H22-N/06</t>
  </si>
  <si>
    <t>H22-N/07</t>
  </si>
  <si>
    <t>H22-N/08</t>
  </si>
  <si>
    <t>H22-N/09</t>
  </si>
  <si>
    <t>H22-N/10</t>
  </si>
  <si>
    <t>H22-N/11</t>
  </si>
  <si>
    <t>H22-N/12</t>
  </si>
  <si>
    <t>H22-N/13</t>
  </si>
  <si>
    <t>H22-N/14</t>
  </si>
  <si>
    <t>H22-N/15</t>
  </si>
  <si>
    <t>H22-N/16</t>
  </si>
  <si>
    <t>H22-N/17</t>
  </si>
  <si>
    <t>H22-N/18</t>
  </si>
  <si>
    <t>H22-N/19</t>
  </si>
  <si>
    <t>H22-N/20</t>
  </si>
  <si>
    <t>H22-N/25</t>
  </si>
  <si>
    <t>H22-N/26</t>
  </si>
  <si>
    <t>H22-N/27</t>
  </si>
  <si>
    <t>H22-N/28</t>
  </si>
  <si>
    <t>H22-N/29</t>
  </si>
  <si>
    <t>H22-N/30</t>
  </si>
  <si>
    <t>H22-N/31</t>
  </si>
  <si>
    <t>H22-N/32</t>
  </si>
  <si>
    <t>H22-N/33</t>
  </si>
  <si>
    <t>H22-N/34</t>
  </si>
  <si>
    <t>H23-N/01</t>
  </si>
  <si>
    <t>H23-N/02</t>
  </si>
  <si>
    <t>H23-N/03</t>
  </si>
  <si>
    <t>H23-N/04</t>
  </si>
  <si>
    <t>H23-N/05</t>
  </si>
  <si>
    <t>H23-N/06</t>
  </si>
  <si>
    <t>H23-N/07</t>
  </si>
  <si>
    <t>H23-N/08</t>
  </si>
  <si>
    <t>H23-N/09</t>
  </si>
  <si>
    <t>H23-N/10</t>
  </si>
  <si>
    <t>H23-N/11</t>
  </si>
  <si>
    <t>H23-N/12</t>
  </si>
  <si>
    <t>H23-N/13</t>
  </si>
  <si>
    <t>H23-N/14</t>
  </si>
  <si>
    <t>H23-N/15</t>
  </si>
  <si>
    <t>H23-N/16</t>
  </si>
  <si>
    <t>H23-N/17</t>
  </si>
  <si>
    <t>H23-N/18</t>
  </si>
  <si>
    <t>H23-N/19</t>
  </si>
  <si>
    <t>H23-N/20</t>
  </si>
  <si>
    <t>H23-N/25</t>
  </si>
  <si>
    <t>H23-N/26</t>
  </si>
  <si>
    <t>H23-N/27</t>
  </si>
  <si>
    <t>H24-N/01</t>
  </si>
  <si>
    <t>H24-N/02</t>
  </si>
  <si>
    <t>H24-N/03</t>
  </si>
  <si>
    <t>H24-N/04</t>
  </si>
  <si>
    <t>H24-N/05</t>
  </si>
  <si>
    <t>H24-N/06</t>
  </si>
  <si>
    <t>H24-N/07</t>
  </si>
  <si>
    <t>H24-N/08</t>
  </si>
  <si>
    <t>H24-N/09</t>
  </si>
  <si>
    <t>H24-N/10</t>
  </si>
  <si>
    <t>H24-N/11</t>
  </si>
  <si>
    <t>H24-N/12</t>
  </si>
  <si>
    <t>H24-N/13</t>
  </si>
  <si>
    <t>H24-N/14</t>
  </si>
  <si>
    <t>H24-N/15</t>
  </si>
  <si>
    <t>H24-N/16</t>
  </si>
  <si>
    <t>H24-N/17</t>
  </si>
  <si>
    <t>H24-N/18</t>
  </si>
  <si>
    <t>H24-N/19</t>
  </si>
  <si>
    <t>H24-N/20</t>
  </si>
  <si>
    <t>H24-N/21</t>
  </si>
  <si>
    <t>H24-N/22</t>
  </si>
  <si>
    <t>H24-N/23</t>
  </si>
  <si>
    <t>H24-N/24</t>
  </si>
  <si>
    <t>H24-N/25</t>
  </si>
  <si>
    <t>H24-N/26</t>
  </si>
  <si>
    <t>H24-N/27</t>
  </si>
  <si>
    <t>H24-N/28</t>
  </si>
  <si>
    <t>H24-N/29</t>
  </si>
  <si>
    <t>H24-N/30</t>
  </si>
  <si>
    <t>H24-N/31</t>
  </si>
  <si>
    <t>H24-N/32</t>
  </si>
  <si>
    <t>H24-N/33</t>
  </si>
  <si>
    <t>H24-N/34</t>
  </si>
  <si>
    <t>H24-N/35</t>
  </si>
  <si>
    <t>H24-N/36</t>
  </si>
  <si>
    <t>H24-N/37</t>
  </si>
  <si>
    <t>H24-N/38</t>
  </si>
  <si>
    <t>H24-N/39</t>
  </si>
  <si>
    <t>H24-N/40</t>
  </si>
  <si>
    <t>H24-N/41</t>
  </si>
  <si>
    <t>H24-N/42</t>
  </si>
  <si>
    <t>H24-N/43</t>
  </si>
  <si>
    <t>H24-N/44</t>
  </si>
  <si>
    <t>H24-N/45</t>
  </si>
  <si>
    <t>H24-N/46</t>
  </si>
  <si>
    <t>H24-N/47</t>
  </si>
  <si>
    <t>H24-N/48</t>
  </si>
  <si>
    <t>H24-N/49</t>
  </si>
  <si>
    <t>H24-N/50</t>
  </si>
  <si>
    <t>H24-N/51</t>
  </si>
  <si>
    <t>H24-N/52</t>
  </si>
  <si>
    <t>H25-N/01</t>
  </si>
  <si>
    <t>H25-N/02</t>
  </si>
  <si>
    <t>H25-N/03</t>
  </si>
  <si>
    <t>H25-N/04</t>
  </si>
  <si>
    <t>H25-N/05</t>
  </si>
  <si>
    <t>H25-N/06</t>
  </si>
  <si>
    <t>H25-N/07</t>
  </si>
  <si>
    <t>H25-N/08</t>
  </si>
  <si>
    <t>H25-N/09</t>
  </si>
  <si>
    <t>H25-N/10</t>
  </si>
  <si>
    <t>H25-N/11</t>
  </si>
  <si>
    <t>H25-N/12</t>
  </si>
  <si>
    <t>H25-N/13</t>
  </si>
  <si>
    <t>H25-N/14</t>
  </si>
  <si>
    <t>H25-N/15</t>
  </si>
  <si>
    <t>H25-N/16</t>
  </si>
  <si>
    <t>H25-N/17</t>
  </si>
  <si>
    <t>H25-N/18</t>
  </si>
  <si>
    <t>H25-N/19</t>
  </si>
  <si>
    <t>H25-N/20</t>
  </si>
  <si>
    <t>H25-N/21</t>
  </si>
  <si>
    <t>H25-N/22</t>
  </si>
  <si>
    <t>H25-N/23</t>
  </si>
  <si>
    <t>H25-N/24</t>
  </si>
  <si>
    <t>H25-N/25</t>
  </si>
  <si>
    <t>H25-N/26</t>
  </si>
  <si>
    <t>H25-N/27</t>
  </si>
  <si>
    <t>H25-N/28</t>
  </si>
  <si>
    <t>H25-N/29</t>
  </si>
  <si>
    <t>H25-N/34</t>
  </si>
  <si>
    <t>H25-N/35</t>
  </si>
  <si>
    <t>H25-N/36</t>
  </si>
  <si>
    <t>H25-N/37</t>
  </si>
  <si>
    <t>H26-N/01</t>
  </si>
  <si>
    <t>H26-N/02</t>
  </si>
  <si>
    <t>H26-N/03</t>
  </si>
  <si>
    <t>H26-N/04</t>
  </si>
  <si>
    <t>H26-N/05</t>
  </si>
  <si>
    <t>H26-N/06</t>
  </si>
  <si>
    <t>H26-N/07</t>
  </si>
  <si>
    <t>H26-N/08</t>
  </si>
  <si>
    <t>H26-N/09</t>
  </si>
  <si>
    <t>H26-N/10</t>
  </si>
  <si>
    <t>H26-N/11</t>
  </si>
  <si>
    <t>H26-N/12</t>
  </si>
  <si>
    <t>H26-N/13</t>
  </si>
  <si>
    <t>H26-N/14</t>
  </si>
  <si>
    <t>H26-N/15</t>
  </si>
  <si>
    <t>H26-N/16</t>
  </si>
  <si>
    <t>H26-N/17</t>
  </si>
  <si>
    <t>H26-N/18</t>
  </si>
  <si>
    <t>H26-N/19</t>
  </si>
  <si>
    <t>H26-N/20</t>
  </si>
  <si>
    <t>H26-N/21</t>
  </si>
  <si>
    <t>H26-N/22</t>
  </si>
  <si>
    <t>H26-N/23</t>
  </si>
  <si>
    <t>H26-N/24</t>
  </si>
  <si>
    <t>H26-N/25</t>
  </si>
  <si>
    <t>H26-N/26</t>
  </si>
  <si>
    <t>H26-N/27</t>
  </si>
  <si>
    <t xml:space="preserve">Curve with C Panel </t>
  </si>
  <si>
    <t>H26-N/28</t>
  </si>
  <si>
    <t>H26-N/33</t>
  </si>
  <si>
    <t>H26-N/34</t>
  </si>
  <si>
    <t>H26-N/35</t>
  </si>
  <si>
    <t>H26-N/36</t>
  </si>
  <si>
    <t>H26-N/37</t>
  </si>
  <si>
    <t>H26-N/38</t>
  </si>
  <si>
    <t>H26-N/39</t>
  </si>
  <si>
    <t>H26-N/40</t>
  </si>
  <si>
    <t>H26-N/41</t>
  </si>
  <si>
    <t>H26-N/42</t>
  </si>
  <si>
    <t>H26-N/43</t>
  </si>
  <si>
    <t>H26-N/44</t>
  </si>
  <si>
    <t>H26-N/45</t>
  </si>
  <si>
    <t>H26-N/46</t>
  </si>
  <si>
    <t>H26-N/47</t>
  </si>
  <si>
    <t>H26-N/48</t>
  </si>
  <si>
    <t>H26-N/49</t>
  </si>
  <si>
    <t>H26-N/50</t>
  </si>
  <si>
    <t>H26-N/51</t>
  </si>
  <si>
    <t>H26-N/52</t>
  </si>
  <si>
    <t>H27-N/01</t>
  </si>
  <si>
    <t>H27-N/02</t>
  </si>
  <si>
    <t>H27-N/03</t>
  </si>
  <si>
    <t>H27-N/04</t>
  </si>
  <si>
    <t>H27-N/05</t>
  </si>
  <si>
    <t>H27-N/06</t>
  </si>
  <si>
    <t>H27-N/07</t>
  </si>
  <si>
    <t>H27-N/08</t>
  </si>
  <si>
    <t>H27-N/09</t>
  </si>
  <si>
    <t>H27-N/10</t>
  </si>
  <si>
    <t>H27-N/11</t>
  </si>
  <si>
    <t>H27-N/12</t>
  </si>
  <si>
    <t>H27-N/13</t>
  </si>
  <si>
    <t>H27-N/14</t>
  </si>
  <si>
    <t>H27-N/15</t>
  </si>
  <si>
    <t>H27-N/16</t>
  </si>
  <si>
    <t>H27-N/17</t>
  </si>
  <si>
    <t>H27-N/18</t>
  </si>
  <si>
    <t>H27-N/19</t>
  </si>
  <si>
    <t>H27-N/20</t>
  </si>
  <si>
    <t>H27-N/21</t>
  </si>
  <si>
    <t>H27-N/22</t>
  </si>
  <si>
    <t>H27-N/23</t>
  </si>
  <si>
    <t>H27-N/24</t>
  </si>
  <si>
    <t>H27-N/25</t>
  </si>
  <si>
    <t>H27-N/26</t>
  </si>
  <si>
    <t>H27-N/27</t>
  </si>
  <si>
    <t>H27-N/28</t>
  </si>
  <si>
    <t>H27-N/29</t>
  </si>
  <si>
    <t>H27-N/34</t>
  </si>
  <si>
    <t>H27-N/35</t>
  </si>
  <si>
    <t>H27-N/36</t>
  </si>
  <si>
    <t>H27-N/37</t>
  </si>
  <si>
    <t>H28-N/01</t>
  </si>
  <si>
    <t>H28-N/02</t>
  </si>
  <si>
    <t>H28-N/03</t>
  </si>
  <si>
    <t>H28-N/04</t>
  </si>
  <si>
    <t>H28-N/05</t>
  </si>
  <si>
    <t>H28-N/06</t>
  </si>
  <si>
    <t>H28-N/07</t>
  </si>
  <si>
    <t>H28-N/08</t>
  </si>
  <si>
    <t>H28-N/09</t>
  </si>
  <si>
    <t>H28-N/10</t>
  </si>
  <si>
    <t>H28-N/11</t>
  </si>
  <si>
    <t>H28-N/12</t>
  </si>
  <si>
    <t>H28-N/13</t>
  </si>
  <si>
    <t>H28-N/14</t>
  </si>
  <si>
    <t>H28-N/15</t>
  </si>
  <si>
    <t>H28-N/16</t>
  </si>
  <si>
    <t>H28-N/17</t>
  </si>
  <si>
    <t>H28-N/18</t>
  </si>
  <si>
    <t>H28-N/19</t>
  </si>
  <si>
    <t>H28-N/20</t>
  </si>
  <si>
    <t>H28-N/21</t>
  </si>
  <si>
    <t>H28-N/22</t>
  </si>
  <si>
    <t>H28-N/23</t>
  </si>
  <si>
    <t>H28-N/24</t>
  </si>
  <si>
    <t>H28-N/25</t>
  </si>
  <si>
    <t>H28-N/26</t>
  </si>
  <si>
    <t>H28-N/27</t>
  </si>
  <si>
    <t>H28-N/28</t>
  </si>
  <si>
    <t>H28-N/29</t>
  </si>
  <si>
    <t>H28-N/30</t>
  </si>
  <si>
    <t>H28-N/31</t>
  </si>
  <si>
    <t>H28-N/32</t>
  </si>
  <si>
    <t>H28-N/33</t>
  </si>
  <si>
    <t>H28-N/34</t>
  </si>
  <si>
    <t>H28-N/35</t>
  </si>
  <si>
    <t>H28-N/36</t>
  </si>
  <si>
    <t>H28-N/37</t>
  </si>
  <si>
    <t>H28-N/38</t>
  </si>
  <si>
    <t>H28-N/39</t>
  </si>
  <si>
    <t>H28-N/40</t>
  </si>
  <si>
    <t>H28-N/41</t>
  </si>
  <si>
    <t>H28-N/42</t>
  </si>
  <si>
    <t>H28-N/43</t>
  </si>
  <si>
    <t>H28-N/44</t>
  </si>
  <si>
    <t>H28-N/45</t>
  </si>
  <si>
    <t>H28-N/46</t>
  </si>
  <si>
    <t>H28-N/47</t>
  </si>
  <si>
    <t>H28-N/48</t>
  </si>
  <si>
    <t>H28-N/49</t>
  </si>
  <si>
    <t>H28-N/50</t>
  </si>
  <si>
    <t>H28-N/51</t>
  </si>
  <si>
    <t>H28-N/52</t>
  </si>
  <si>
    <t>H29-N/01</t>
  </si>
  <si>
    <t>H29-N/02</t>
  </si>
  <si>
    <t>H29-N/03</t>
  </si>
  <si>
    <t>H29-N/04</t>
  </si>
  <si>
    <t>H29-N/05</t>
  </si>
  <si>
    <t>H29-N/06</t>
  </si>
  <si>
    <t>H29-N/07</t>
  </si>
  <si>
    <t>H29-N/08</t>
  </si>
  <si>
    <t>H29-N/09</t>
  </si>
  <si>
    <t>H29-N/10</t>
  </si>
  <si>
    <t>H29-N/11</t>
  </si>
  <si>
    <t>H29-N/12</t>
  </si>
  <si>
    <t>H29-N/13</t>
  </si>
  <si>
    <t>H29-N/14</t>
  </si>
  <si>
    <t>H29-N/15</t>
  </si>
  <si>
    <t>H29-N/16</t>
  </si>
  <si>
    <t>H29-N/17</t>
  </si>
  <si>
    <t>H29-N/18</t>
  </si>
  <si>
    <t>H29-N/19</t>
  </si>
  <si>
    <t>H29-N/20</t>
  </si>
  <si>
    <t>H29-N/21</t>
  </si>
  <si>
    <t>H29-N/22</t>
  </si>
  <si>
    <t>H29-N/23</t>
  </si>
  <si>
    <t>H29-N/24</t>
  </si>
  <si>
    <t>H29-N/25</t>
  </si>
  <si>
    <t>H29-N/26</t>
  </si>
  <si>
    <t>H29-N/27</t>
  </si>
  <si>
    <t>H29-N/28</t>
  </si>
  <si>
    <t>H29-N/29</t>
  </si>
  <si>
    <t>H29-N/30</t>
  </si>
  <si>
    <t>H29-N/31</t>
  </si>
  <si>
    <t>H29-N/32</t>
  </si>
  <si>
    <t>H29-N/33</t>
  </si>
  <si>
    <t>H29-N/34</t>
  </si>
  <si>
    <t>H29-N/35</t>
  </si>
  <si>
    <t>H29-N/36</t>
  </si>
  <si>
    <t>H29-N/37</t>
  </si>
  <si>
    <t>H29-N/38</t>
  </si>
  <si>
    <t>H29-N/39</t>
  </si>
  <si>
    <t>H29-N/40</t>
  </si>
  <si>
    <t>H29-N/41</t>
  </si>
  <si>
    <t>H29-N/42</t>
  </si>
  <si>
    <t>H29-N/43</t>
  </si>
  <si>
    <t>H29-N/44</t>
  </si>
  <si>
    <t>H29-N/45</t>
  </si>
  <si>
    <t>H29-N/46</t>
  </si>
  <si>
    <t>H29-N/47</t>
  </si>
  <si>
    <t>H29-N/48</t>
  </si>
  <si>
    <t>H29-N/49</t>
  </si>
  <si>
    <t>H29-N/50</t>
  </si>
  <si>
    <t>H29-N/51</t>
  </si>
  <si>
    <t>H29-N/52</t>
  </si>
  <si>
    <t>BOQ Item L</t>
  </si>
  <si>
    <t>DO No.</t>
  </si>
  <si>
    <t>MIR No.</t>
  </si>
  <si>
    <t>Wall
Type</t>
  </si>
  <si>
    <t>Qty
Per
Floor</t>
  </si>
  <si>
    <t>H8 to H29</t>
  </si>
  <si>
    <t>H7</t>
  </si>
  <si>
    <t>Mat'l On Site
(Length)</t>
  </si>
  <si>
    <t>Work Done
(Length)</t>
  </si>
  <si>
    <t>LVL</t>
  </si>
  <si>
    <t>R6</t>
  </si>
  <si>
    <t>R7 to R31</t>
  </si>
  <si>
    <t>A3</t>
  </si>
  <si>
    <t>1684, 1686</t>
  </si>
  <si>
    <t>1619,1697</t>
  </si>
  <si>
    <t>1625,1697</t>
  </si>
  <si>
    <t>1697,1706</t>
  </si>
  <si>
    <t>1706,1712</t>
  </si>
  <si>
    <t>1693,1695,1720</t>
  </si>
  <si>
    <t>1720,1725</t>
  </si>
  <si>
    <t>1672,1678,1725</t>
  </si>
  <si>
    <t>152,153,160</t>
  </si>
  <si>
    <t>1543,1734</t>
  </si>
  <si>
    <t>To proceed with the GRC Omission at Residential levels 26 and 28</t>
  </si>
  <si>
    <t>ERI Ref.</t>
  </si>
  <si>
    <t>ACONEX Mail No.</t>
  </si>
  <si>
    <t>MOS</t>
  </si>
  <si>
    <t>GRC PANEL ONSITE</t>
  </si>
  <si>
    <t>GRC PANEL INSTALLATION</t>
  </si>
  <si>
    <t>BOQ Item E</t>
  </si>
  <si>
    <t>BOQ Item N</t>
  </si>
  <si>
    <t>R6 to R31</t>
  </si>
  <si>
    <t>BOQ Item J</t>
  </si>
  <si>
    <t>Balcony Separator Type EWS-105
(Apartment Level 6 to 31)</t>
  </si>
  <si>
    <t>Balcony Separator Type EWS-105
(Hotel Level 7th to 29th)</t>
  </si>
  <si>
    <t>no.</t>
  </si>
  <si>
    <t>A&amp;C</t>
  </si>
  <si>
    <t>Delivered Onsite</t>
  </si>
  <si>
    <t>GRC BALCONY SEPARATOR / DIVIDER PANEL</t>
  </si>
  <si>
    <t>-</t>
  </si>
  <si>
    <t>Quantity Take Off- Service Apartment ( Tower ) &amp; Hotel ( Tower )</t>
  </si>
  <si>
    <t>R2-N/01</t>
  </si>
  <si>
    <t>R2-N/02</t>
  </si>
  <si>
    <t>R2-N/03</t>
  </si>
  <si>
    <t>R2-N/04</t>
  </si>
  <si>
    <t>R2-N/05</t>
  </si>
  <si>
    <t>R2-N/06</t>
  </si>
  <si>
    <t>R2-N/07</t>
  </si>
  <si>
    <t>R2-N/08</t>
  </si>
  <si>
    <t>R2-N/09</t>
  </si>
  <si>
    <t>R2-N/10</t>
  </si>
  <si>
    <t>R2-N/11</t>
  </si>
  <si>
    <t>R2-N/12</t>
  </si>
  <si>
    <t>R2-N/13</t>
  </si>
  <si>
    <t>R2-N/14</t>
  </si>
  <si>
    <t>R2-N/15</t>
  </si>
  <si>
    <t>R2-N/16</t>
  </si>
  <si>
    <t>R2-N/17</t>
  </si>
  <si>
    <t>R2-N/18</t>
  </si>
  <si>
    <t>R2-N/19</t>
  </si>
  <si>
    <t>R2-N/20</t>
  </si>
  <si>
    <t>R2-N/25</t>
  </si>
  <si>
    <t>R2-N/26</t>
  </si>
  <si>
    <t>R2-N/27</t>
  </si>
  <si>
    <t>R2-N/28</t>
  </si>
  <si>
    <t>R2-N/29</t>
  </si>
  <si>
    <t>R2-N/30</t>
  </si>
  <si>
    <t>R2-N/31</t>
  </si>
  <si>
    <t>R2-N/32</t>
  </si>
  <si>
    <t>R2-N/33</t>
  </si>
  <si>
    <t>R2-N/34</t>
  </si>
  <si>
    <t>R2-N/35</t>
  </si>
  <si>
    <t>R2-N/36</t>
  </si>
  <si>
    <t>R2-N/37</t>
  </si>
  <si>
    <t>R2-N/38</t>
  </si>
  <si>
    <t>R2-N/39</t>
  </si>
  <si>
    <t>R2-N/40</t>
  </si>
  <si>
    <t>R2-N/41</t>
  </si>
  <si>
    <t>R2-N/42</t>
  </si>
  <si>
    <t>R2-N/43</t>
  </si>
  <si>
    <t>R2-N/44</t>
  </si>
  <si>
    <t>R2-N/45</t>
  </si>
  <si>
    <t>R2-N/46</t>
  </si>
  <si>
    <t>R2-N/47</t>
  </si>
  <si>
    <t>R2-N/49</t>
  </si>
  <si>
    <t>R2-N/50</t>
  </si>
  <si>
    <t>R2-N/21</t>
  </si>
  <si>
    <t>R2-N/22</t>
  </si>
  <si>
    <t>R2-N/23</t>
  </si>
  <si>
    <t>R2-N/24</t>
  </si>
  <si>
    <t>R2-N/48</t>
  </si>
  <si>
    <t>R2-N/51</t>
  </si>
  <si>
    <t>R2-N/52</t>
  </si>
  <si>
    <t>R2-N/53</t>
  </si>
  <si>
    <t>R2-N/54</t>
  </si>
  <si>
    <t>R2-N/55</t>
  </si>
  <si>
    <t>R2-N/56</t>
  </si>
  <si>
    <t>R2-N/57</t>
  </si>
  <si>
    <t>R2-N/58</t>
  </si>
  <si>
    <t>R2-N/59</t>
  </si>
  <si>
    <t>R2-N/60</t>
  </si>
  <si>
    <t>R2-N/61</t>
  </si>
  <si>
    <t>R2-N/62</t>
  </si>
  <si>
    <t>R2-N/63</t>
  </si>
  <si>
    <t>R2-N/64</t>
  </si>
  <si>
    <t>R2-N/65</t>
  </si>
  <si>
    <t>R2-N/66</t>
  </si>
  <si>
    <t>R2-N/67</t>
  </si>
  <si>
    <t>R2-N/68</t>
  </si>
  <si>
    <t>R2-N/69</t>
  </si>
  <si>
    <t>R2-N/70</t>
  </si>
  <si>
    <t>R2-N/71</t>
  </si>
  <si>
    <t>R2-N/72</t>
  </si>
  <si>
    <t>H2-N/01</t>
  </si>
  <si>
    <t>H2-N/02</t>
  </si>
  <si>
    <t>H2-N/03</t>
  </si>
  <si>
    <t>H2-N/04</t>
  </si>
  <si>
    <t>H2-N/05</t>
  </si>
  <si>
    <t>H2-N/06</t>
  </si>
  <si>
    <t>H2-N/07</t>
  </si>
  <si>
    <t>H2-N/08</t>
  </si>
  <si>
    <t>H2-N/09</t>
  </si>
  <si>
    <t>H2-N/10</t>
  </si>
  <si>
    <t>H2-N/11</t>
  </si>
  <si>
    <t>H2-N/12</t>
  </si>
  <si>
    <t>H2-N/13</t>
  </si>
  <si>
    <t>H2-N/14</t>
  </si>
  <si>
    <t>H2-N/15</t>
  </si>
  <si>
    <t>H2-N/16</t>
  </si>
  <si>
    <t>H2-N/17</t>
  </si>
  <si>
    <t>H2-N/18</t>
  </si>
  <si>
    <t>H2-N/19</t>
  </si>
  <si>
    <t>H2-N/20</t>
  </si>
  <si>
    <t>H2-N/21</t>
  </si>
  <si>
    <t>H2-N/22</t>
  </si>
  <si>
    <t>H2-N/23</t>
  </si>
  <si>
    <t>H2-N/24</t>
  </si>
  <si>
    <t>H2-N/25</t>
  </si>
  <si>
    <t>H2-N/26</t>
  </si>
  <si>
    <t>H2-N/27</t>
  </si>
  <si>
    <t>H2-N/28</t>
  </si>
  <si>
    <t>H2-N/29</t>
  </si>
  <si>
    <t>H2-N/30</t>
  </si>
  <si>
    <t>H2-N/31</t>
  </si>
  <si>
    <t>H2-N/32</t>
  </si>
  <si>
    <t>H2-N/33</t>
  </si>
  <si>
    <t>H2-N/34</t>
  </si>
  <si>
    <t>H2-N/35</t>
  </si>
  <si>
    <t>H2-N/36</t>
  </si>
  <si>
    <t>H2-N/37</t>
  </si>
  <si>
    <t>H2-N/38</t>
  </si>
  <si>
    <t>H2-N/39</t>
  </si>
  <si>
    <t>H2-N/40</t>
  </si>
  <si>
    <t>H2-N/41</t>
  </si>
  <si>
    <t>H2-N/42</t>
  </si>
  <si>
    <t>H2-N/43</t>
  </si>
  <si>
    <t>H2-N/44</t>
  </si>
  <si>
    <t>H2-N/45</t>
  </si>
  <si>
    <t>H2-N/46</t>
  </si>
  <si>
    <t>H2-N/47</t>
  </si>
  <si>
    <t>H2-N/48</t>
  </si>
  <si>
    <t>H2-N/49</t>
  </si>
  <si>
    <t>H2-N/50</t>
  </si>
  <si>
    <t>H2-N/51</t>
  </si>
  <si>
    <t>H2-N/52</t>
  </si>
  <si>
    <t>H2-N/53</t>
  </si>
  <si>
    <t>H2-N/54</t>
  </si>
  <si>
    <t>H2-N/55</t>
  </si>
  <si>
    <t>H2-N/56</t>
  </si>
  <si>
    <t>H2-N/57</t>
  </si>
  <si>
    <t>H4-N/01</t>
  </si>
  <si>
    <t>H4-N/02</t>
  </si>
  <si>
    <t>H4-N/03</t>
  </si>
  <si>
    <t>H4-N/04</t>
  </si>
  <si>
    <t>H4-N/05</t>
  </si>
  <si>
    <t>H4-N/06</t>
  </si>
  <si>
    <t>H4-N/07</t>
  </si>
  <si>
    <t>H4-N/08</t>
  </si>
  <si>
    <t>H4-N/09</t>
  </si>
  <si>
    <t>H4-N/10</t>
  </si>
  <si>
    <t>H4-N/11</t>
  </si>
  <si>
    <t>H4-N/12</t>
  </si>
  <si>
    <t>H4-N/13</t>
  </si>
  <si>
    <t>H4-N/14</t>
  </si>
  <si>
    <t>H4-N/15</t>
  </si>
  <si>
    <t>H4-N/16</t>
  </si>
  <si>
    <t>H4-N/17</t>
  </si>
  <si>
    <t>H4-N/18</t>
  </si>
  <si>
    <t>H4-N/19</t>
  </si>
  <si>
    <t>H4-N/20</t>
  </si>
  <si>
    <t>H4-N/21</t>
  </si>
  <si>
    <t>H4-N/22</t>
  </si>
  <si>
    <t>H4-N/23</t>
  </si>
  <si>
    <t>H4-N/24</t>
  </si>
  <si>
    <t>H4-N/25</t>
  </si>
  <si>
    <t>H4-N/26</t>
  </si>
  <si>
    <t>H4-N/27</t>
  </si>
  <si>
    <t>H4-N/28</t>
  </si>
  <si>
    <t>H4-N/29</t>
  </si>
  <si>
    <t>H4-N/30</t>
  </si>
  <si>
    <t>H4-N/31</t>
  </si>
  <si>
    <t>H4-N/32</t>
  </si>
  <si>
    <t>H4-N/33</t>
  </si>
  <si>
    <t>H4-N/34</t>
  </si>
  <si>
    <t>H4-N/35</t>
  </si>
  <si>
    <t>H4-N/36</t>
  </si>
  <si>
    <t>H4-N/37</t>
  </si>
  <si>
    <t>H4-N/38</t>
  </si>
  <si>
    <t>H4-N/39</t>
  </si>
  <si>
    <t>H4-N/40</t>
  </si>
  <si>
    <t>H4-N/41</t>
  </si>
  <si>
    <t>H4-N/42</t>
  </si>
  <si>
    <t>H4-N/43</t>
  </si>
  <si>
    <t>H4-N/44</t>
  </si>
  <si>
    <t>H4-N/45</t>
  </si>
  <si>
    <t>H4-N/46</t>
  </si>
  <si>
    <t>H4-N/47</t>
  </si>
  <si>
    <t>H4-N/48</t>
  </si>
  <si>
    <t>H4-N/49</t>
  </si>
  <si>
    <t>H4-N/50</t>
  </si>
  <si>
    <t>H4-N/51</t>
  </si>
  <si>
    <t>H4-N/52</t>
  </si>
  <si>
    <t>H4-N/53</t>
  </si>
  <si>
    <t>R4-N/01</t>
  </si>
  <si>
    <t>R4-N/02</t>
  </si>
  <si>
    <t>R4-N/03</t>
  </si>
  <si>
    <t>R4-N/04</t>
  </si>
  <si>
    <t>R4-N/05</t>
  </si>
  <si>
    <t>R4-N/06</t>
  </si>
  <si>
    <t>R4-N/07</t>
  </si>
  <si>
    <t>R4-N/08</t>
  </si>
  <si>
    <t>R4-N/09</t>
  </si>
  <si>
    <t>R4-N/10</t>
  </si>
  <si>
    <t>R4-N/11</t>
  </si>
  <si>
    <t>R4-N/12</t>
  </si>
  <si>
    <t>R4-N/13</t>
  </si>
  <si>
    <t>R4-N/14</t>
  </si>
  <si>
    <t>R4-N/15</t>
  </si>
  <si>
    <t>R4-N/16</t>
  </si>
  <si>
    <t>R4-N/17</t>
  </si>
  <si>
    <t>R4-N/18</t>
  </si>
  <si>
    <t>R4-N/19</t>
  </si>
  <si>
    <t>R4-N/20</t>
  </si>
  <si>
    <t>R4-N/21</t>
  </si>
  <si>
    <t>R4-N/22</t>
  </si>
  <si>
    <t>R4-N/23</t>
  </si>
  <si>
    <t>R4-N/24</t>
  </si>
  <si>
    <t>R4-N/25</t>
  </si>
  <si>
    <t>R4-N/26</t>
  </si>
  <si>
    <t>R4-N/27</t>
  </si>
  <si>
    <t>R4-N/28</t>
  </si>
  <si>
    <t>R4-N/29</t>
  </si>
  <si>
    <t>R4-N/30</t>
  </si>
  <si>
    <t>R4-N/31</t>
  </si>
  <si>
    <t>R4-N/32</t>
  </si>
  <si>
    <t>R4-N/33</t>
  </si>
  <si>
    <t>R4-N/34</t>
  </si>
  <si>
    <t>R4-N/35</t>
  </si>
  <si>
    <t>R4-N/36</t>
  </si>
  <si>
    <t>R4-N/37</t>
  </si>
  <si>
    <t>R4-N/38</t>
  </si>
  <si>
    <t>R4-N/39</t>
  </si>
  <si>
    <t>R4-N/40</t>
  </si>
  <si>
    <t>R4-N/41</t>
  </si>
  <si>
    <t>R4-N/42</t>
  </si>
  <si>
    <t>R4-N/43</t>
  </si>
  <si>
    <t>R4-N/44</t>
  </si>
  <si>
    <t>R4-N/45</t>
  </si>
  <si>
    <t>R4-N/46</t>
  </si>
  <si>
    <t>R4-N/47</t>
  </si>
  <si>
    <t>R4-N/48</t>
  </si>
  <si>
    <t>R4-N/49</t>
  </si>
  <si>
    <t>R4-N/50</t>
  </si>
  <si>
    <t>R4-N/51</t>
  </si>
  <si>
    <t>R4-N/52</t>
  </si>
  <si>
    <t>R4-N/53</t>
  </si>
  <si>
    <t>R4-N/54</t>
  </si>
  <si>
    <t>R4-N/55</t>
  </si>
  <si>
    <t>R4-N/56</t>
  </si>
  <si>
    <t>R4-N/57</t>
  </si>
  <si>
    <t>R4-N/58</t>
  </si>
  <si>
    <t>R4-N/59</t>
  </si>
  <si>
    <t>R4-N/60</t>
  </si>
  <si>
    <t>R4-N/61</t>
  </si>
  <si>
    <t>R4-N/62</t>
  </si>
  <si>
    <t>R4-N/63</t>
  </si>
  <si>
    <t>R4-N/64</t>
  </si>
  <si>
    <t>R4-N/65</t>
  </si>
  <si>
    <t>R4-N/66</t>
  </si>
  <si>
    <t>R4-N/67</t>
  </si>
  <si>
    <t>R4-N/68</t>
  </si>
  <si>
    <t>R4-N/69</t>
  </si>
  <si>
    <t>R4-N/70</t>
  </si>
  <si>
    <t>R4-N/71</t>
  </si>
  <si>
    <t>R4-N/72</t>
  </si>
  <si>
    <t>R4-N/73</t>
  </si>
  <si>
    <t>R4-N/74</t>
  </si>
  <si>
    <t>R4-N/75</t>
  </si>
  <si>
    <t>R4-N/76</t>
  </si>
  <si>
    <t>R4-N/77</t>
  </si>
  <si>
    <t>R4-N/78</t>
  </si>
  <si>
    <t>R4-N/79</t>
  </si>
  <si>
    <t>1499,1697,1699</t>
  </si>
  <si>
    <t>1697,1699</t>
  </si>
  <si>
    <t>1645,1699</t>
  </si>
  <si>
    <t>1630,1672,1706</t>
  </si>
  <si>
    <t>1645,1765</t>
  </si>
  <si>
    <t>148,162</t>
  </si>
  <si>
    <t>1650,1765</t>
  </si>
  <si>
    <t>149,162</t>
  </si>
  <si>
    <t>1758,1787</t>
  </si>
  <si>
    <t>1771,1787</t>
  </si>
  <si>
    <t>1758,1765,1787</t>
  </si>
  <si>
    <t>161,162'164</t>
  </si>
  <si>
    <t>1659,1787</t>
  </si>
  <si>
    <t>150,164</t>
  </si>
  <si>
    <t>1630,1818</t>
  </si>
  <si>
    <t>146,165</t>
  </si>
  <si>
    <t>1806,1818</t>
  </si>
  <si>
    <t>1818,1828</t>
  </si>
  <si>
    <t>1153,1828</t>
  </si>
  <si>
    <t>1828</t>
  </si>
  <si>
    <t>Project:</t>
  </si>
  <si>
    <t>PLOT 18</t>
  </si>
  <si>
    <t>Subject:</t>
  </si>
  <si>
    <t>BILL OF QUANTITY</t>
  </si>
  <si>
    <t>Item No.</t>
  </si>
  <si>
    <t>Description of Item</t>
  </si>
  <si>
    <t>Rate (AED)</t>
  </si>
  <si>
    <t xml:space="preserve">Removal of All Installed Brackets </t>
  </si>
  <si>
    <t>ls</t>
  </si>
  <si>
    <t xml:space="preserve">Scaffolding rent during stopped work from 30th Sep to 25th October </t>
  </si>
  <si>
    <t>Abortive Materials - M12 Fischer anchor bolts &amp; screws</t>
  </si>
  <si>
    <t>Modification of affected Bracket</t>
  </si>
  <si>
    <t>Re-Engineering</t>
  </si>
  <si>
    <t>Ls</t>
  </si>
  <si>
    <t>Transportation Cost</t>
  </si>
  <si>
    <t>LS</t>
  </si>
  <si>
    <t>OH &amp; Profit 6% (As per SC, Clause13.2)</t>
  </si>
  <si>
    <t xml:space="preserve">TOTAL COST FOR THE  REDESIGN OF BRACKET Rev.1 </t>
  </si>
  <si>
    <t>Notes:</t>
  </si>
  <si>
    <t xml:space="preserve"> Progress</t>
  </si>
  <si>
    <t>Redesign of 128 nos. Brackets as per the as-built condition at Residential Level 7 &amp; 8 and Hotel Level 8</t>
  </si>
  <si>
    <t>ROBERTS-PLOT 18</t>
  </si>
  <si>
    <t>Unit Rate</t>
  </si>
  <si>
    <t>Total Amount (AED)</t>
  </si>
  <si>
    <t>Supply and Installation of GRC Cladding:</t>
  </si>
  <si>
    <t>Residential Tower - GRC panel</t>
  </si>
  <si>
    <t>Hotel Tower - GRC panel</t>
  </si>
  <si>
    <t>Preliminaries:
Engineering Works, QA/QC &amp; Safety, Site Management, etc.)</t>
  </si>
  <si>
    <t>TOTAL (Excluding VAT)</t>
  </si>
  <si>
    <t>SITE INSTRUCTION NO. 000130</t>
  </si>
  <si>
    <t>ADDITIONAL GRC PANEL AT RESIDENTIAl &amp; HOTEL TOWER</t>
  </si>
  <si>
    <t>Hotel Level 8</t>
  </si>
  <si>
    <t>Hotel Level 9</t>
  </si>
  <si>
    <t>Hotel Level 10</t>
  </si>
  <si>
    <t>Hotel Level 11</t>
  </si>
  <si>
    <t>Hotel Level 12</t>
  </si>
  <si>
    <t>Hotel Level 13</t>
  </si>
  <si>
    <t>Hotel Level 14</t>
  </si>
  <si>
    <t>Hotel Level 15</t>
  </si>
  <si>
    <t>Hotel Level 16</t>
  </si>
  <si>
    <t>Hotel Level 18</t>
  </si>
  <si>
    <t>Hotel Level 19</t>
  </si>
  <si>
    <t>Hotel Level 20</t>
  </si>
  <si>
    <t>Hotel Level 21</t>
  </si>
  <si>
    <t>Hotel Level 22</t>
  </si>
  <si>
    <t>Hotel Level 23</t>
  </si>
  <si>
    <t>Hotel Level 24</t>
  </si>
  <si>
    <t>Hotel Level 25</t>
  </si>
  <si>
    <t>Hotel Level 26</t>
  </si>
  <si>
    <t>Hotel Level 27</t>
  </si>
  <si>
    <t>Residential Level 7</t>
  </si>
  <si>
    <t>Residential Level 8</t>
  </si>
  <si>
    <t>Residential Level 9</t>
  </si>
  <si>
    <t>Residential Level 11</t>
  </si>
  <si>
    <t>Residential Level 12</t>
  </si>
  <si>
    <t>Residential Level 13</t>
  </si>
  <si>
    <t>Residential Level 14</t>
  </si>
  <si>
    <t>Residential Level 15</t>
  </si>
  <si>
    <t>Residential Level 16</t>
  </si>
  <si>
    <t>Residential Level 17</t>
  </si>
  <si>
    <t>Residential Level 18</t>
  </si>
  <si>
    <t>Residential Level 19</t>
  </si>
  <si>
    <t>Residential Level 20</t>
  </si>
  <si>
    <t>Residential Level 21</t>
  </si>
  <si>
    <t>Residential Level 22</t>
  </si>
  <si>
    <t>Residential Level 23</t>
  </si>
  <si>
    <t>Residential Level 26</t>
  </si>
  <si>
    <t>Residential Level 27</t>
  </si>
  <si>
    <t>Residential Level 28</t>
  </si>
  <si>
    <t>To proceed with the works associated with GRC cladding around stair plaza</t>
  </si>
  <si>
    <t>GRC on Top of Parapet for Hotel Level 29</t>
  </si>
  <si>
    <t>SUPPLY &amp; INSTALL ADDITIOANAL MS Brackets</t>
  </si>
  <si>
    <t>CWM-01</t>
  </si>
  <si>
    <r>
      <rPr>
        <b/>
        <u/>
        <sz val="11"/>
        <rFont val="Calibri"/>
        <family val="2"/>
      </rPr>
      <t>Hotel</t>
    </r>
    <r>
      <rPr>
        <sz val="11"/>
        <rFont val="Calibri"/>
        <family val="2"/>
      </rPr>
      <t xml:space="preserve">-Level 8, 9, 10, 11, 13, 14, 15, 16, 18, 19, 20, 21, 22, 23, 25, 26, 27 </t>
    </r>
  </si>
  <si>
    <t>NOS</t>
  </si>
  <si>
    <r>
      <rPr>
        <b/>
        <u/>
        <sz val="11"/>
        <rFont val="Calibri"/>
        <family val="2"/>
      </rPr>
      <t>Residence</t>
    </r>
    <r>
      <rPr>
        <sz val="11"/>
        <rFont val="Calibri"/>
        <family val="2"/>
      </rPr>
      <t>- Level 5, 7, 8, 9, 11, 12, 13, 14, 15, 16, 17, 19, 20, 21, 22, 26, 27, 28</t>
    </r>
  </si>
  <si>
    <t>CWE-01</t>
  </si>
  <si>
    <t>TOTAL COST OF BRACKET (Excluding VAT)</t>
  </si>
  <si>
    <t>SI-000110 (APCP-CAV-000075)</t>
  </si>
  <si>
    <t>ADDITIONAL SUPPORT BRACKET FOR THE GRC EDGE PROFILE</t>
  </si>
  <si>
    <t>SI-000079 (APCP-CAV-000076)</t>
  </si>
  <si>
    <t>1308,1840</t>
  </si>
  <si>
    <t>1252,1840</t>
  </si>
  <si>
    <t>1684,1840</t>
  </si>
  <si>
    <t>1273,1840</t>
  </si>
  <si>
    <t>1208,1840</t>
  </si>
  <si>
    <t>1840</t>
  </si>
  <si>
    <t>1706,1847</t>
  </si>
  <si>
    <t>1847</t>
  </si>
  <si>
    <t>1787,1853</t>
  </si>
  <si>
    <t>1863</t>
  </si>
  <si>
    <t>1891</t>
  </si>
  <si>
    <t>1896</t>
  </si>
  <si>
    <t>1567,1896</t>
  </si>
  <si>
    <t>1887</t>
  </si>
  <si>
    <t>1902</t>
  </si>
  <si>
    <t>1547,1902</t>
  </si>
  <si>
    <t>1916</t>
  </si>
  <si>
    <t>1917</t>
  </si>
  <si>
    <t>Previous %</t>
  </si>
  <si>
    <t>This %</t>
  </si>
  <si>
    <t>165,166</t>
  </si>
  <si>
    <t>154,167</t>
  </si>
  <si>
    <t>043,167</t>
  </si>
  <si>
    <t>080,167</t>
  </si>
  <si>
    <t>062,167</t>
  </si>
  <si>
    <t>071,167</t>
  </si>
  <si>
    <t>157,168</t>
  </si>
  <si>
    <t>164,168</t>
  </si>
  <si>
    <t>1663</t>
  </si>
  <si>
    <t>1872</t>
  </si>
  <si>
    <t>131,174</t>
  </si>
  <si>
    <t>RPJV ASSESSMENT - NOV 2020</t>
  </si>
  <si>
    <t>1934,1936</t>
  </si>
  <si>
    <t>1941,1945</t>
  </si>
  <si>
    <t>1191,1945</t>
  </si>
  <si>
    <t>1577,1963</t>
  </si>
  <si>
    <t>1255,1967</t>
  </si>
  <si>
    <t>1553,1971</t>
  </si>
  <si>
    <t>1540,1971</t>
  </si>
  <si>
    <t>1499,1989</t>
  </si>
  <si>
    <t>1289,1989</t>
  </si>
  <si>
    <t>1532,1989</t>
  </si>
  <si>
    <t>1291,1989</t>
  </si>
  <si>
    <t>1734,1989</t>
  </si>
  <si>
    <t>2011,2020</t>
  </si>
  <si>
    <t>1765,2026</t>
  </si>
  <si>
    <t>1567,2041</t>
  </si>
  <si>
    <t>1963,2041</t>
  </si>
  <si>
    <t>2035,2049</t>
  </si>
  <si>
    <t>176,177</t>
  </si>
  <si>
    <t>033,177</t>
  </si>
  <si>
    <t>064,179</t>
  </si>
  <si>
    <t>132,180</t>
  </si>
  <si>
    <t>130,180</t>
  </si>
  <si>
    <t>180</t>
  </si>
  <si>
    <t>160,180</t>
  </si>
  <si>
    <t>1725,1734,1977</t>
  </si>
  <si>
    <t>079,183</t>
  </si>
  <si>
    <t>130,183</t>
  </si>
  <si>
    <t>076,183</t>
  </si>
  <si>
    <t>160,183</t>
  </si>
  <si>
    <t>1999</t>
  </si>
  <si>
    <t>130,188</t>
  </si>
  <si>
    <t>183,189</t>
  </si>
  <si>
    <t>133,189</t>
  </si>
  <si>
    <t>179,189</t>
  </si>
  <si>
    <t>177,189</t>
  </si>
  <si>
    <t>1619,2044</t>
  </si>
  <si>
    <t>144,190</t>
  </si>
  <si>
    <t>1619,1625,2044</t>
  </si>
  <si>
    <t>145,190</t>
  </si>
  <si>
    <t>160,167,170</t>
  </si>
  <si>
    <t>To proceed with the Removal and Re-installation of Damaged GRC panels in the Residential Tower Road Elevation for Levels 15, 21, &amp; 23</t>
  </si>
  <si>
    <t>Residential Podium GRC Entrance Door Frame</t>
  </si>
  <si>
    <t>1725,1881,1977</t>
  </si>
  <si>
    <t>1626,2107</t>
  </si>
  <si>
    <t>2103</t>
  </si>
  <si>
    <t>1806,2099</t>
  </si>
  <si>
    <t>1625,1660.2099</t>
  </si>
  <si>
    <t>1231,2099</t>
  </si>
  <si>
    <t>1634,2099</t>
  </si>
  <si>
    <t>1626,2099</t>
  </si>
  <si>
    <t>`</t>
  </si>
  <si>
    <t>2096,2100</t>
  </si>
  <si>
    <t>2092</t>
  </si>
  <si>
    <t>1463,2092</t>
  </si>
  <si>
    <t>1265,2092</t>
  </si>
  <si>
    <t>2088</t>
  </si>
  <si>
    <t>2086</t>
  </si>
  <si>
    <t>2085,2087</t>
  </si>
  <si>
    <t>2085,2108</t>
  </si>
  <si>
    <t>2073</t>
  </si>
  <si>
    <t>1982,2073</t>
  </si>
  <si>
    <t>1980,2073</t>
  </si>
  <si>
    <t>1982,2072</t>
  </si>
  <si>
    <t>1980,2072</t>
  </si>
  <si>
    <t>1405,2068</t>
  </si>
  <si>
    <t>2068</t>
  </si>
  <si>
    <t>2062</t>
  </si>
  <si>
    <t>1980,2062</t>
  </si>
  <si>
    <t>2103,2062</t>
  </si>
  <si>
    <t>1553,2062</t>
  </si>
  <si>
    <t>1288,2062</t>
  </si>
  <si>
    <t>2061</t>
  </si>
  <si>
    <t>1291,2059</t>
  </si>
  <si>
    <t>2059</t>
  </si>
  <si>
    <t>2058</t>
  </si>
  <si>
    <t>1659,1765,2055</t>
  </si>
  <si>
    <t>1558,2055</t>
  </si>
  <si>
    <t>1963,2055</t>
  </si>
  <si>
    <t>1967,2055</t>
  </si>
  <si>
    <t>2055</t>
  </si>
  <si>
    <t>2054</t>
  </si>
  <si>
    <t>2033</t>
  </si>
  <si>
    <t>2145</t>
  </si>
  <si>
    <t>2145,2147</t>
  </si>
  <si>
    <t>2007,2136</t>
  </si>
  <si>
    <t>184,205</t>
  </si>
  <si>
    <t>2136</t>
  </si>
  <si>
    <t>2136,2147</t>
  </si>
  <si>
    <t>2137</t>
  </si>
  <si>
    <t>205,206</t>
  </si>
  <si>
    <t>2137,2147</t>
  </si>
  <si>
    <t>2142</t>
  </si>
  <si>
    <t>205</t>
  </si>
  <si>
    <t>2142,2061</t>
  </si>
  <si>
    <t>2143</t>
  </si>
  <si>
    <t>2007,2143,2145,2147</t>
  </si>
  <si>
    <t>184,205,206</t>
  </si>
  <si>
    <t>2123</t>
  </si>
  <si>
    <t>204</t>
  </si>
  <si>
    <t>2007,2123</t>
  </si>
  <si>
    <t>184'204</t>
  </si>
  <si>
    <t>2006,2123</t>
  </si>
  <si>
    <t>184,204</t>
  </si>
  <si>
    <t>2127</t>
  </si>
  <si>
    <t>2128</t>
  </si>
  <si>
    <t>2127,2128</t>
  </si>
  <si>
    <t>2115</t>
  </si>
  <si>
    <t>203</t>
  </si>
  <si>
    <t>2116</t>
  </si>
  <si>
    <t>2007,2116</t>
  </si>
  <si>
    <t>184,203</t>
  </si>
  <si>
    <t>1971,2116</t>
  </si>
  <si>
    <t>180,203</t>
  </si>
  <si>
    <t>2119</t>
  </si>
  <si>
    <t>2108,2119</t>
  </si>
  <si>
    <t>202</t>
  </si>
  <si>
    <t>2112</t>
  </si>
  <si>
    <t>2111,2116</t>
  </si>
  <si>
    <t>202,203</t>
  </si>
  <si>
    <t>2111</t>
  </si>
  <si>
    <t>2020</t>
  </si>
  <si>
    <t>201,203</t>
  </si>
  <si>
    <t>200</t>
  </si>
  <si>
    <t>165,199</t>
  </si>
  <si>
    <t>145,150,199</t>
  </si>
  <si>
    <t>199</t>
  </si>
  <si>
    <t>1818,2092</t>
  </si>
  <si>
    <t>165,198</t>
  </si>
  <si>
    <t>198</t>
  </si>
  <si>
    <t>198,199</t>
  </si>
  <si>
    <t>197</t>
  </si>
  <si>
    <t>197,201</t>
  </si>
  <si>
    <t>181,195</t>
  </si>
  <si>
    <t>184,195</t>
  </si>
  <si>
    <t>100,194</t>
  </si>
  <si>
    <t>194</t>
  </si>
  <si>
    <t>184,194</t>
  </si>
  <si>
    <t>181,194</t>
  </si>
  <si>
    <t>193,205</t>
  </si>
  <si>
    <t>193,200</t>
  </si>
  <si>
    <t>076,193</t>
  </si>
  <si>
    <t>181,193</t>
  </si>
  <si>
    <t>193</t>
  </si>
  <si>
    <t>150,162,191</t>
  </si>
  <si>
    <t>133,191</t>
  </si>
  <si>
    <t>076,191</t>
  </si>
  <si>
    <t>190,191</t>
  </si>
  <si>
    <t>188,190</t>
  </si>
  <si>
    <t>190</t>
  </si>
  <si>
    <t>2025,2049</t>
  </si>
  <si>
    <t>2049,2055</t>
  </si>
  <si>
    <t>2035</t>
  </si>
  <si>
    <t>188</t>
  </si>
  <si>
    <t>162,187</t>
  </si>
  <si>
    <t>L2</t>
  </si>
  <si>
    <t>L4</t>
  </si>
  <si>
    <t>2151</t>
  </si>
  <si>
    <t>207</t>
  </si>
  <si>
    <t>203,207</t>
  </si>
  <si>
    <t>145,152,207</t>
  </si>
  <si>
    <t>1625,1672,2151</t>
  </si>
  <si>
    <t>205,206,207</t>
  </si>
  <si>
    <t>2157</t>
  </si>
  <si>
    <t>2156,2157</t>
  </si>
  <si>
    <t>2142,2147,2156</t>
  </si>
  <si>
    <t>205,208</t>
  </si>
  <si>
    <t>207,208</t>
  </si>
  <si>
    <t>2156,2157,2163</t>
  </si>
  <si>
    <t>2163</t>
  </si>
  <si>
    <t>208</t>
  </si>
  <si>
    <t>2170</t>
  </si>
  <si>
    <t>2171</t>
  </si>
  <si>
    <t>209</t>
  </si>
  <si>
    <t>2177</t>
  </si>
  <si>
    <t>208,209</t>
  </si>
  <si>
    <t>2165,2179</t>
  </si>
  <si>
    <t>2171,2180</t>
  </si>
  <si>
    <t>194,209</t>
  </si>
  <si>
    <t>185,209</t>
  </si>
  <si>
    <t>2072,2180</t>
  </si>
  <si>
    <t>2017,2180</t>
  </si>
  <si>
    <t>2180</t>
  </si>
  <si>
    <t>209,210</t>
  </si>
  <si>
    <t>2165,2177,2183</t>
  </si>
  <si>
    <t>208,209,210</t>
  </si>
  <si>
    <t>1626,2107,2183</t>
  </si>
  <si>
    <t>210</t>
  </si>
  <si>
    <t>2060,2183</t>
  </si>
  <si>
    <t>191,210</t>
  </si>
  <si>
    <t>1652,2060,2183</t>
  </si>
  <si>
    <t>149,191,210</t>
  </si>
  <si>
    <t>199,201,210</t>
  </si>
  <si>
    <t>201,210</t>
  </si>
  <si>
    <t>2096,2108,2183</t>
  </si>
  <si>
    <t>2108,2183</t>
  </si>
  <si>
    <t>196,210</t>
  </si>
  <si>
    <t>185,210</t>
  </si>
  <si>
    <t>2082,2183</t>
  </si>
  <si>
    <t>2017,2183</t>
  </si>
  <si>
    <t>211</t>
  </si>
  <si>
    <t>2185,2188</t>
  </si>
  <si>
    <t>2188,2189</t>
  </si>
  <si>
    <t>205,206,207,211</t>
  </si>
  <si>
    <t>2190</t>
  </si>
  <si>
    <t>2142,2163,2148</t>
  </si>
  <si>
    <t>2116,2151,2148</t>
  </si>
  <si>
    <t>2157,2170,2148</t>
  </si>
  <si>
    <t>2014,2148</t>
  </si>
  <si>
    <t>099,213</t>
  </si>
  <si>
    <t>1395,2192</t>
  </si>
  <si>
    <t>208,213</t>
  </si>
  <si>
    <t>2189,2192</t>
  </si>
  <si>
    <t>211,213</t>
  </si>
  <si>
    <t>2192</t>
  </si>
  <si>
    <t>213</t>
  </si>
  <si>
    <t>2188,2192</t>
  </si>
  <si>
    <t>2165,2177,2193</t>
  </si>
  <si>
    <t>208,209,213</t>
  </si>
  <si>
    <t>2165,2192,2193</t>
  </si>
  <si>
    <t>2188,2193</t>
  </si>
  <si>
    <t>211'213</t>
  </si>
  <si>
    <t>2188,2194</t>
  </si>
  <si>
    <t>2200</t>
  </si>
  <si>
    <t>214</t>
  </si>
  <si>
    <t>2192,2200</t>
  </si>
  <si>
    <t>213,214</t>
  </si>
  <si>
    <t>2200,2202</t>
  </si>
  <si>
    <t>215</t>
  </si>
  <si>
    <t>216</t>
  </si>
  <si>
    <t>2194,2202</t>
  </si>
  <si>
    <t>209,211,214</t>
  </si>
  <si>
    <t>2177,2190,2202</t>
  </si>
  <si>
    <t>2202,2203</t>
  </si>
  <si>
    <t>2200,2204</t>
  </si>
  <si>
    <t>2204,2207</t>
  </si>
  <si>
    <t>214,215</t>
  </si>
  <si>
    <t>2207</t>
  </si>
  <si>
    <t>2202,2208</t>
  </si>
  <si>
    <t>2204,2208</t>
  </si>
  <si>
    <t>215,216</t>
  </si>
  <si>
    <t>2205,2212</t>
  </si>
  <si>
    <t>2208,2211</t>
  </si>
  <si>
    <t>2208,2209</t>
  </si>
  <si>
    <t>214,216</t>
  </si>
  <si>
    <t>2204,2209</t>
  </si>
  <si>
    <t>2211,2214</t>
  </si>
  <si>
    <t>2207,2214</t>
  </si>
  <si>
    <t xml:space="preserve">Site Instruction - BSBG - Fluted GRC Cladding at Hotel Podium Entrance </t>
  </si>
  <si>
    <t>Supply &amp; Installation GRC Wall Cladding at Hotel Levels 8,11,14,16,21,23,25&amp;27</t>
  </si>
  <si>
    <t>Supply &amp; Installation of Fluted GRC Wall Cladding at Hotel Rooftop Pool Area -  Level 29</t>
  </si>
  <si>
    <t>Variations</t>
  </si>
  <si>
    <t>GRP Cladding System at Plot 18, Business Bay, Dubai, Project</t>
  </si>
  <si>
    <t>Glass Reinforced Concrete (GRC) Edge Profile</t>
  </si>
  <si>
    <t>215,217</t>
  </si>
  <si>
    <t>2207,2217</t>
  </si>
  <si>
    <t>217</t>
  </si>
  <si>
    <t>2217</t>
  </si>
  <si>
    <t>2209,2217</t>
  </si>
  <si>
    <t>216,217</t>
  </si>
  <si>
    <t>2214,2217</t>
  </si>
  <si>
    <t>2217,2221</t>
  </si>
  <si>
    <t>2214,2221</t>
  </si>
  <si>
    <t>2209,2221</t>
  </si>
  <si>
    <t>2209,2214,2221</t>
  </si>
  <si>
    <t>2224</t>
  </si>
  <si>
    <t>218</t>
  </si>
  <si>
    <t>2228</t>
  </si>
  <si>
    <t>2231</t>
  </si>
  <si>
    <t>2232</t>
  </si>
  <si>
    <t>2231,2233</t>
  </si>
  <si>
    <t>2208,2233</t>
  </si>
  <si>
    <t>215,218</t>
  </si>
  <si>
    <t>2179,2190</t>
  </si>
  <si>
    <t>2188,2189,2192</t>
  </si>
  <si>
    <t>2209,2216</t>
  </si>
  <si>
    <t>2214,2216</t>
  </si>
  <si>
    <t>2216,2217</t>
  </si>
  <si>
    <t>220</t>
  </si>
  <si>
    <t>217,220</t>
  </si>
  <si>
    <t>Supply &amp; Installation GRC Wall Cladding at Hotel Levels 8 Duplex Slab Extension</t>
  </si>
  <si>
    <t>GRC PANEL PRODUCED</t>
  </si>
  <si>
    <t>GRC PANEL DELIVERED ONSITE</t>
  </si>
  <si>
    <t>2216,170954,2241</t>
  </si>
  <si>
    <t>2221,170954,2241</t>
  </si>
  <si>
    <t>170954,2241</t>
  </si>
  <si>
    <t>2251</t>
  </si>
  <si>
    <t>2253</t>
  </si>
  <si>
    <t>2204,2257</t>
  </si>
  <si>
    <t>2231,2257</t>
  </si>
  <si>
    <t>2257</t>
  </si>
  <si>
    <t>1543,2261</t>
  </si>
  <si>
    <t>2216,2266</t>
  </si>
  <si>
    <t>2232,2266</t>
  </si>
  <si>
    <t>2228,2266</t>
  </si>
  <si>
    <t>2266</t>
  </si>
  <si>
    <t>221</t>
  </si>
  <si>
    <t>2255</t>
  </si>
  <si>
    <t>218,221</t>
  </si>
  <si>
    <t>2233,2255</t>
  </si>
  <si>
    <t>2253,2255</t>
  </si>
  <si>
    <t>214,222</t>
  </si>
  <si>
    <t>218,222</t>
  </si>
  <si>
    <t>222</t>
  </si>
  <si>
    <t>MIR Ref No.</t>
  </si>
  <si>
    <t>WIR Ref No.</t>
  </si>
  <si>
    <t>218,223</t>
  </si>
  <si>
    <t>2233,2267</t>
  </si>
  <si>
    <t>223</t>
  </si>
  <si>
    <t>2267</t>
  </si>
  <si>
    <t>2267,2269</t>
  </si>
  <si>
    <t>2233,2269</t>
  </si>
  <si>
    <t>2269</t>
  </si>
  <si>
    <t>224</t>
  </si>
  <si>
    <t>1989,2271</t>
  </si>
  <si>
    <t>178,223</t>
  </si>
  <si>
    <t>183,223</t>
  </si>
  <si>
    <t>1881,2274</t>
  </si>
  <si>
    <t>167,170,224</t>
  </si>
  <si>
    <t>167,170,215,224</t>
  </si>
  <si>
    <t>215,224</t>
  </si>
  <si>
    <t>2205,2213,2276</t>
  </si>
  <si>
    <t>1881,2205,2276</t>
  </si>
  <si>
    <t>1896,2274,2276</t>
  </si>
  <si>
    <t>173,224,224</t>
  </si>
  <si>
    <t>218,224</t>
  </si>
  <si>
    <t>2274</t>
  </si>
  <si>
    <t>169</t>
  </si>
  <si>
    <t>2205,2276,2282</t>
  </si>
  <si>
    <t>1863,2276,2282</t>
  </si>
  <si>
    <t>2282</t>
  </si>
  <si>
    <t>2288</t>
  </si>
  <si>
    <t>2282,2288</t>
  </si>
  <si>
    <t>2293</t>
  </si>
  <si>
    <t>2296</t>
  </si>
  <si>
    <t>215,224,228</t>
  </si>
  <si>
    <t>228</t>
  </si>
  <si>
    <t>2317</t>
  </si>
  <si>
    <t>223,228</t>
  </si>
  <si>
    <t>2267,2269,2321</t>
  </si>
  <si>
    <t>2321</t>
  </si>
  <si>
    <t>213,224,228</t>
  </si>
  <si>
    <t>1881,2205'2274,2321</t>
  </si>
  <si>
    <t>167,170,215,224,228</t>
  </si>
  <si>
    <t xml:space="preserve"> </t>
  </si>
  <si>
    <t>2278,2326</t>
  </si>
  <si>
    <t>2192,2202,2326</t>
  </si>
  <si>
    <t>2179,2183,2326</t>
  </si>
  <si>
    <t>1987,2326</t>
  </si>
  <si>
    <t>2332</t>
  </si>
  <si>
    <t>2334</t>
  </si>
  <si>
    <t>2326,2334</t>
  </si>
  <si>
    <t>2231,2334</t>
  </si>
  <si>
    <t>2232,2278,2334</t>
  </si>
  <si>
    <t>2336</t>
  </si>
  <si>
    <t>2344</t>
  </si>
  <si>
    <t>2296,2344</t>
  </si>
  <si>
    <t>2086,2344</t>
  </si>
  <si>
    <t>2351</t>
  </si>
  <si>
    <t>2357</t>
  </si>
  <si>
    <t>Level 29 Pool View &amp; Sky Deck Regions - GRP/GRC Cladding Work</t>
  </si>
  <si>
    <t>Extension of GRC works at Hotel Tower Level 18</t>
  </si>
  <si>
    <t>GRC Nosing &amp; GRC Edge Wall Cladding at Level 31 Residential Canopy</t>
  </si>
  <si>
    <t>ERI/056</t>
  </si>
  <si>
    <t>GRC Cladding at Level 10 Residential Canopy</t>
  </si>
  <si>
    <t>1961 , 2405</t>
  </si>
  <si>
    <t>179 , 236</t>
  </si>
  <si>
    <t>2351,2347</t>
  </si>
  <si>
    <t>2205,2351,2347</t>
  </si>
  <si>
    <t>2212,2351,2347</t>
  </si>
  <si>
    <t>1543,2035,2347</t>
  </si>
  <si>
    <t>2351 ,2362,2347</t>
  </si>
  <si>
    <t>2185,2193,2384</t>
  </si>
  <si>
    <t>2142,2145,2151,2402</t>
  </si>
  <si>
    <t>1579,2402</t>
  </si>
  <si>
    <t>1944,2402</t>
  </si>
  <si>
    <t>1999,2405</t>
  </si>
  <si>
    <t>2007,2405</t>
  </si>
  <si>
    <t>1581,2405</t>
  </si>
  <si>
    <t>2416</t>
  </si>
  <si>
    <t>1678,2418</t>
  </si>
  <si>
    <t>1579,2418</t>
  </si>
  <si>
    <t>2419</t>
  </si>
  <si>
    <t>1863,2419</t>
  </si>
  <si>
    <t>1971,2419</t>
  </si>
  <si>
    <t>1982,2419</t>
  </si>
  <si>
    <t>2006,2419</t>
  </si>
  <si>
    <t>2293,2423</t>
  </si>
  <si>
    <t>2142,2145,2156,2190,2402,2423</t>
  </si>
  <si>
    <t>2425</t>
  </si>
  <si>
    <t>1956,2271,2428</t>
  </si>
  <si>
    <t>2271,2423,2431</t>
  </si>
  <si>
    <t>2424,2431</t>
  </si>
  <si>
    <t>2271,2424,2431</t>
  </si>
  <si>
    <t>2344,2424,2431</t>
  </si>
  <si>
    <t>2425,2434</t>
  </si>
  <si>
    <t>2271,2434</t>
  </si>
  <si>
    <t>SITE INSTRUCTION NO. 000296- ADDITIONAL GRC  PANELS AT RESIDENTIAL TOWER REV. 01 AS PER RFI</t>
  </si>
  <si>
    <t xml:space="preserve"> (REF. APL-AX-RFI-RT-003817) CONFIRMATION FROM THE EMPLOYER</t>
  </si>
  <si>
    <t>Residential Tower - GRC Belly Panel</t>
  </si>
  <si>
    <t xml:space="preserve">Preliminaries: </t>
  </si>
  <si>
    <t>Progress</t>
  </si>
  <si>
    <t>progress: 118.5 m2
(3no x 21.35m x 1.85m)</t>
  </si>
  <si>
    <t>SITE INSTRUCTION NO. 000365 - GRP CLADDING AT POOL VIEW DECK &amp; GRC FACIA AT SKY DECK, HOTEL LEVEL 29</t>
  </si>
  <si>
    <t>No.</t>
  </si>
  <si>
    <t>Width/ Girth</t>
  </si>
  <si>
    <t>Supply and Installation of GPR Facia, Wall &amp; Ceiling Cladding complete wilth necessary fixing accessories:</t>
  </si>
  <si>
    <t>LEVEL 29 HOTEL VIEW DECK</t>
  </si>
  <si>
    <t>GRP Bullnose Cladding 26mm thk, 630mm Girth. as per drawing ref. nos. LA-GA-L29-0220F &amp; LA-GA-L29-0224A, (Annexure 6)</t>
  </si>
  <si>
    <t>GRP Wall &amp; Ceiling Cladding 26mm thk. as per drawing ref. nos. LA-GA-L29-0220F &amp; LA-GA-L29-0224A, (Annexure 6)</t>
  </si>
  <si>
    <t>LEVEL 29 HOTEL SKY DECK</t>
  </si>
  <si>
    <t>GRC Facia Cladding (530mm Girth)</t>
  </si>
  <si>
    <t>BOQ rate</t>
  </si>
  <si>
    <t>Structural Steel Support for Fixing GRP/GRC Works (Epoxy paint finish without fire protection)</t>
  </si>
  <si>
    <t>Preliminaries: 
(Engineering Works, QA/QC, Safety, Site Management, etc.)</t>
  </si>
  <si>
    <t>Scaffolding</t>
  </si>
  <si>
    <t>by RPJV</t>
  </si>
  <si>
    <t>Mat'l Produced</t>
  </si>
  <si>
    <t>Material Produced</t>
  </si>
  <si>
    <t>R22-N/5</t>
  </si>
  <si>
    <t>R22-N/6</t>
  </si>
  <si>
    <t>R22-N/7</t>
  </si>
  <si>
    <t>R22-N/8</t>
  </si>
  <si>
    <t>Mat'l Produced
(Length)</t>
  </si>
  <si>
    <t>Quantity
Used</t>
  </si>
  <si>
    <t>Balanced Quantity</t>
  </si>
  <si>
    <t>Materials Status</t>
  </si>
  <si>
    <t>2440,2449</t>
  </si>
  <si>
    <t>239,240</t>
  </si>
  <si>
    <t>2434,2447</t>
  </si>
  <si>
    <t>238,239</t>
  </si>
  <si>
    <t>Supply &amp; Installation of GRC Wall Cladding to Podium Level Openings</t>
  </si>
  <si>
    <t>Thermal Insulation Behind the Fluted GRC Cladding</t>
  </si>
  <si>
    <t>2058,2466</t>
  </si>
  <si>
    <t>2050,2466</t>
  </si>
  <si>
    <t>2434,2442</t>
  </si>
  <si>
    <t>2445</t>
  </si>
  <si>
    <t>240</t>
  </si>
  <si>
    <t>WIR Ref.</t>
  </si>
  <si>
    <t>MIR Ref.</t>
  </si>
  <si>
    <t>2384,2457</t>
  </si>
  <si>
    <t>2384'2457</t>
  </si>
  <si>
    <t>2451,2457</t>
  </si>
  <si>
    <t>2464</t>
  </si>
  <si>
    <t>1996,2464</t>
  </si>
  <si>
    <t>2052,2464,2466</t>
  </si>
  <si>
    <t>1818,2092,2464,2466</t>
  </si>
  <si>
    <t>2023,2464,2466</t>
  </si>
  <si>
    <t>1581,2464,2466</t>
  </si>
  <si>
    <t>2336,2471</t>
  </si>
  <si>
    <t>2471</t>
  </si>
  <si>
    <t>2446,2471</t>
  </si>
  <si>
    <t>2202,2472</t>
  </si>
  <si>
    <t>2212,2472</t>
  </si>
  <si>
    <t>216,244</t>
  </si>
  <si>
    <t>2473</t>
  </si>
  <si>
    <t>2213,2479</t>
  </si>
  <si>
    <t>2212,2213,2479</t>
  </si>
  <si>
    <t>2068,2479</t>
  </si>
  <si>
    <t>2481,2482</t>
  </si>
  <si>
    <t>2213,2485</t>
  </si>
  <si>
    <t>2212,2213,2485</t>
  </si>
  <si>
    <t>2486</t>
  </si>
  <si>
    <t>2489</t>
  </si>
  <si>
    <t>2489,2491</t>
  </si>
  <si>
    <t>2491</t>
  </si>
  <si>
    <t>2485,2492</t>
  </si>
  <si>
    <t>2498</t>
  </si>
  <si>
    <t>2493</t>
  </si>
  <si>
    <t>2494,2495</t>
  </si>
  <si>
    <t>2495</t>
  </si>
  <si>
    <t>2496</t>
  </si>
  <si>
    <t>2497</t>
  </si>
  <si>
    <t>2499</t>
  </si>
  <si>
    <t>1219,2502</t>
  </si>
  <si>
    <t>2503</t>
  </si>
  <si>
    <t>2384,2386</t>
  </si>
  <si>
    <t>2451,2386</t>
  </si>
  <si>
    <t>2447,2447,2448</t>
  </si>
  <si>
    <t>2336,2450</t>
  </si>
  <si>
    <t>2450</t>
  </si>
  <si>
    <t>2456</t>
  </si>
  <si>
    <t>2454,2456</t>
  </si>
  <si>
    <t>2461</t>
  </si>
  <si>
    <t>2386,2461</t>
  </si>
  <si>
    <t>2438,2461</t>
  </si>
  <si>
    <t>2465</t>
  </si>
  <si>
    <t>2476</t>
  </si>
  <si>
    <t>2483</t>
  </si>
  <si>
    <t>2490</t>
  </si>
  <si>
    <t>2508</t>
  </si>
  <si>
    <t>2511</t>
  </si>
  <si>
    <t>2514</t>
  </si>
  <si>
    <t>2518</t>
  </si>
  <si>
    <t>Cradle Area (Core Wall Access)</t>
  </si>
  <si>
    <t>Scaffolding not handover</t>
  </si>
  <si>
    <t>after Level 29 completion</t>
  </si>
  <si>
    <t>after Level 6 completion</t>
  </si>
  <si>
    <t>To proceed with the Works associated with residential tower non typical GRC profile as per attached RFI confirmation from the Employer (Belly/Underpool Panels at Residential L-24, 25, 26, 27, &amp; 29)</t>
  </si>
  <si>
    <t>229,241</t>
  </si>
  <si>
    <t>Residential Level 29</t>
  </si>
  <si>
    <t>1989,2041,
1989,2510</t>
  </si>
  <si>
    <t>1499,1989,
2510</t>
  </si>
  <si>
    <t>2517</t>
  </si>
  <si>
    <t>1444,2531</t>
  </si>
  <si>
    <t>2534</t>
  </si>
  <si>
    <t>2535</t>
  </si>
  <si>
    <t>2212,2213,
2485,2535</t>
  </si>
  <si>
    <t>2540</t>
  </si>
  <si>
    <t>2542</t>
  </si>
  <si>
    <t>2546</t>
  </si>
  <si>
    <t>2546,2548</t>
  </si>
  <si>
    <t>2213,2479,2549</t>
  </si>
  <si>
    <t>2535,2549</t>
  </si>
  <si>
    <t>2549</t>
  </si>
  <si>
    <t>2041,2075,
2431,2558</t>
  </si>
  <si>
    <t>2041,2075,2558</t>
  </si>
  <si>
    <t>2560</t>
  </si>
  <si>
    <t>2556,2560</t>
  </si>
  <si>
    <t>2566</t>
  </si>
  <si>
    <t>2573</t>
  </si>
  <si>
    <t>256</t>
  </si>
  <si>
    <t>254</t>
  </si>
  <si>
    <t>257</t>
  </si>
  <si>
    <t>256,257</t>
  </si>
  <si>
    <t>189,195,257</t>
  </si>
  <si>
    <t>258</t>
  </si>
  <si>
    <t>256,258</t>
  </si>
  <si>
    <t>256,259</t>
  </si>
  <si>
    <t>257,259</t>
  </si>
  <si>
    <t>254,259</t>
  </si>
  <si>
    <t>249,259</t>
  </si>
  <si>
    <t>259</t>
  </si>
  <si>
    <t>2332,2336,2565</t>
  </si>
  <si>
    <t>1999,2565</t>
  </si>
  <si>
    <t>184,259</t>
  </si>
  <si>
    <t>179,259</t>
  </si>
  <si>
    <t>2568</t>
  </si>
  <si>
    <t>2566,2570</t>
  </si>
  <si>
    <t>2570</t>
  </si>
  <si>
    <t>2572</t>
  </si>
  <si>
    <t>2575</t>
  </si>
  <si>
    <t>2577</t>
  </si>
  <si>
    <t>261</t>
  </si>
  <si>
    <t>2579</t>
  </si>
  <si>
    <t>2534,2563</t>
  </si>
  <si>
    <t>2560,2563</t>
  </si>
  <si>
    <t>2524,2563</t>
  </si>
  <si>
    <t>2496,2563</t>
  </si>
  <si>
    <t>1967,2565</t>
  </si>
  <si>
    <t>1659,2589</t>
  </si>
  <si>
    <t>2192,2276,2321,2589</t>
  </si>
  <si>
    <t>2192,2194,2589</t>
  </si>
  <si>
    <t>2041,2075,2558,2596</t>
  </si>
  <si>
    <t>2608,2609</t>
  </si>
  <si>
    <t>2565,2608,2609</t>
  </si>
  <si>
    <t>2332,2565,2608,2609</t>
  </si>
  <si>
    <t>2565,2609,2621</t>
  </si>
  <si>
    <t>2604,2621</t>
  </si>
  <si>
    <t>2606</t>
  </si>
  <si>
    <t>2606,2614</t>
  </si>
  <si>
    <t>1564'2614</t>
  </si>
  <si>
    <t>2614</t>
  </si>
  <si>
    <t>2481,2482,2614</t>
  </si>
  <si>
    <t>2212,2213,2472,2614</t>
  </si>
  <si>
    <t>2566,2614</t>
  </si>
  <si>
    <r>
      <t xml:space="preserve">Agreed
</t>
    </r>
    <r>
      <rPr>
        <sz val="10"/>
        <color indexed="8"/>
        <rFont val="Arial"/>
        <family val="2"/>
      </rPr>
      <t>(refer to the "Addendum")</t>
    </r>
  </si>
  <si>
    <t>2599</t>
  </si>
  <si>
    <t>2517,2599</t>
  </si>
  <si>
    <t>1315,1322,2599</t>
  </si>
  <si>
    <t>2608,2609,2624</t>
  </si>
  <si>
    <t>2454,2624</t>
  </si>
  <si>
    <t>2454,2459,2624</t>
  </si>
  <si>
    <t>2459,2624</t>
  </si>
  <si>
    <t>2634</t>
  </si>
  <si>
    <t>2202,2203,2666</t>
  </si>
  <si>
    <t>2194,2202,2666</t>
  </si>
  <si>
    <t>2192,2194,2666</t>
  </si>
  <si>
    <t>2189,2192,2666</t>
  </si>
  <si>
    <t>2204,2207,2666</t>
  </si>
  <si>
    <t>2189,2666</t>
  </si>
  <si>
    <t>2203,2666</t>
  </si>
  <si>
    <t>2633</t>
  </si>
  <si>
    <t>2604,2633</t>
  </si>
  <si>
    <t>189,195,257,262</t>
  </si>
  <si>
    <t>259,270</t>
  </si>
  <si>
    <t>271</t>
  </si>
  <si>
    <t>216,244,271</t>
  </si>
  <si>
    <t>259,271</t>
  </si>
  <si>
    <t>259,270,272</t>
  </si>
  <si>
    <t>272</t>
  </si>
  <si>
    <t>270,272</t>
  </si>
  <si>
    <t>144,272</t>
  </si>
  <si>
    <t>274</t>
  </si>
  <si>
    <t>276,275</t>
  </si>
  <si>
    <t>214,275</t>
  </si>
  <si>
    <t>213,214,275</t>
  </si>
  <si>
    <t>213,275</t>
  </si>
  <si>
    <t>211,213,275</t>
  </si>
  <si>
    <t>214,215,275</t>
  </si>
  <si>
    <t>211,275</t>
  </si>
  <si>
    <t>21,275</t>
  </si>
  <si>
    <t>216,220,275</t>
  </si>
  <si>
    <t>216,275</t>
  </si>
  <si>
    <t>218,220,275</t>
  </si>
  <si>
    <t>209,210,275</t>
  </si>
  <si>
    <t>209,275</t>
  </si>
  <si>
    <t>211'213,275</t>
  </si>
  <si>
    <t>WIR 1199</t>
  </si>
  <si>
    <t>WIR 1167</t>
  </si>
  <si>
    <t>WIR 1117</t>
  </si>
  <si>
    <t>WIR 842</t>
  </si>
  <si>
    <t>WIR 1141</t>
  </si>
  <si>
    <t>WIR 1142</t>
  </si>
  <si>
    <t>WIR 1119</t>
  </si>
  <si>
    <t>WIR 1153</t>
  </si>
  <si>
    <t>WIR 1145</t>
  </si>
  <si>
    <t>WIR 1177</t>
  </si>
  <si>
    <t>WIR 1065</t>
  </si>
  <si>
    <t>WIR 1149</t>
  </si>
  <si>
    <t>WIR 1150</t>
  </si>
  <si>
    <t>WIR 1181</t>
  </si>
  <si>
    <t>WIR 1182</t>
  </si>
  <si>
    <t>WIR 1187</t>
  </si>
  <si>
    <t>WIR 1180</t>
  </si>
  <si>
    <t>WIR 1123</t>
  </si>
  <si>
    <t>WIR 1105</t>
  </si>
  <si>
    <t>WIR 1114</t>
  </si>
  <si>
    <t>WIR 1168</t>
  </si>
  <si>
    <t>WIR 1178</t>
  </si>
  <si>
    <t>WIR 1179</t>
  </si>
  <si>
    <t>WIR 1200</t>
  </si>
  <si>
    <t>GRC Flat Panel and Structural Steel Support System for the GRC Edge Profile Behind the Core Wall at Level 30</t>
  </si>
  <si>
    <t>after Level 7 completion</t>
  </si>
  <si>
    <t>WIR 1051</t>
  </si>
  <si>
    <t>extended slab</t>
  </si>
  <si>
    <t>WIR 1037</t>
  </si>
  <si>
    <t>0795</t>
  </si>
  <si>
    <t>0652</t>
  </si>
  <si>
    <t>2531,2531,2601</t>
  </si>
  <si>
    <t>2211,170954,2241,2689</t>
  </si>
  <si>
    <t>2211,2214,2689</t>
  </si>
  <si>
    <t>2228,170954,2241,2689</t>
  </si>
  <si>
    <t>2179,2183,2689</t>
  </si>
  <si>
    <t>2177,2180,2689</t>
  </si>
  <si>
    <t>2188,2194,2689</t>
  </si>
  <si>
    <t>2185,2193,2689</t>
  </si>
  <si>
    <t>2709</t>
  </si>
  <si>
    <t>2463,2456,2709</t>
  </si>
  <si>
    <t>2454,2463,2709</t>
  </si>
  <si>
    <t>2711</t>
  </si>
  <si>
    <t>2481,2491,2714</t>
  </si>
  <si>
    <t>2534,2563,2714</t>
  </si>
  <si>
    <t>2601,2714</t>
  </si>
  <si>
    <t>2511,2714</t>
  </si>
  <si>
    <t>2514,2714</t>
  </si>
  <si>
    <t>2716</t>
  </si>
  <si>
    <t>2520,2716</t>
  </si>
  <si>
    <t>2516,2531,2716</t>
  </si>
  <si>
    <t>2485,2492,2716</t>
  </si>
  <si>
    <t>2535,2716</t>
  </si>
  <si>
    <t>2492,2516,2716</t>
  </si>
  <si>
    <t>2492,2716</t>
  </si>
  <si>
    <t>S.I. 289</t>
  </si>
  <si>
    <t>S.I. 337</t>
  </si>
  <si>
    <t>S.I. 257</t>
  </si>
  <si>
    <t>S.I. 285</t>
  </si>
  <si>
    <t>S.I. 299</t>
  </si>
  <si>
    <t>S.I. 361</t>
  </si>
  <si>
    <t>S.I. 365</t>
  </si>
  <si>
    <t>S.I. 367</t>
  </si>
  <si>
    <t>S.I. 497</t>
  </si>
  <si>
    <t>A4</t>
  </si>
  <si>
    <t>WIR 1220</t>
  </si>
  <si>
    <t>WIR 1221</t>
  </si>
  <si>
    <t>WIR 901</t>
  </si>
  <si>
    <t>WIR 229</t>
  </si>
  <si>
    <t>WIR 1209</t>
  </si>
  <si>
    <t>WIR 1216</t>
  </si>
  <si>
    <t>WIR 628</t>
  </si>
  <si>
    <t>WIR 1226</t>
  </si>
  <si>
    <t>257,282</t>
  </si>
  <si>
    <t>2548,2699</t>
  </si>
  <si>
    <t>1963,2041,2705</t>
  </si>
  <si>
    <t>177,189,282</t>
  </si>
  <si>
    <t>2706</t>
  </si>
  <si>
    <t>282</t>
  </si>
  <si>
    <t>283</t>
  </si>
  <si>
    <t>284</t>
  </si>
  <si>
    <t>256,259,284</t>
  </si>
  <si>
    <t>254,284</t>
  </si>
  <si>
    <t>256,284</t>
  </si>
  <si>
    <t>1902,2589,2721</t>
  </si>
  <si>
    <t>174,287</t>
  </si>
  <si>
    <t>1902,2721</t>
  </si>
  <si>
    <t>2723</t>
  </si>
  <si>
    <t>287</t>
  </si>
  <si>
    <t>2726</t>
  </si>
  <si>
    <t>228,287</t>
  </si>
  <si>
    <t>2317,2726</t>
  </si>
  <si>
    <t>2162,47,287</t>
  </si>
  <si>
    <t>2479,2480,2726</t>
  </si>
  <si>
    <t>WIR 1095 R2</t>
  </si>
  <si>
    <t>WIR 0763 R2</t>
  </si>
  <si>
    <t>WIR 0765 R2</t>
  </si>
  <si>
    <t>WIR 1086 R1</t>
  </si>
  <si>
    <t>WIR 1087 R1</t>
  </si>
  <si>
    <t>WIR 1223</t>
  </si>
  <si>
    <t>WIR 1088 R1</t>
  </si>
  <si>
    <t>WIR 1089 R1</t>
  </si>
  <si>
    <t>WIR 1140 R2</t>
  </si>
  <si>
    <t>WIR 0594 R2</t>
  </si>
  <si>
    <t>WIR 1108 R1</t>
  </si>
  <si>
    <t>WIR 1197</t>
  </si>
  <si>
    <t>WIR 1229</t>
  </si>
  <si>
    <t>WIR 1109 R1</t>
  </si>
  <si>
    <t>WIR 1151 R1</t>
  </si>
  <si>
    <t>WIR 1222</t>
  </si>
  <si>
    <t>WIR 1110 R1</t>
  </si>
  <si>
    <t>WIR 1152 R1</t>
  </si>
  <si>
    <t>WIR 1207</t>
  </si>
  <si>
    <t>WIR 1153 R1</t>
  </si>
  <si>
    <t>WIR 1206</t>
  </si>
  <si>
    <t>WIR 1154 R1</t>
  </si>
  <si>
    <t>WIR 1205</t>
  </si>
  <si>
    <t>WIR 0546 R2</t>
  </si>
  <si>
    <t>WIR 0547 R2</t>
  </si>
  <si>
    <t>WIR 0585 R2</t>
  </si>
  <si>
    <t>WIR 0755 R3</t>
  </si>
  <si>
    <t>WIR 1064 R4</t>
  </si>
  <si>
    <t>976</t>
  </si>
  <si>
    <t>WIR 1204</t>
  </si>
  <si>
    <t>WIR 0754 R2</t>
  </si>
  <si>
    <t>WIR 1059 R1</t>
  </si>
  <si>
    <t>WIR 1183 R1</t>
  </si>
  <si>
    <t>WIR 1203</t>
  </si>
  <si>
    <t>WIR 1184 R1</t>
  </si>
  <si>
    <t>WIR 1202</t>
  </si>
  <si>
    <t>WIR 0753 R3</t>
  </si>
  <si>
    <t>WIR 1185 R1</t>
  </si>
  <si>
    <t>WIR 1201</t>
  </si>
  <si>
    <t>WIR 1186 R1</t>
  </si>
  <si>
    <t>WIR 0607 R2</t>
  </si>
  <si>
    <t>WIR 608 R2</t>
  </si>
  <si>
    <t>WIR 0708 R2</t>
  </si>
  <si>
    <t>WIR 1187 R1</t>
  </si>
  <si>
    <t>WIR 1188 R1</t>
  </si>
  <si>
    <t>WIR 1208</t>
  </si>
  <si>
    <t>WIR 1189 R1</t>
  </si>
  <si>
    <t>WIR 1227</t>
  </si>
  <si>
    <t>Amount Claimed</t>
  </si>
  <si>
    <t>%
Progress</t>
  </si>
  <si>
    <t>1620,2624,2704</t>
  </si>
  <si>
    <t>2278,2704</t>
  </si>
  <si>
    <t>2736,2738</t>
  </si>
  <si>
    <t>2100,2736,2738</t>
  </si>
  <si>
    <t>R23-N/50</t>
  </si>
  <si>
    <t>R23-N/51</t>
  </si>
  <si>
    <t>H13-D/01</t>
  </si>
  <si>
    <t>Mat OFFSITE</t>
  </si>
  <si>
    <t>R23-N/53</t>
  </si>
  <si>
    <t>S.I. 397</t>
  </si>
  <si>
    <t>JC TO BE RELEASED</t>
  </si>
  <si>
    <t>S.I. 364</t>
  </si>
  <si>
    <t>S.I. 296</t>
  </si>
  <si>
    <t>S.I. 347</t>
  </si>
  <si>
    <t>S.I. 130</t>
  </si>
  <si>
    <t>Additional Works (A)</t>
  </si>
  <si>
    <t>Additional Works (B)</t>
  </si>
  <si>
    <t>Additional Preliminaries</t>
  </si>
  <si>
    <t>DORCHESTER COLLECTION &amp; HOTEL RESIDENCES, PLOT BB.B03.018, BUSINESS BAY DUBAI</t>
  </si>
  <si>
    <t>The Completion of All GRC Remaining Works</t>
  </si>
  <si>
    <t>BOQ
REF.</t>
  </si>
  <si>
    <t>Certified Progress</t>
  </si>
  <si>
    <t>Certified
MOS</t>
  </si>
  <si>
    <t>Certified Materials Offsite</t>
  </si>
  <si>
    <t>ADDITIONAL WORKS (A)</t>
  </si>
  <si>
    <t>S.I. 079</t>
  </si>
  <si>
    <t>S.I. 110</t>
  </si>
  <si>
    <t>S.I. 224</t>
  </si>
  <si>
    <t>Rectification Works by Designing brackets consistent with the as-built conditions and structural requirements and re-installing</t>
  </si>
  <si>
    <t>S.I. 266</t>
  </si>
  <si>
    <t>S.I. 292</t>
  </si>
  <si>
    <t>ADDITIONAL WORKS (B)</t>
  </si>
  <si>
    <t>S.I. 400</t>
  </si>
  <si>
    <t>ADDITIONAL PRELIMS</t>
  </si>
  <si>
    <t>(For New Subcontract Period)</t>
  </si>
  <si>
    <t>mo</t>
  </si>
  <si>
    <t>Work Done (Previous)</t>
  </si>
  <si>
    <t>Work Done (This)</t>
  </si>
  <si>
    <t>Length
(This)</t>
  </si>
  <si>
    <t xml:space="preserve">TOTAL
(BOQ A) </t>
  </si>
  <si>
    <t xml:space="preserve">TOTAL
(BOQ C) </t>
  </si>
  <si>
    <t xml:space="preserve">TOTAL
(BOQ E) </t>
  </si>
  <si>
    <t xml:space="preserve">TOTAL
(BOQ G) </t>
  </si>
  <si>
    <t xml:space="preserve">TOTAL
(BOQ J) </t>
  </si>
  <si>
    <t xml:space="preserve">TOTAL
(BOQ L) </t>
  </si>
  <si>
    <t>Work Done (Cumm.)</t>
  </si>
  <si>
    <t>Supply and Installtion of Thermal Insulation</t>
  </si>
  <si>
    <t>E11/K117/SK/dm/056</t>
  </si>
  <si>
    <t>Contractor: M/s. Khansaheb Civil Engineering LLC</t>
  </si>
  <si>
    <t>Date KHANSAHEB received  acknowledgement receipt from GSL</t>
  </si>
  <si>
    <t>Diff in KHANSAHEB</t>
  </si>
  <si>
    <t>KHANSAHEB Received Date</t>
  </si>
  <si>
    <t>KHANSAHEB Ref. No.</t>
  </si>
  <si>
    <t>EK11/K117/SC/dm/080</t>
  </si>
  <si>
    <t>22/180040/HH/L/24164/FS/jb, dated 9th Aug 2022</t>
  </si>
  <si>
    <t>GRC Edge Profile Extension &amp; Additional GRC Coping at Residential Level 32</t>
  </si>
  <si>
    <t>Removal and Installation of GRC Panel for Drain Pipe Installation at Hotel Level 7</t>
  </si>
  <si>
    <t>EK11/K117/SC/dm/081</t>
  </si>
  <si>
    <t>22/180040/HH/L/24168/FS/jb, dated 10th Aug 2022</t>
  </si>
  <si>
    <t>Removal and Installation of GRC Panels at the Retail Lobby Staircase, Hotel Level 2</t>
  </si>
  <si>
    <t>E11/K117/NA/dm/077</t>
  </si>
  <si>
    <t>22/180040/HH/L/24171/FS/jb, dated 11th Aug 2022</t>
  </si>
  <si>
    <t>New GRC Panels in Line with the Site Condition at Hotel Level 24</t>
  </si>
  <si>
    <t>E11/K117/SK/dm/089</t>
  </si>
  <si>
    <t>22/180040/HH/L/24194/FS/jb, dated 17th Aug 2022</t>
  </si>
  <si>
    <t xml:space="preserve">APCO-SUBCONLET-000322 </t>
  </si>
  <si>
    <t xml:space="preserve">APCO-SUBCONLET-000321 </t>
  </si>
  <si>
    <t xml:space="preserve">APCO-SUBCONLET-000320 </t>
  </si>
  <si>
    <t xml:space="preserve"> APCO-SUBCONLET-000316 </t>
  </si>
  <si>
    <t>APCO-SUBCONLET-000319</t>
  </si>
  <si>
    <t>2479,2480,
2726, 2913</t>
  </si>
  <si>
    <t>Project Name: PLOT 18 OMNIYAT</t>
  </si>
  <si>
    <t xml:space="preserve">Package: Supply and Installation of GRC Cladding </t>
  </si>
  <si>
    <t>Subj.:</t>
  </si>
  <si>
    <t>S.I. 130 - Engineering, Procurement &amp; Installation Works for the Additional GRC Panel</t>
  </si>
  <si>
    <t>Drawing Ref</t>
  </si>
  <si>
    <t>Level</t>
  </si>
  <si>
    <t>Quantities
(m2)</t>
  </si>
  <si>
    <t>Dwg. Ref.</t>
  </si>
  <si>
    <t>APL-AX-SD-L7-00029-Rev 02</t>
  </si>
  <si>
    <t>GRC PANELS</t>
  </si>
  <si>
    <t xml:space="preserve">APL-AX-SD-L8-00030-Rev 02        </t>
  </si>
  <si>
    <t>APL-AX-SD-L9-00031 Rev 01</t>
  </si>
  <si>
    <t>APL-AX-SD-L11-00034 Rev 01</t>
  </si>
  <si>
    <t>APL-AX-SD-L12-00035 Rev 00</t>
  </si>
  <si>
    <t>APL-AX-SD-L13-00036 Rev 00</t>
  </si>
  <si>
    <t>APL-AX-SD-L13-00036 Rev 01</t>
  </si>
  <si>
    <t>APL-AX-SD-L14-00037 Rev 00</t>
  </si>
  <si>
    <t>APL-AX-SD-L15-00038 Rev 00</t>
  </si>
  <si>
    <t>APL-AX-SD-L16-00039 Rev 00</t>
  </si>
  <si>
    <t>APL-AX-SD-L17-00040 Rev 00</t>
  </si>
  <si>
    <t>APL-AX-SD-L17-00041 Rev 02</t>
  </si>
  <si>
    <t>APL-AX-SD-L19-00042 Rev 01</t>
  </si>
  <si>
    <t>APL-AX-SD-L20-00043 Rev 01</t>
  </si>
  <si>
    <t>APL-AX-SD-L21-00044 Rev 00</t>
  </si>
  <si>
    <t>APL-AX-SD-L22-00045 Rev 01</t>
  </si>
  <si>
    <t>APL-AX-SD-L22-00046 Rev 01</t>
  </si>
  <si>
    <t>APL-AX-SD-L26-00049 Rev 00</t>
  </si>
  <si>
    <t>APL-AX-SD-L27-00050 Rev 03</t>
  </si>
  <si>
    <t>APL-AX-SD-L28-00051 Rev 00</t>
  </si>
  <si>
    <t>APL-AX-SD-L28-00052 Rev 02</t>
  </si>
  <si>
    <t>SUB - TOTAL QUANTITY</t>
  </si>
  <si>
    <t>APL-AX-SD-L8-00005-Rev 01</t>
  </si>
  <si>
    <t>APL-AX-SD-L9-00006-Rev 01</t>
  </si>
  <si>
    <t>APL-AX-SD-L10-00007-Rev 01</t>
  </si>
  <si>
    <t>APL-AX-SD-L11-00008-Rev 00</t>
  </si>
  <si>
    <t>APL-AX-SD-L12-00009-Rev 02</t>
  </si>
  <si>
    <t>APL-AX-SD-L13-00010-Rev 01</t>
  </si>
  <si>
    <t>APL-AX-SD-L14-00011-Rev 00</t>
  </si>
  <si>
    <t>APL-AX-SD-L15-00012-Rev 01</t>
  </si>
  <si>
    <t>APL-AX-SD-L16-00013-Rev 01</t>
  </si>
  <si>
    <t>APL-AX-SD-L18-00015-Rev 00</t>
  </si>
  <si>
    <t>APL-AX-SD-L19-00016-Rev 00</t>
  </si>
  <si>
    <t>APL-AX-SD-L20-00017-Rev 00</t>
  </si>
  <si>
    <t>APL-AX-SD-L21-00018-Rev 00</t>
  </si>
  <si>
    <t>APL-AX-SD-L20-00019-Rev 00</t>
  </si>
  <si>
    <t>APL-AX-SD-L23-00020-Rev 00</t>
  </si>
  <si>
    <t>APL-AX-SD-L24-00021-Rev 02</t>
  </si>
  <si>
    <t>APL-AX-SD-L25-00022-Rev 01</t>
  </si>
  <si>
    <t>APL-AX-SD-L26-00023-Rev 00</t>
  </si>
  <si>
    <t>APL-AX-SD-L26-00027-Rev 00</t>
  </si>
  <si>
    <t>SUB-TOTAL QUANTITY</t>
  </si>
  <si>
    <t>TOTAL QUANTITY</t>
  </si>
  <si>
    <t>UNIT RATE (AED PER M2)</t>
  </si>
  <si>
    <t>TOTAL AMOUNT (PREVIOUS SUB-CONTRACT - RPJV)</t>
  </si>
  <si>
    <t>LESS: PREVIOUS AMOUNT CERTIFIED BY OMNIYAT</t>
  </si>
  <si>
    <t>TOTAL AMOUNT  (NEW SUB-CONTRACT - KCE)</t>
  </si>
  <si>
    <t>L8-01086-R1</t>
  </si>
  <si>
    <t>L9-01087-R1</t>
  </si>
  <si>
    <t>L10-01088-R1</t>
  </si>
  <si>
    <t>L11-01089-R1</t>
  </si>
  <si>
    <t>L13-01229-R0</t>
  </si>
  <si>
    <t>L14-01109-R1</t>
  </si>
  <si>
    <t>L20-01059-R1,
L20-01183-R1</t>
  </si>
  <si>
    <t>L21-01202-R0</t>
  </si>
  <si>
    <t>L25-01187-R1</t>
  </si>
  <si>
    <t>L26-01188-R1,
L26-01208-R0,
L26-01221-R0</t>
  </si>
  <si>
    <t>L27-01189-R1</t>
  </si>
  <si>
    <t>L13-01062-R0,
L13-01108-R1,
L13-01197-R0</t>
  </si>
  <si>
    <t>L19-01037-R1,
L19-01209-R1</t>
  </si>
  <si>
    <t>L21-01184-R1,
L21-01060-R0</t>
  </si>
  <si>
    <t>L22-01061-R0,
L22-01185-R1</t>
  </si>
  <si>
    <t>L23-01186-R1,
L23-01193-R0</t>
  </si>
  <si>
    <t>L16-01111-R1</t>
  </si>
  <si>
    <t>L28-01052-R0</t>
  </si>
  <si>
    <t>L11-00435-R4,
L11-01140-R2</t>
  </si>
  <si>
    <t>L14-00852-R1,
L14-01222-R0</t>
  </si>
  <si>
    <t>L15-01207-R0,
L15-01156-R0</t>
  </si>
  <si>
    <t>L16-01157-R0,
L16-01206-R0</t>
  </si>
  <si>
    <t>L17-01158-R0,
L17-01205-R0</t>
  </si>
  <si>
    <t>L18-00755-R3,
L18-01130-R0</t>
  </si>
  <si>
    <t>L19-01213-R0</t>
  </si>
  <si>
    <t>L20-01203-R0'
L20-01212-R0</t>
  </si>
  <si>
    <t>L22-00753-R3,
L22-01201-R0,
L22-01210-R0</t>
  </si>
  <si>
    <t>L26-01034-R1</t>
  </si>
  <si>
    <t>L28-01045-R1</t>
  </si>
  <si>
    <t>L12-01075-R0</t>
  </si>
  <si>
    <t>22/180040/HH/L/24128R1/SEM/lr, dated 19th July 2022</t>
  </si>
  <si>
    <t>L7-0070-R1</t>
  </si>
  <si>
    <t>L8-0057-R1</t>
  </si>
  <si>
    <t>L9-01223-R0,
L9-0311-R3</t>
  </si>
  <si>
    <t>L15-01079-R0,
L15-01110-R1,
L15-01119-R0,</t>
  </si>
  <si>
    <t>L18-01177-R0,
L18-01147-R2</t>
  </si>
  <si>
    <t>L12-00850-R1,
L12-01141-R0,
L12-01242-R0</t>
  </si>
  <si>
    <t>L27-01123-R1,
L12-01242-R0</t>
  </si>
  <si>
    <t>WIR 1243</t>
  </si>
  <si>
    <t>WIR 0753 R3,
WIR 1243</t>
  </si>
  <si>
    <t>2938</t>
  </si>
  <si>
    <t>1463, 2938</t>
  </si>
  <si>
    <t>113, 302</t>
  </si>
  <si>
    <t>1706, 2938</t>
  </si>
  <si>
    <t>157, 302</t>
  </si>
  <si>
    <t>2465, 2938</t>
  </si>
  <si>
    <t>2123,2142,2938</t>
  </si>
  <si>
    <t>204,205,302</t>
  </si>
  <si>
    <t>2115,2942</t>
  </si>
  <si>
    <t>203,304</t>
  </si>
  <si>
    <t>1706,2942</t>
  </si>
  <si>
    <t>157,304</t>
  </si>
  <si>
    <t>2440,2454,2942</t>
  </si>
  <si>
    <t>239,304</t>
  </si>
  <si>
    <t>Removal of Existing GRC Coping Panels Installed Above the Roof Parapet at Hotel Level 29</t>
  </si>
  <si>
    <t>KCE letter ref. no. E11/K117/JA/dm/218</t>
  </si>
  <si>
    <t>22/180440/HH/L/24395/FS/jb, dated 28th Sep 2022</t>
  </si>
  <si>
    <t>22/180440/HH/L/24396/FS/jb, dated 28th Sep 2022</t>
  </si>
  <si>
    <t>KCE letter ref. no. E11/K117/SN/dm/233</t>
  </si>
  <si>
    <t>Omission of Fluted GRC Panels due to the Revised Cladding at Hotel Podium Entrance Level 2</t>
  </si>
  <si>
    <t>GRC Façade Cleaning</t>
  </si>
  <si>
    <t>KCE letter ref. no. E11/K117/SK/dm/247</t>
  </si>
  <si>
    <t>22/180440/HH/L/24398/FS/jb, dated 29th Sep 2022</t>
  </si>
  <si>
    <t>APL PROGRESS CLAIM</t>
  </si>
  <si>
    <t>Removal and Re-Installation of Fluted GRC Panel and Rockwool Insulation at Hotel Entrance Ground Floor &amp; Level 2</t>
  </si>
  <si>
    <t>KCE letter ref. no. E11/K117/PK/dm/177</t>
  </si>
  <si>
    <t>22/180040/HH/L/24354/FS/jb, dated 14th Sep 2022</t>
  </si>
  <si>
    <t>129,082.00</t>
  </si>
  <si>
    <t>KCE letter ref. no. E11/K117/SK/dm/190</t>
  </si>
  <si>
    <t>GRC Edge Profile Extension at Residential Level 32 - Rev. 02</t>
  </si>
  <si>
    <t>SUPERSEDED by KCE letter ref. no. E11/K117/SK/dm/190</t>
  </si>
  <si>
    <t>22/180040/HH/L/24366/FS/jb, dated 20th Sep 2022</t>
  </si>
  <si>
    <t>GRC Flat Panel for Non-Accessible Balcony Areas at Hotel and Residential Towers</t>
  </si>
  <si>
    <t>22/180440/HH/L/24400/FS/jb, dated 30th Sep 2022</t>
  </si>
  <si>
    <t>22/180440/HH/L/24420/FS/jb, dated 10th Oct 2022</t>
  </si>
  <si>
    <t>KCE letter ref. no. E11/K117/JA/dm/253</t>
  </si>
  <si>
    <t>New GRC Top Panels at Hotel Level 8</t>
  </si>
  <si>
    <t>Removal and Installation of GRC Balcony separator Panels for Balcony Floor Drain Installation at Hotel Levels 10, 13, 15, 20, &amp; 25</t>
  </si>
  <si>
    <t>KCE letter ref. no. E11/K117/KK/dm/278</t>
  </si>
  <si>
    <t>22/180440/HH/L/24421/FS/jb, dated 10th Oct 2022</t>
  </si>
  <si>
    <t>KCE letter ref. no. E11/K117/JA/dm/218-R1</t>
  </si>
  <si>
    <t>22/180440/HH/L/24432/FS/jb, dated 12th Oct 2022</t>
  </si>
  <si>
    <t xml:space="preserve">APCO-SUBCONLET-000339 </t>
  </si>
  <si>
    <t xml:space="preserve">APCO-SUBCONLET-000338 </t>
  </si>
  <si>
    <t xml:space="preserve">APCO-SUBCONLET-000337 </t>
  </si>
  <si>
    <t xml:space="preserve">APCO-SUBCONLET-000336 </t>
  </si>
  <si>
    <t xml:space="preserve">APCO-SUBCONLET-000335 </t>
  </si>
  <si>
    <t xml:space="preserve">APCO-SUBCONLET-000333 </t>
  </si>
  <si>
    <t xml:space="preserve">APCO-SUBCONLET-000330 </t>
  </si>
  <si>
    <t xml:space="preserve">APCO-SUBCONLET-000329 </t>
  </si>
  <si>
    <t>APL-AX-MR-ML-00295, dated 2nd Aug 2022</t>
  </si>
  <si>
    <t>APL-AX-WR-L24-01249, dated 22nd Sep 2022</t>
  </si>
  <si>
    <t>as per KCE letter ref. 201A22002/K117/Kd/qa/0132 dated 10th Oct 2022 this is agreed in principle by Employer, but final value remains to be agreed</t>
  </si>
  <si>
    <t>APCO-SUBCONLET-000340</t>
  </si>
  <si>
    <t>SUPERSEDED by KCE email dated 18th Oct 2022</t>
  </si>
  <si>
    <t>22/180440/HH/L/24559/FS/jb, dated 25th Oct 2022</t>
  </si>
  <si>
    <t>KCE letter ref. no. E11/K117/JA/dm/218-R1
KCE e-mail dated 18th Oct 2022</t>
  </si>
  <si>
    <t>Removal and Installation of GRC Panel at Sky Deck, Hotel Level 29</t>
  </si>
  <si>
    <t>Removal GRC Panel at Sky Deck, Hotel Level 29 - Rev. 01</t>
  </si>
  <si>
    <t>22/180440/HH/L/24564/FS/jb, dated 25th Oct 2022</t>
  </si>
  <si>
    <t>Removal of GRC Panels for Drain Pipe Installation at Residential Tower Level 14</t>
  </si>
  <si>
    <t>22/180440/HH/L/24565/FS/jb, dated 25th Oct 2022</t>
  </si>
  <si>
    <t>GRC Finished Floor Panel as per RFI No. KCE-AX-RFI-L17-00228 at Hotel Level 17</t>
  </si>
  <si>
    <t>Supply &amp; Installation of Additional Insulation Behind GRC Window Frame Cladding as per RFI No. KCE-AX-RFI-PW-00244 Rev. 0</t>
  </si>
  <si>
    <t>22/180440/HH/L/24566/FS/jb, dated 26th Oct 2022</t>
  </si>
  <si>
    <t>KCE letter ref. E11/K117/SC/dm/323</t>
  </si>
  <si>
    <t>KCE letter ref. E11/K117/MS/dm/275</t>
  </si>
  <si>
    <t>WIR-L7-01255</t>
  </si>
  <si>
    <t>WIR-L2-01254</t>
  </si>
  <si>
    <t>2402,2405,2960</t>
  </si>
  <si>
    <r>
      <t xml:space="preserve">as per KCE letter ref. 201A22002/K117/Kd/qa/0132 dated 10th Oct 2022 this is agreed in principle by Employer, but final value remains to be agreed  / </t>
    </r>
    <r>
      <rPr>
        <sz val="10"/>
        <color indexed="10"/>
        <rFont val="Arial"/>
        <family val="2"/>
      </rPr>
      <t>On hold by KCE due to design change.</t>
    </r>
  </si>
  <si>
    <t>KCE e-mail dated 19th Oct 2022;
KCE letter ref. E11/K117/AK/dm/364</t>
  </si>
  <si>
    <t>KCE letter ref. E11/K117/SC/dm/374</t>
  </si>
  <si>
    <t>GRC Works at Slab Extension Area at Residential Level 18 as per RFI ref. KCE-AX-RFI-L18-00226 Rev. 0</t>
  </si>
  <si>
    <t>KCE letter ref. E11/K117/JA/dm/362</t>
  </si>
  <si>
    <t>GRC Coping to the Entire Areas Where the GRC Coping Removed for the 400mm Cutting to the Parapet Wall</t>
  </si>
  <si>
    <t>KCE letter ref. E11/K117/JJ/dm/375</t>
  </si>
  <si>
    <t>Removal of 2 Bottom GRC Panels in Residence Level 6 for Mast Climber Installation</t>
  </si>
  <si>
    <t xml:space="preserve">APCO-SUBCONLET-000347 </t>
  </si>
  <si>
    <t xml:space="preserve">APCO-SUBCONLET-000346 </t>
  </si>
  <si>
    <t xml:space="preserve">APCO-SUBCONLET-000344 </t>
  </si>
  <si>
    <t xml:space="preserve">APCO-SUBCONLET-000343 </t>
  </si>
  <si>
    <t>TBA</t>
  </si>
  <si>
    <t>KCE letter ref. E11/K117/KD/dm/312-R1</t>
  </si>
  <si>
    <t>New GRC Panels at Residential Tower Level 25, 26 and 29</t>
  </si>
  <si>
    <t>22/180440/HH/L/24581/FS/jb, dated 3rd November 2022</t>
  </si>
  <si>
    <t>22/180440/HH/L/24579/FS/jb, dated 2nd November 2022</t>
  </si>
  <si>
    <t>22/180440/HH/L/24578/FS/jb, dated 2nd Nov 2022</t>
  </si>
  <si>
    <t>22/180440/HH/L/24573/FS/jb, dated 1st Nov 2022</t>
  </si>
  <si>
    <t>SUPERSEDED by KCE letter ref. no. E11/K117/SC/dm/398-R1 dated 2nd Nov 2022</t>
  </si>
  <si>
    <t>KCE letter ref. E11/K117/SC/dm/398-R1</t>
  </si>
  <si>
    <t>GRC Finished Floor Panels at Non-Accessible Balcony Areas</t>
  </si>
  <si>
    <t>22/180440/HH/L/24585/FS/jb, dated 7th November 2022</t>
  </si>
  <si>
    <t>KCE letter ref. no. E11/K117/JJ/dm/399</t>
  </si>
  <si>
    <t>22/180440/HH/L/24586/FS/jb, dated 7th November 2022</t>
  </si>
  <si>
    <t xml:space="preserve">Removal &amp; Re-Installation of 3 nos. GRC Panels at Residence Tower Level 2 </t>
  </si>
  <si>
    <t>KCE letter ref. no. E11/K117/SC/dm/325</t>
  </si>
  <si>
    <t>KCE letter ref. E11/K117/MS/dm/275-R1</t>
  </si>
  <si>
    <t>SUPERSEDED by KCE letter ref. E11/K117/MS/dm/275-R1, dated 28th Oct 2022</t>
  </si>
  <si>
    <t>3,201.00</t>
  </si>
  <si>
    <t>22/180440/HH/L/24582/FS/jb, dated 7th Nov 2022</t>
  </si>
  <si>
    <t>Removal and Reinstate of GRC Balcony Separator Panels for Drain Pipe Installation at Residential Tower Level 14</t>
  </si>
  <si>
    <t xml:space="preserve">APCO-SUBCONLET-000353 </t>
  </si>
  <si>
    <t xml:space="preserve">APCO-SUBCONLET-000352 </t>
  </si>
  <si>
    <t xml:space="preserve">APCO-SUBCONLET-000354 </t>
  </si>
  <si>
    <t xml:space="preserve">APCO-SUBCONLET-000351 </t>
  </si>
  <si>
    <t>3,430.00</t>
  </si>
  <si>
    <t>81,254.00</t>
  </si>
  <si>
    <t>released</t>
  </si>
  <si>
    <t xml:space="preserve">APCO-SUBCONLET-000355 </t>
  </si>
  <si>
    <t xml:space="preserve">APCO-SUBCONLET-000356 </t>
  </si>
  <si>
    <t>1,200.00</t>
  </si>
  <si>
    <t>Removal &amp; Reinstate 2 Bottom GRC Panels in Residence Level 6 for Mast Climber Installation</t>
  </si>
  <si>
    <t>22/180440/HH/L/24605/FS/jb, dated 9th November 2022</t>
  </si>
  <si>
    <t>superseded by APL L-24605 dated 9th Nov 2022</t>
  </si>
  <si>
    <t xml:space="preserve"> APCO-SUBCONLET-000357 </t>
  </si>
  <si>
    <t>n.a.</t>
  </si>
  <si>
    <t>refer to remarks</t>
  </si>
  <si>
    <t>PRC Amendment Status</t>
  </si>
  <si>
    <t>Delivery Note No.</t>
  </si>
  <si>
    <t>KHANSAHEB Assessment and Certification
(XXX 2022)</t>
  </si>
  <si>
    <t>GRC Finished Floor Panels at Non-Accessible Balcony Area at Residential level 10</t>
  </si>
  <si>
    <t>KCE letter ref. no. E11/K117/AK/dm/426</t>
  </si>
  <si>
    <t>KCE letter ref. no. E11/K117/SC/dm/271</t>
  </si>
  <si>
    <t>GRC Finished Floor Panels at Residential Level 4</t>
  </si>
  <si>
    <t xml:space="preserve">APCO-SUBCONLET-000360 </t>
  </si>
  <si>
    <t xml:space="preserve">APCO-SUBCONLET-000359 </t>
  </si>
  <si>
    <t>22/180440/HH/L/24640/FS/jb, dated 25th November 2022</t>
  </si>
  <si>
    <t>22/180440/HH/L/24639/FS/jb, dated 25th November 2022</t>
  </si>
  <si>
    <t>WIR-L7-01256</t>
  </si>
  <si>
    <t>1463,3064</t>
  </si>
  <si>
    <t>2579,3064</t>
  </si>
  <si>
    <t>DN No. AJM003064</t>
  </si>
  <si>
    <t>KCE letter ref. no. E11/K117/KD/sr/531</t>
  </si>
  <si>
    <t>GRC Fluted Profile Level 3.9m LVL and Flat Panel to Varies Level as per RFI Ref. KCE-AX-RF-GF-00293 Rev 0</t>
  </si>
  <si>
    <t>Replacement of GRC Panel in Line with Balustrade Alignment at Retail Stair Hotel Tower Level 2</t>
  </si>
  <si>
    <t>Removal of GRC Nosing Panel and Bottom Panel (8 nos.) to proceed with Mast Climber Installation Works at Hotel Tower Level 7</t>
  </si>
  <si>
    <t>KCE letter ref. no. E11/K117/JA/dm/496</t>
  </si>
  <si>
    <t>22/180440/HH/L/24762/FS/jb, dated 12th December 2022</t>
  </si>
  <si>
    <t xml:space="preserve"> APCO-SUBCONLET-000363 </t>
  </si>
  <si>
    <t xml:space="preserve">APCO-SUBCONLET-000365 </t>
  </si>
  <si>
    <t>SITE INSTRUCTION NO. 000400 - ADDITIONAL THERMAL INSULATION BEHIND FLUTTED GRC WALL CLADDING</t>
  </si>
  <si>
    <t>Height</t>
  </si>
  <si>
    <t>50mm thk. Semi-Rigid Rockwool 60kg/m3 Fixed on Wall/Steel by Pin at Residential Podium Entrance - Ground Level</t>
  </si>
  <si>
    <t>Top Door Frame</t>
  </si>
  <si>
    <t>Side Door Frame</t>
  </si>
  <si>
    <t>50mm thk. Semi-Rigid Rockwool 60kg/m3 Fixed on Wall/Steel by Pin at Hotell Podium Entrance - Ground Level</t>
  </si>
  <si>
    <t>Fluted GRC Wall Cladding - Ground Level</t>
  </si>
  <si>
    <t>50mm thk. Semi-Rigid Rockwool 60kg/m3 Fixed on Wall/Steel by Pin at Hotel Podium Entrance - Level 2</t>
  </si>
  <si>
    <t>Fluted GRC Wall Cladding</t>
  </si>
  <si>
    <t>70mm thk. Semi-Rigid Rockwool 60kg/m3 with One Side Alum. Foil Fixed on Wall/steel by Pin at Hotel Level 29</t>
  </si>
  <si>
    <t>at Gridline V', 16'-18'</t>
  </si>
  <si>
    <t>Fluted GRC Wall</t>
  </si>
  <si>
    <t>Less Door Opening</t>
  </si>
  <si>
    <t>at Gridline V, 18'-22</t>
  </si>
  <si>
    <t>Less Fire Hose Cabinet</t>
  </si>
  <si>
    <t>at Gridline 22, V-X</t>
  </si>
  <si>
    <t>TOTAL AMOUNT</t>
  </si>
  <si>
    <t>INSTALLATION PROGRESS</t>
  </si>
  <si>
    <t>274,321</t>
  </si>
  <si>
    <t>Removed All panels 100% And waiting for Mast Climber to remove so that APL can reinstall (WIR : APL-AX-WR-L7-01269)</t>
  </si>
  <si>
    <t>WIR: APL-AX-WR-L29-01267</t>
  </si>
  <si>
    <t>WIR: APL-AX-WA-L29-01262</t>
  </si>
  <si>
    <t>Removed All panels 100% And waiting for Mast Climber to remove so that APL can reinstall (WIR : APL-AX-WR-L2-01266)</t>
  </si>
  <si>
    <t>Removed All panels 100% And waiting for Mast Climber to remove so that APL can reinstall (WIR : APL-AX-WR-L6-01265)</t>
  </si>
  <si>
    <t>L24-01271</t>
  </si>
  <si>
    <t>L23-01244-R0,
L23-01268-R0</t>
  </si>
  <si>
    <t>DN. No. AJM003057; MIR-320
WIR: APL-AX-WR-L14-01264
WIR: APL-AX-WR-L14-01270</t>
  </si>
  <si>
    <t>WIR-L2-01261</t>
  </si>
  <si>
    <t>KCE letter ref. no, E11/K/117/SK/SR/571</t>
  </si>
  <si>
    <t>KCE letter ref. no, E11/K/117/SK/SR/573</t>
  </si>
  <si>
    <t>23/180440/HH/L/24824/FS/jb, dated 4th January 2023</t>
  </si>
  <si>
    <t>23/180440/HH/L/24825/FS/jb, dated 4th January 2023</t>
  </si>
  <si>
    <t>Removal of GRC Panels at Hotel Level 29</t>
  </si>
  <si>
    <t>Supply and Installation of New GRC Edge Profile at Hotel Tower Level 29</t>
  </si>
  <si>
    <t>KCE letter ref. no. E11/K117/KD/sr/520 R1</t>
  </si>
  <si>
    <t xml:space="preserve">APCO-SUBCONLET-000368 </t>
  </si>
  <si>
    <t xml:space="preserve">APCO-SUBCONLET-000367 </t>
  </si>
  <si>
    <t>3101</t>
  </si>
  <si>
    <t>323</t>
  </si>
  <si>
    <t>1847,3106</t>
  </si>
  <si>
    <t>1863,2205,2212,2276,3143</t>
  </si>
  <si>
    <t>169,215,216,224,330</t>
  </si>
  <si>
    <t>WIR: APL-AX-WR-L2-01277,
WIR: APL-AX-WR-L2-01278</t>
  </si>
  <si>
    <t>WIR-L2-01275; 1279</t>
  </si>
  <si>
    <t>WIR: APL-AX-WR-ML-01263;
WIR: APL-AX-WR-ML-01273</t>
  </si>
  <si>
    <t>PLOT 18 - DORCHESTER HOTEL &amp; RESIDENCES</t>
  </si>
  <si>
    <t>GRC FINISHED FLOOR PANELS AT HOTEL LEVEL 17</t>
  </si>
  <si>
    <t>Supply and Installation of GRC Finished Floor Panels</t>
  </si>
  <si>
    <t>Hotel Tower</t>
  </si>
  <si>
    <t>Hotel Level 17 - Grid 20-21/S</t>
  </si>
  <si>
    <t>Hotel Level 17 - Grid 17-23/W-X</t>
  </si>
  <si>
    <t>Preliminaries: 
(Engineering, Coordination, QA/QC, Safety, Site Management, etc.)</t>
  </si>
  <si>
    <t>Scaffolding / Access</t>
  </si>
  <si>
    <t>by KCE</t>
  </si>
  <si>
    <t>Structural steel support for fixing GRC Works (Epoxy paint finish without fire protection), if any</t>
  </si>
  <si>
    <t>REMOVAL &amp; INSTALLATION OF GRC BALCONY SEPARATOR PANELS AT HOTEL LEVELS 10, 13, 15, 20 and 25</t>
  </si>
  <si>
    <t>Item
No.</t>
  </si>
  <si>
    <t>Girth</t>
  </si>
  <si>
    <t>Removal of GRC Balcony Separator Panel for Balcony Floor Drain Installation (8 workers, 5 days)</t>
  </si>
  <si>
    <t>Supply and Installation of New GRC Balcony Separator</t>
  </si>
  <si>
    <t>2.1</t>
  </si>
  <si>
    <t>H10-DV-02D &amp; 02E</t>
  </si>
  <si>
    <t>refer to BOQ rate from previous Contractor</t>
  </si>
  <si>
    <t>2.2</t>
  </si>
  <si>
    <t>H13-DV-02D &amp; 02E</t>
  </si>
  <si>
    <t>2.3</t>
  </si>
  <si>
    <t>H15-DV-02D &amp; 02E</t>
  </si>
  <si>
    <t>2.4</t>
  </si>
  <si>
    <t>H20-DV-02D &amp; 02E</t>
  </si>
  <si>
    <t>2.5</t>
  </si>
  <si>
    <t>H24-DV-02D &amp; 02E</t>
  </si>
  <si>
    <t>ADDITIONAL GRC NOSING &amp; GRC EDGE WALL CLADDING - REV. 01</t>
  </si>
  <si>
    <t>Supply and Installation of GRC Cladding complete wilth necessary fixing accessories:</t>
  </si>
  <si>
    <r>
      <t>GRC Nosing at Residential/Apartment Levels 31</t>
    </r>
    <r>
      <rPr>
        <vertAlign val="superscript"/>
        <sz val="10"/>
        <color indexed="8"/>
        <rFont val="Arial"/>
        <family val="2"/>
      </rPr>
      <t>st</t>
    </r>
    <r>
      <rPr>
        <sz val="10"/>
        <color indexed="8"/>
        <rFont val="Arial"/>
        <family val="2"/>
      </rPr>
      <t xml:space="preserve"> Level</t>
    </r>
  </si>
  <si>
    <t>1.1.1</t>
  </si>
  <si>
    <t>GRC Edge Wall Cladding</t>
  </si>
  <si>
    <t>Structural Steel Support for fixing GRC Works (Epoxy paint finish without fire protection)</t>
  </si>
  <si>
    <t>by Structural Steel Sub-Contractor</t>
  </si>
  <si>
    <t>WIR: APL-AX-WR-L17-01282</t>
  </si>
  <si>
    <t>WIR: APL-AX-WR-L29-01284
'WIR: APL-AX-WR-L29-01288</t>
  </si>
  <si>
    <t>Removal, Supply and Installation of New GRC Nosing Panels at Residential Tower Level 32</t>
  </si>
  <si>
    <t>KCE letter ref. no, E11/K/117/SK/SR/733</t>
  </si>
  <si>
    <t>23/180440/HH/L/24825/FS/jb, dated 20th February 2023</t>
  </si>
  <si>
    <t>APCO-SUBCONLET-000</t>
  </si>
  <si>
    <t>Supply and Installation of New GRC Panels at Sky Deck, Hotel Level 29</t>
  </si>
  <si>
    <t>23/180440/HH/L/24993/FS/jb, dated 8th February 2023</t>
  </si>
  <si>
    <t xml:space="preserve">APCO-SUBCONLET-000373 </t>
  </si>
  <si>
    <t>S.I. 398 R1 - GRC FINISHED FLOOR PANEL IN NON-ACCESSIBLE AREAS</t>
  </si>
  <si>
    <t>Supply and Installation of GRC Finished Flat Floor Panels</t>
  </si>
  <si>
    <t>D.N. AJM003238</t>
  </si>
  <si>
    <t>Residential Tower</t>
  </si>
  <si>
    <t xml:space="preserve">Note: </t>
  </si>
  <si>
    <t>SITE INSTRUCTION NO. 000364 - ADDITIONAL FLUTED GRC WALL CLADDING AT HOTEL LEVEL 29 - Rev. 01</t>
  </si>
  <si>
    <t>Supply and Installation of Fluted GRC Wall Cladding (Rough Finish) at Hotel Level 29, complete wilth necessary fixing accessories:</t>
  </si>
  <si>
    <t>GRC Cladding Return at Door Opening</t>
  </si>
  <si>
    <t>Return Door Opening</t>
  </si>
  <si>
    <t>Structural Steel Support for Fixing GRC Works (Epoxy paint finish without fire protection)</t>
  </si>
  <si>
    <t xml:space="preserve">Cutting and Fixing the GRC Coping Panels at Hotel Tower Level 29 </t>
  </si>
  <si>
    <t>KCE letter ref. no. E11/K117/TP/dm/816,</t>
  </si>
  <si>
    <t>23/180440/HH/L/25131/FS/jb, dated 17th March 2023</t>
  </si>
  <si>
    <t>Residential Level 24</t>
  </si>
  <si>
    <t>Residential Level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</si>
</sst>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2" formatCode="_(&quot;$&quot;* #,##0_);_(&quot;$&quot;* \(#,##0\);_(&quot;$&quot;* &quot;-&quot;_);_(@_)"/>
    <numFmt numFmtId="43" formatCode="_(* #,##0.00_);_(* \(#,##0.00\);_(* &quot;-&quot;??_);_(@_)"/>
    <numFmt numFmtId="164" formatCode="_-* #,##0_-;\-* #,##0_-;_-* &quot;-&quot;_-;_-@_-"/>
    <numFmt numFmtId="165" formatCode="_-* #,##0.00_-;\-* #,##0.00_-;_-* &quot;-&quot;??_-;_-@_-"/>
    <numFmt numFmtId="166" formatCode="&quot;$&quot;#,##0.00;[Red]\-&quot;$&quot;#,##0.00"/>
    <numFmt numFmtId="167" formatCode="#,##0&quot;£&quot;_);[Red]\(#,##0&quot;£&quot;\)"/>
    <numFmt numFmtId="168" formatCode="#,##0.00&quot;£&quot;_);\(#,##0.00&quot;£&quot;\)"/>
    <numFmt numFmtId="169" formatCode="#,##0.00&quot;£&quot;_);[Red]\(#,##0.00&quot;£&quot;\)"/>
    <numFmt numFmtId="170" formatCode="_ * #,##0_)&quot;£&quot;_ ;_ * \(#,##0\)&quot;£&quot;_ ;_ * &quot;-&quot;_)&quot;£&quot;_ ;_ @_ "/>
    <numFmt numFmtId="171" formatCode="_ * #,##0_)_£_ ;_ * \(#,##0\)_£_ ;_ * &quot;-&quot;_)_£_ ;_ @_ "/>
    <numFmt numFmtId="172" formatCode="_ * #,##0.00_)&quot;£&quot;_ ;_ * \(#,##0.00\)&quot;£&quot;_ ;_ * &quot;-&quot;??_)&quot;£&quot;_ ;_ @_ "/>
    <numFmt numFmtId="173" formatCode="_ * #,##0.00_)_£_ ;_ * \(#,##0.00\)_£_ ;_ * &quot;-&quot;??_)_£_ ;_ @_ "/>
    <numFmt numFmtId="174" formatCode="#,##0\ &quot;F&quot;;\-#,##0\ &quot;F&quot;"/>
    <numFmt numFmtId="175" formatCode="0%;\(0%\)"/>
    <numFmt numFmtId="176" formatCode="_(* #,##0,_);[Red]_(* \(#,##0,\);_(* &quot;&quot;\ \-\ &quot;&quot;_);_(@_)"/>
    <numFmt numFmtId="177" formatCode="_(* #,##0,,_);_(* \(#,##0,,\);_(* &quot;-&quot;_)"/>
    <numFmt numFmtId="178" formatCode="&quot;\&quot;#,##0;[Red]&quot;\&quot;\-#,##0"/>
    <numFmt numFmtId="179" formatCode="#,##0.00;[Red]&quot;-&quot;#,##0.00"/>
    <numFmt numFmtId="180" formatCode="[$-409]d\-mmm\-yy;@"/>
    <numFmt numFmtId="181" formatCode="_ * #,##0.00_ ;_ * \-#,##0.00_ ;_ * &quot;-&quot;??_ ;_ @_ "/>
    <numFmt numFmtId="182" formatCode="_ * #,##0_ ;_ * \-#,##0_ ;_ * &quot;-&quot;_ ;_ @_ "/>
    <numFmt numFmtId="183" formatCode="_ &quot;S/&quot;* #,##0_ ;_ &quot;S/&quot;* \-#,##0_ ;_ &quot;S/&quot;* &quot;-&quot;_ ;_ @_ "/>
    <numFmt numFmtId="184" formatCode="_ &quot;S/&quot;* #,##0.00_ ;_ &quot;S/&quot;* \-#,##0.00_ ;_ &quot;S/&quot;* &quot;-&quot;??_ ;_ @_ "/>
    <numFmt numFmtId="185" formatCode="m/d/yy\ h:mm:ss"/>
    <numFmt numFmtId="186" formatCode="0.0000%"/>
    <numFmt numFmtId="187" formatCode="_([$€-2]* #,##0.00_);_([$€-2]* \(#,##0.00\);_([$€-2]* &quot;-&quot;??_)"/>
    <numFmt numFmtId="188" formatCode="0.000"/>
    <numFmt numFmtId="189" formatCode="_(* #,##0.00_);_(* \(#,##0.00\);_(* \-??_);_(@_)"/>
    <numFmt numFmtId="190" formatCode="_(* #,##0.00_);_(* \(#,##0.00\);_(* &quot;-&quot;???_);_(@_)"/>
    <numFmt numFmtId="191" formatCode="[$VO]\-000"/>
    <numFmt numFmtId="192" formatCode="[$AFC]\-\V\O\-000"/>
    <numFmt numFmtId="193" formatCode="&quot;as of&quot;\ [$-409]d\ mmmm\ yyyy"/>
    <numFmt numFmtId="194" formatCode="0.00000"/>
    <numFmt numFmtId="195" formatCode="_(* #,##0_);_(* \(#,##0\);_(* \-??_);_(@_)"/>
    <numFmt numFmtId="196" formatCode="#,##0.0"/>
  </numFmts>
  <fonts count="149">
    <font>
      <sz val="10"/>
      <name val="Arial"/>
    </font>
    <font>
      <sz val="10"/>
      <name val="Arial"/>
      <family val="2"/>
    </font>
    <font>
      <b/>
      <sz val="12"/>
      <name val="Arial"/>
      <family val="2"/>
    </font>
    <font>
      <sz val="10"/>
      <name val="Arial"/>
      <family val="2"/>
    </font>
    <font>
      <u/>
      <sz val="10"/>
      <color indexed="12"/>
      <name val="Arial"/>
      <family val="2"/>
    </font>
    <font>
      <sz val="10"/>
      <name val="Arial"/>
      <family val="2"/>
    </font>
    <font>
      <b/>
      <sz val="9.85"/>
      <name val="Times New Roman"/>
      <family val="1"/>
    </font>
    <font>
      <u/>
      <sz val="8"/>
      <color indexed="20"/>
      <name val="MS Sans Serif"/>
      <family val="2"/>
    </font>
    <font>
      <sz val="10"/>
      <name val="Arabic Transparent"/>
    </font>
    <font>
      <sz val="7"/>
      <name val="Small Fonts"/>
      <family val="2"/>
    </font>
    <font>
      <b/>
      <sz val="9.5"/>
      <name val="Courier"/>
      <family val="3"/>
    </font>
    <font>
      <sz val="10"/>
      <name val="MS Sans Serif"/>
      <family val="2"/>
    </font>
    <font>
      <b/>
      <sz val="10"/>
      <name val="MS Sans Serif"/>
      <family val="2"/>
    </font>
    <font>
      <b/>
      <sz val="9"/>
      <name val="Arial"/>
      <family val="2"/>
    </font>
    <font>
      <b/>
      <u/>
      <sz val="12"/>
      <name val="Arial"/>
      <family val="2"/>
    </font>
    <font>
      <sz val="10"/>
      <name val="MS Sans Serif"/>
      <family val="2"/>
    </font>
    <font>
      <sz val="12"/>
      <name val="바탕체"/>
      <family val="1"/>
      <charset val="129"/>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BERNHARD"/>
      <charset val="178"/>
    </font>
    <font>
      <sz val="10"/>
      <name val="Helv"/>
      <charset val="178"/>
    </font>
    <font>
      <sz val="1"/>
      <color indexed="8"/>
      <name val="Courier"/>
      <family val="3"/>
    </font>
    <font>
      <b/>
      <sz val="1"/>
      <color indexed="8"/>
      <name val="Courier"/>
      <family val="3"/>
    </font>
    <font>
      <sz val="8"/>
      <name val="Helv"/>
      <charset val="178"/>
    </font>
    <font>
      <b/>
      <sz val="12"/>
      <color indexed="8"/>
      <name val="Calibri"/>
      <family val="2"/>
    </font>
    <font>
      <sz val="14"/>
      <color indexed="8"/>
      <name val="Calibri"/>
      <family val="2"/>
    </font>
    <font>
      <b/>
      <sz val="11"/>
      <name val="Calibri"/>
      <family val="2"/>
    </font>
    <font>
      <sz val="10"/>
      <name val="Calibri"/>
      <family val="2"/>
    </font>
    <font>
      <sz val="10"/>
      <color indexed="8"/>
      <name val="Arial"/>
      <family val="2"/>
    </font>
    <font>
      <sz val="12"/>
      <name val="Helv"/>
    </font>
    <font>
      <sz val="10"/>
      <color indexed="8"/>
      <name val="Arial"/>
      <family val="2"/>
    </font>
    <font>
      <sz val="14"/>
      <name val="Arial"/>
      <family val="2"/>
    </font>
    <font>
      <i/>
      <sz val="10"/>
      <name val="Arial"/>
      <family val="2"/>
    </font>
    <font>
      <b/>
      <sz val="9"/>
      <name val="Arial"/>
      <family val="2"/>
    </font>
    <font>
      <sz val="18"/>
      <name val="Arial"/>
      <family val="2"/>
    </font>
    <font>
      <sz val="11"/>
      <name val="돋움"/>
      <family val="3"/>
      <charset val="129"/>
    </font>
    <font>
      <b/>
      <sz val="14"/>
      <color indexed="8"/>
      <name val="Calibri"/>
      <family val="2"/>
    </font>
    <font>
      <u/>
      <sz val="11"/>
      <color indexed="8"/>
      <name val="Calibri"/>
      <family val="2"/>
    </font>
    <font>
      <b/>
      <u/>
      <sz val="11"/>
      <color indexed="8"/>
      <name val="Calibri"/>
      <family val="2"/>
    </font>
    <font>
      <sz val="12"/>
      <color indexed="8"/>
      <name val="Calibri"/>
      <family val="2"/>
    </font>
    <font>
      <b/>
      <u/>
      <sz val="14"/>
      <color indexed="8"/>
      <name val="Calibri"/>
      <family val="2"/>
    </font>
    <font>
      <sz val="10"/>
      <name val="Arial"/>
      <family val="2"/>
    </font>
    <font>
      <b/>
      <sz val="10"/>
      <name val="Arial"/>
      <family val="2"/>
    </font>
    <font>
      <sz val="12"/>
      <name val="Arial"/>
      <family val="2"/>
    </font>
    <font>
      <b/>
      <sz val="11"/>
      <name val="Arial"/>
      <family val="2"/>
    </font>
    <font>
      <b/>
      <sz val="14"/>
      <name val="Arial"/>
      <family val="2"/>
    </font>
    <font>
      <sz val="9"/>
      <name val="Arial"/>
      <family val="2"/>
    </font>
    <font>
      <sz val="12"/>
      <name val="Times New Roman"/>
      <family val="1"/>
      <charset val="178"/>
    </font>
    <font>
      <u/>
      <sz val="10"/>
      <name val="Arial"/>
      <family val="2"/>
    </font>
    <font>
      <sz val="8"/>
      <name val="Arial"/>
      <family val="2"/>
    </font>
    <font>
      <sz val="10"/>
      <name val="Arial"/>
      <family val="2"/>
    </font>
    <font>
      <b/>
      <sz val="9"/>
      <color indexed="81"/>
      <name val="Tahoma"/>
      <family val="2"/>
    </font>
    <font>
      <b/>
      <sz val="10"/>
      <color indexed="40"/>
      <name val="Arial"/>
      <family val="2"/>
    </font>
    <font>
      <b/>
      <sz val="10"/>
      <color indexed="13"/>
      <name val="Arial"/>
      <family val="2"/>
    </font>
    <font>
      <b/>
      <sz val="8"/>
      <name val="Arial"/>
      <family val="2"/>
    </font>
    <font>
      <sz val="11"/>
      <name val="Calibri"/>
      <family val="2"/>
    </font>
    <font>
      <b/>
      <u/>
      <sz val="11"/>
      <name val="Calibri"/>
      <family val="2"/>
    </font>
    <font>
      <sz val="10"/>
      <name val="Arial"/>
      <family val="2"/>
    </font>
    <font>
      <sz val="10"/>
      <name val="Arial"/>
      <family val="2"/>
    </font>
    <font>
      <sz val="10"/>
      <name val="Arial"/>
      <family val="2"/>
    </font>
    <font>
      <sz val="11"/>
      <name val="Arial"/>
      <family val="2"/>
    </font>
    <font>
      <sz val="8"/>
      <name val="Arial Narrow"/>
      <family val="2"/>
    </font>
    <font>
      <b/>
      <u/>
      <sz val="10"/>
      <name val="Arial"/>
      <family val="2"/>
    </font>
    <font>
      <sz val="8"/>
      <name val="Calibri"/>
      <family val="2"/>
    </font>
    <font>
      <sz val="10"/>
      <name val="Arial"/>
      <family val="2"/>
    </font>
    <font>
      <b/>
      <sz val="8"/>
      <color indexed="8"/>
      <name val="Calibri"/>
      <family val="2"/>
    </font>
    <font>
      <b/>
      <sz val="8"/>
      <name val="Calibri"/>
      <family val="2"/>
    </font>
    <font>
      <sz val="8"/>
      <color indexed="12"/>
      <name val="Calibri"/>
      <family val="2"/>
    </font>
    <font>
      <sz val="8"/>
      <color indexed="10"/>
      <name val="Calibri"/>
      <family val="2"/>
    </font>
    <font>
      <b/>
      <sz val="8"/>
      <color indexed="12"/>
      <name val="Calibri"/>
      <family val="2"/>
    </font>
    <font>
      <strike/>
      <sz val="10"/>
      <name val="Arial"/>
      <family val="2"/>
    </font>
    <font>
      <strike/>
      <u/>
      <sz val="10"/>
      <color indexed="12"/>
      <name val="Arial"/>
      <family val="2"/>
    </font>
    <font>
      <sz val="10"/>
      <color indexed="10"/>
      <name val="Arial"/>
      <family val="2"/>
    </font>
    <font>
      <b/>
      <sz val="10"/>
      <color indexed="12"/>
      <name val="Arial"/>
      <family val="2"/>
    </font>
    <font>
      <sz val="10"/>
      <name val="Arial"/>
      <family val="2"/>
    </font>
    <font>
      <vertAlign val="superscript"/>
      <sz val="10"/>
      <color indexed="8"/>
      <name val="Arial"/>
      <family val="2"/>
    </font>
    <font>
      <sz val="11"/>
      <color theme="1"/>
      <name val="Calibri"/>
      <family val="2"/>
      <scheme val="minor"/>
    </font>
    <font>
      <b/>
      <u/>
      <sz val="12"/>
      <color theme="1"/>
      <name val="Calibri"/>
      <family val="2"/>
      <scheme val="minor"/>
    </font>
    <font>
      <sz val="12"/>
      <color theme="1"/>
      <name val="Calibri"/>
      <family val="2"/>
      <scheme val="minor"/>
    </font>
    <font>
      <b/>
      <sz val="12"/>
      <color theme="1"/>
      <name val="Arial"/>
      <family val="2"/>
    </font>
    <font>
      <b/>
      <sz val="10"/>
      <color rgb="FFFF0000"/>
      <name val="Arial"/>
      <family val="2"/>
    </font>
    <font>
      <b/>
      <sz val="10"/>
      <color rgb="FF0070C0"/>
      <name val="Arial"/>
      <family val="2"/>
    </font>
    <font>
      <b/>
      <sz val="10"/>
      <color rgb="FFCC00CC"/>
      <name val="Arial"/>
      <family val="2"/>
    </font>
    <font>
      <b/>
      <sz val="10"/>
      <color theme="1"/>
      <name val="Arial"/>
      <family val="2"/>
    </font>
    <font>
      <b/>
      <sz val="9.5"/>
      <color theme="1"/>
      <name val="Arial"/>
      <family val="2"/>
    </font>
    <font>
      <b/>
      <sz val="10"/>
      <color theme="1"/>
      <name val="Calibri"/>
      <family val="2"/>
      <scheme val="minor"/>
    </font>
    <font>
      <sz val="10"/>
      <color theme="1"/>
      <name val="Arial"/>
      <family val="2"/>
    </font>
    <font>
      <sz val="10"/>
      <color rgb="FF00B050"/>
      <name val="Arial"/>
      <family val="2"/>
    </font>
    <font>
      <i/>
      <sz val="10"/>
      <color rgb="FF00B050"/>
      <name val="Arial"/>
      <family val="2"/>
    </font>
    <font>
      <sz val="10"/>
      <color rgb="FF00B0F0"/>
      <name val="Arial"/>
      <family val="2"/>
    </font>
    <font>
      <b/>
      <sz val="10"/>
      <color rgb="FF00B050"/>
      <name val="Arial"/>
      <family val="2"/>
    </font>
    <font>
      <b/>
      <i/>
      <sz val="10"/>
      <color rgb="FF00B050"/>
      <name val="Arial"/>
      <family val="2"/>
    </font>
    <font>
      <b/>
      <u/>
      <sz val="14"/>
      <name val="Calibri"/>
      <family val="2"/>
      <scheme val="minor"/>
    </font>
    <font>
      <sz val="11"/>
      <name val="Calibri"/>
      <family val="2"/>
      <scheme val="minor"/>
    </font>
    <font>
      <b/>
      <sz val="12"/>
      <name val="Calibri"/>
      <family val="2"/>
      <scheme val="minor"/>
    </font>
    <font>
      <b/>
      <sz val="10"/>
      <name val="Calibri"/>
      <family val="2"/>
      <scheme val="minor"/>
    </font>
    <font>
      <b/>
      <sz val="11"/>
      <name val="Calibri"/>
      <family val="2"/>
      <scheme val="minor"/>
    </font>
    <font>
      <sz val="7"/>
      <name val="Calibri"/>
      <family val="2"/>
      <scheme val="minor"/>
    </font>
    <font>
      <sz val="8"/>
      <name val="Calibri"/>
      <family val="2"/>
      <scheme val="minor"/>
    </font>
    <font>
      <b/>
      <sz val="11"/>
      <color theme="1"/>
      <name val="Calibri"/>
      <family val="2"/>
      <scheme val="minor"/>
    </font>
    <font>
      <sz val="11"/>
      <color rgb="FFFF0000"/>
      <name val="Calibri"/>
      <family val="2"/>
      <scheme val="minor"/>
    </font>
    <font>
      <b/>
      <u/>
      <sz val="11"/>
      <name val="Calibri"/>
      <family val="2"/>
      <scheme val="minor"/>
    </font>
    <font>
      <sz val="11"/>
      <color rgb="FF00B0F0"/>
      <name val="Calibri"/>
      <family val="2"/>
      <scheme val="minor"/>
    </font>
    <font>
      <sz val="6"/>
      <name val="Calibri"/>
      <family val="2"/>
      <scheme val="minor"/>
    </font>
    <font>
      <sz val="8"/>
      <color rgb="FF00B050"/>
      <name val="Arial"/>
      <family val="2"/>
    </font>
    <font>
      <sz val="6"/>
      <color rgb="FF00B050"/>
      <name val="Arial"/>
      <family val="2"/>
    </font>
    <font>
      <b/>
      <sz val="9"/>
      <name val="Calibri"/>
      <family val="2"/>
      <scheme val="minor"/>
    </font>
    <font>
      <sz val="5.5"/>
      <name val="Calibri"/>
      <family val="2"/>
      <scheme val="minor"/>
    </font>
    <font>
      <sz val="5"/>
      <color rgb="FF00B050"/>
      <name val="Arial"/>
      <family val="2"/>
    </font>
    <font>
      <sz val="10"/>
      <color rgb="FF0070C0"/>
      <name val="Arial"/>
      <family val="2"/>
    </font>
    <font>
      <sz val="11"/>
      <color theme="0"/>
      <name val="Calibri"/>
      <family val="2"/>
      <scheme val="minor"/>
    </font>
    <font>
      <sz val="9"/>
      <name val="Calibri"/>
      <family val="2"/>
      <scheme val="minor"/>
    </font>
    <font>
      <sz val="10"/>
      <color rgb="FFFF0000"/>
      <name val="Arial"/>
      <family val="2"/>
    </font>
    <font>
      <b/>
      <u/>
      <sz val="12"/>
      <color theme="1"/>
      <name val="Arial"/>
      <family val="2"/>
    </font>
    <font>
      <b/>
      <sz val="12"/>
      <color theme="1"/>
      <name val="Calibri"/>
      <family val="2"/>
      <scheme val="minor"/>
    </font>
    <font>
      <b/>
      <sz val="11"/>
      <color theme="1"/>
      <name val="Arial"/>
      <family val="2"/>
    </font>
    <font>
      <b/>
      <sz val="12"/>
      <color theme="3" tint="-0.499984740745262"/>
      <name val="Arial"/>
      <family val="2"/>
    </font>
    <font>
      <sz val="10"/>
      <color theme="3" tint="-0.499984740745262"/>
      <name val="Arial"/>
      <family val="2"/>
    </font>
    <font>
      <b/>
      <sz val="10"/>
      <color theme="3" tint="-0.499984740745262"/>
      <name val="Arial"/>
      <family val="2"/>
    </font>
    <font>
      <sz val="10"/>
      <color rgb="FF0070C0"/>
      <name val="Calibri"/>
      <family val="2"/>
      <scheme val="minor"/>
    </font>
    <font>
      <strike/>
      <sz val="10"/>
      <color rgb="FF0070C0"/>
      <name val="Arial"/>
      <family val="2"/>
    </font>
    <font>
      <strike/>
      <sz val="10"/>
      <color rgb="FF0070C0"/>
      <name val="Calibri"/>
      <family val="2"/>
      <scheme val="minor"/>
    </font>
    <font>
      <strike/>
      <sz val="10"/>
      <color rgb="FFFF0000"/>
      <name val="Arial"/>
      <family val="2"/>
    </font>
    <font>
      <strike/>
      <u/>
      <sz val="10"/>
      <color rgb="FFFF0000"/>
      <name val="Arial"/>
      <family val="2"/>
    </font>
    <font>
      <b/>
      <i/>
      <sz val="11"/>
      <color theme="1"/>
      <name val="Calibri"/>
      <family val="2"/>
      <scheme val="minor"/>
    </font>
    <font>
      <sz val="7"/>
      <color rgb="FF00B050"/>
      <name val="Arial"/>
      <family val="2"/>
    </font>
    <font>
      <i/>
      <sz val="11"/>
      <color rgb="FF0070C0"/>
      <name val="Calibri"/>
      <family val="2"/>
      <scheme val="minor"/>
    </font>
    <font>
      <i/>
      <sz val="10"/>
      <color rgb="FF0070C0"/>
      <name val="Arial"/>
      <family val="2"/>
    </font>
    <font>
      <b/>
      <sz val="8"/>
      <color theme="1"/>
      <name val="Arial"/>
      <family val="2"/>
    </font>
    <font>
      <b/>
      <sz val="10"/>
      <color rgb="FF00B0F0"/>
      <name val="Arial"/>
      <family val="2"/>
    </font>
    <font>
      <b/>
      <sz val="10"/>
      <color rgb="FFFFFF00"/>
      <name val="Arial"/>
      <family val="2"/>
    </font>
    <font>
      <sz val="10"/>
      <color rgb="FFFFFF00"/>
      <name val="Arial"/>
      <family val="2"/>
    </font>
    <font>
      <sz val="9"/>
      <color indexed="81"/>
      <name val="Tahoma"/>
      <family val="2"/>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patternFill>
    </fill>
    <fill>
      <patternFill patternType="solid">
        <fgColor indexed="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00FF"/>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39997558519241921"/>
        <bgColor indexed="64"/>
      </patternFill>
    </fill>
    <fill>
      <patternFill patternType="solid">
        <fgColor rgb="FFFF99FF"/>
        <bgColor indexed="64"/>
      </patternFill>
    </fill>
    <fill>
      <patternFill patternType="solid">
        <fgColor rgb="FFFF7C80"/>
        <bgColor indexed="64"/>
      </patternFill>
    </fill>
  </fills>
  <borders count="18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hair">
        <color indexed="64"/>
      </left>
      <right style="hair">
        <color indexed="64"/>
      </right>
      <top style="thin">
        <color indexed="64"/>
      </top>
      <bottom/>
      <diagonal/>
    </border>
    <border>
      <left style="hair">
        <color indexed="64"/>
      </left>
      <right style="hair">
        <color indexed="64"/>
      </right>
      <top style="double">
        <color indexed="64"/>
      </top>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style="double">
        <color indexed="64"/>
      </right>
      <top/>
      <bottom/>
      <diagonal/>
    </border>
    <border>
      <left style="thin">
        <color indexed="64"/>
      </left>
      <right/>
      <top style="thin">
        <color indexed="64"/>
      </top>
      <bottom/>
      <diagonal/>
    </border>
    <border>
      <left style="double">
        <color indexed="64"/>
      </left>
      <right/>
      <top style="thin">
        <color indexed="64"/>
      </top>
      <bottom/>
      <diagonal/>
    </border>
    <border>
      <left/>
      <right style="thin">
        <color indexed="64"/>
      </right>
      <top style="thin">
        <color indexed="64"/>
      </top>
      <bottom/>
      <diagonal/>
    </border>
    <border>
      <left style="double">
        <color indexed="64"/>
      </left>
      <right style="double">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style="thin">
        <color indexed="64"/>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double">
        <color indexed="64"/>
      </left>
      <right/>
      <top style="thin">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top style="hair">
        <color indexed="64"/>
      </top>
      <bottom style="hair">
        <color indexed="64"/>
      </bottom>
      <diagonal/>
    </border>
    <border>
      <left style="double">
        <color indexed="64"/>
      </left>
      <right style="double">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thin">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thin">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diagonal/>
    </border>
    <border>
      <left style="hair">
        <color indexed="64"/>
      </left>
      <right/>
      <top style="thin">
        <color indexed="64"/>
      </top>
      <bottom style="thin">
        <color indexed="64"/>
      </bottom>
      <diagonal/>
    </border>
    <border>
      <left style="hair">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double">
        <color indexed="64"/>
      </left>
      <right style="double">
        <color indexed="64"/>
      </right>
      <top style="hair">
        <color indexed="64"/>
      </top>
      <bottom/>
      <diagonal/>
    </border>
    <border>
      <left style="double">
        <color indexed="64"/>
      </left>
      <right style="thin">
        <color indexed="64"/>
      </right>
      <top style="hair">
        <color indexed="64"/>
      </top>
      <bottom/>
      <diagonal/>
    </border>
    <border>
      <left style="thin">
        <color indexed="64"/>
      </left>
      <right style="double">
        <color indexed="64"/>
      </right>
      <top style="hair">
        <color indexed="64"/>
      </top>
      <bottom/>
      <diagonal/>
    </border>
    <border>
      <left style="thin">
        <color indexed="64"/>
      </left>
      <right/>
      <top style="hair">
        <color indexed="64"/>
      </top>
      <bottom style="medium">
        <color indexed="64"/>
      </bottom>
      <diagonal/>
    </border>
    <border>
      <left/>
      <right/>
      <top style="thin">
        <color indexed="64"/>
      </top>
      <bottom/>
      <diagonal/>
    </border>
    <border>
      <left style="thin">
        <color indexed="64"/>
      </left>
      <right/>
      <top/>
      <bottom style="hair">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style="medium">
        <color indexed="64"/>
      </left>
      <right style="thin">
        <color indexed="64"/>
      </right>
      <top style="hair">
        <color indexed="64"/>
      </top>
      <bottom/>
      <diagonal/>
    </border>
    <border>
      <left/>
      <right style="medium">
        <color indexed="64"/>
      </right>
      <top style="hair">
        <color indexed="64"/>
      </top>
      <bottom style="hair">
        <color indexed="64"/>
      </bottom>
      <diagonal/>
    </border>
    <border>
      <left style="thin">
        <color indexed="64"/>
      </left>
      <right/>
      <top style="hair">
        <color indexed="64"/>
      </top>
      <bottom/>
      <diagonal/>
    </border>
    <border>
      <left/>
      <right style="thin">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ck">
        <color indexed="64"/>
      </right>
      <top style="hair">
        <color indexed="64"/>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bottom style="hair">
        <color indexed="64"/>
      </bottom>
      <diagonal/>
    </border>
    <border>
      <left style="hair">
        <color indexed="64"/>
      </left>
      <right/>
      <top/>
      <bottom style="hair">
        <color indexed="64"/>
      </bottom>
      <diagonal/>
    </border>
    <border>
      <left/>
      <right/>
      <top style="thin">
        <color indexed="64"/>
      </top>
      <bottom style="thick">
        <color indexed="64"/>
      </bottom>
      <diagonal/>
    </border>
    <border>
      <left/>
      <right style="thin">
        <color indexed="64"/>
      </right>
      <top style="thin">
        <color indexed="64"/>
      </top>
      <bottom style="hair">
        <color indexed="64"/>
      </bottom>
      <diagonal/>
    </border>
    <border>
      <left style="thick">
        <color indexed="64"/>
      </left>
      <right style="thick">
        <color indexed="64"/>
      </right>
      <top style="thick">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double">
        <color indexed="64"/>
      </right>
      <top style="double">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double">
        <color indexed="64"/>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s>
  <cellStyleXfs count="198">
    <xf numFmtId="0" fontId="0" fillId="0" borderId="0"/>
    <xf numFmtId="0" fontId="16" fillId="0" borderId="0"/>
    <xf numFmtId="42" fontId="3" fillId="0" borderId="0" applyFont="0" applyFill="0" applyBorder="0" applyAlignment="0" applyProtection="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176" fontId="1" fillId="0" borderId="0" applyFill="0" applyBorder="0" applyAlignment="0"/>
    <xf numFmtId="168" fontId="1" fillId="0" borderId="0" applyFill="0" applyBorder="0" applyAlignment="0"/>
    <xf numFmtId="169" fontId="1" fillId="0" borderId="0" applyFill="0" applyBorder="0" applyAlignment="0"/>
    <xf numFmtId="170" fontId="1" fillId="0" borderId="0" applyFill="0" applyBorder="0" applyAlignment="0"/>
    <xf numFmtId="171" fontId="1" fillId="0" borderId="0" applyFill="0" applyBorder="0" applyAlignment="0"/>
    <xf numFmtId="167" fontId="1" fillId="0" borderId="0" applyFill="0" applyBorder="0" applyAlignment="0"/>
    <xf numFmtId="172" fontId="1" fillId="0" borderId="0" applyFill="0" applyBorder="0" applyAlignment="0"/>
    <xf numFmtId="168" fontId="1" fillId="0" borderId="0" applyFill="0" applyBorder="0" applyAlignment="0"/>
    <xf numFmtId="0" fontId="20" fillId="20" borderId="1" applyNumberFormat="0" applyAlignment="0" applyProtection="0"/>
    <xf numFmtId="0" fontId="21" fillId="21" borderId="2" applyNumberFormat="0" applyAlignment="0" applyProtection="0"/>
    <xf numFmtId="167" fontId="1" fillId="0" borderId="0" applyFont="0" applyFill="0" applyBorder="0" applyAlignment="0" applyProtection="0"/>
    <xf numFmtId="43" fontId="3" fillId="0" borderId="0" applyFont="0" applyFill="0" applyBorder="0" applyAlignment="0" applyProtection="0"/>
    <xf numFmtId="165" fontId="92" fillId="0" borderId="0" applyFont="0" applyFill="0" applyBorder="0" applyAlignment="0" applyProtection="0"/>
    <xf numFmtId="43" fontId="3" fillId="0" borderId="0" applyFont="0" applyFill="0" applyBorder="0" applyAlignment="0" applyProtection="0"/>
    <xf numFmtId="43" fontId="92" fillId="0" borderId="0" applyFont="0" applyFill="0" applyBorder="0" applyAlignment="0" applyProtection="0"/>
    <xf numFmtId="43" fontId="66" fillId="0" borderId="0" applyFont="0" applyFill="0" applyBorder="0" applyAlignment="0" applyProtection="0"/>
    <xf numFmtId="43" fontId="77" fillId="0" borderId="0" applyFont="0" applyFill="0" applyBorder="0" applyAlignment="0" applyProtection="0"/>
    <xf numFmtId="40" fontId="15" fillId="0" borderId="0" applyFont="0" applyFill="0" applyBorder="0" applyAlignment="0" applyProtection="0"/>
    <xf numFmtId="40" fontId="11" fillId="0" borderId="0" applyFont="0" applyFill="0" applyBorder="0" applyAlignment="0" applyProtection="0"/>
    <xf numFmtId="43" fontId="3" fillId="0" borderId="0" applyFont="0" applyFill="0" applyBorder="0" applyAlignment="0" applyProtection="0"/>
    <xf numFmtId="43" fontId="7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9" fontId="63" fillId="0" borderId="0" applyFill="0" applyBorder="0" applyAlignment="0" applyProtection="0"/>
    <xf numFmtId="181" fontId="65" fillId="0" borderId="0" applyFont="0" applyFill="0" applyBorder="0" applyAlignment="0" applyProtection="0"/>
    <xf numFmtId="0" fontId="35" fillId="0" borderId="0"/>
    <xf numFmtId="0" fontId="36" fillId="0" borderId="0"/>
    <xf numFmtId="0" fontId="35" fillId="0" borderId="0"/>
    <xf numFmtId="0" fontId="36" fillId="0" borderId="0"/>
    <xf numFmtId="166" fontId="6" fillId="0" borderId="3"/>
    <xf numFmtId="168" fontId="1" fillId="0" borderId="0" applyFont="0" applyFill="0" applyBorder="0" applyAlignment="0" applyProtection="0"/>
    <xf numFmtId="14" fontId="7" fillId="0" borderId="0" applyFill="0" applyBorder="0" applyAlignment="0"/>
    <xf numFmtId="0" fontId="37" fillId="0" borderId="0">
      <protection locked="0"/>
    </xf>
    <xf numFmtId="0" fontId="38" fillId="0" borderId="0">
      <protection locked="0"/>
    </xf>
    <xf numFmtId="0" fontId="38" fillId="0" borderId="0">
      <protection locked="0"/>
    </xf>
    <xf numFmtId="167" fontId="1" fillId="0" borderId="0" applyFill="0" applyBorder="0" applyAlignment="0"/>
    <xf numFmtId="168" fontId="1" fillId="0" borderId="0" applyFill="0" applyBorder="0" applyAlignment="0"/>
    <xf numFmtId="167" fontId="1" fillId="0" borderId="0" applyFill="0" applyBorder="0" applyAlignment="0"/>
    <xf numFmtId="172" fontId="1" fillId="0" borderId="0" applyFill="0" applyBorder="0" applyAlignment="0"/>
    <xf numFmtId="168" fontId="1" fillId="0" borderId="0" applyFill="0" applyBorder="0" applyAlignment="0"/>
    <xf numFmtId="187" fontId="1" fillId="0" borderId="0" applyFont="0" applyFill="0" applyBorder="0" applyAlignment="0" applyProtection="0"/>
    <xf numFmtId="0" fontId="23" fillId="0" borderId="0" applyNumberFormat="0" applyFill="0" applyBorder="0" applyAlignment="0" applyProtection="0"/>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24" fillId="4" borderId="0" applyNumberFormat="0" applyBorder="0" applyAlignment="0" applyProtection="0"/>
    <xf numFmtId="0" fontId="2" fillId="0" borderId="4" applyNumberFormat="0" applyAlignment="0" applyProtection="0">
      <alignment horizontal="left"/>
    </xf>
    <xf numFmtId="0" fontId="2" fillId="0" borderId="5">
      <alignment horizontal="left"/>
    </xf>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4" fillId="0" borderId="0" applyNumberFormat="0" applyFill="0" applyBorder="0" applyAlignment="0" applyProtection="0">
      <alignment vertical="top"/>
      <protection locked="0"/>
    </xf>
    <xf numFmtId="0" fontId="28" fillId="7" borderId="1" applyNumberFormat="0" applyAlignment="0" applyProtection="0"/>
    <xf numFmtId="167" fontId="1" fillId="0" borderId="0" applyFill="0" applyBorder="0" applyAlignment="0"/>
    <xf numFmtId="168" fontId="1" fillId="0" borderId="0" applyFill="0" applyBorder="0" applyAlignment="0"/>
    <xf numFmtId="167" fontId="1" fillId="0" borderId="0" applyFill="0" applyBorder="0" applyAlignment="0"/>
    <xf numFmtId="172" fontId="1" fillId="0" borderId="0" applyFill="0" applyBorder="0" applyAlignment="0"/>
    <xf numFmtId="168" fontId="1" fillId="0" borderId="0" applyFill="0" applyBorder="0" applyAlignment="0"/>
    <xf numFmtId="0" fontId="29" fillId="0" borderId="9" applyNumberFormat="0" applyFill="0" applyAlignment="0" applyProtection="0"/>
    <xf numFmtId="182" fontId="5" fillId="0" borderId="0" applyFont="0" applyFill="0" applyBorder="0" applyAlignment="0" applyProtection="0"/>
    <xf numFmtId="181" fontId="5" fillId="0" borderId="0" applyFont="0" applyFill="0" applyBorder="0" applyAlignment="0" applyProtection="0"/>
    <xf numFmtId="183" fontId="5" fillId="0" borderId="0" applyFont="0" applyFill="0" applyBorder="0" applyAlignment="0" applyProtection="0"/>
    <xf numFmtId="184" fontId="5" fillId="0" borderId="0" applyFont="0" applyFill="0" applyBorder="0" applyAlignment="0" applyProtection="0"/>
    <xf numFmtId="0" fontId="37" fillId="0" borderId="0">
      <protection locked="0"/>
    </xf>
    <xf numFmtId="0" fontId="8" fillId="0" borderId="0" applyNumberFormat="0">
      <alignment horizontal="right"/>
    </xf>
    <xf numFmtId="0" fontId="30" fillId="22" borderId="0" applyNumberFormat="0" applyBorder="0" applyAlignment="0" applyProtection="0"/>
    <xf numFmtId="37" fontId="9" fillId="0" borderId="0"/>
    <xf numFmtId="177" fontId="1"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 fillId="0" borderId="0"/>
    <xf numFmtId="0" fontId="3" fillId="0" borderId="0"/>
    <xf numFmtId="0" fontId="22" fillId="0" borderId="0"/>
    <xf numFmtId="0" fontId="3" fillId="0" borderId="0"/>
    <xf numFmtId="196" fontId="77" fillId="0" borderId="0"/>
    <xf numFmtId="0" fontId="15" fillId="0" borderId="0"/>
    <xf numFmtId="0" fontId="3" fillId="0" borderId="0"/>
    <xf numFmtId="0" fontId="22" fillId="0" borderId="0"/>
    <xf numFmtId="0" fontId="3" fillId="0" borderId="0"/>
    <xf numFmtId="0" fontId="3" fillId="0" borderId="0"/>
    <xf numFmtId="0" fontId="92" fillId="0" borderId="0"/>
    <xf numFmtId="0" fontId="92" fillId="0" borderId="0"/>
    <xf numFmtId="0" fontId="15" fillId="0" borderId="0"/>
    <xf numFmtId="0" fontId="11" fillId="0" borderId="0"/>
    <xf numFmtId="0" fontId="65" fillId="0" borderId="0"/>
    <xf numFmtId="0" fontId="17" fillId="0" borderId="0"/>
    <xf numFmtId="0" fontId="17" fillId="0" borderId="0"/>
    <xf numFmtId="0" fontId="22" fillId="23" borderId="10" applyNumberFormat="0" applyFont="0" applyAlignment="0" applyProtection="0"/>
    <xf numFmtId="0" fontId="31" fillId="20" borderId="11" applyNumberFormat="0" applyAlignment="0" applyProtection="0"/>
    <xf numFmtId="9" fontId="1" fillId="0" borderId="0" applyFont="0" applyFill="0" applyBorder="0" applyAlignment="0" applyProtection="0"/>
    <xf numFmtId="171" fontId="1" fillId="0" borderId="0" applyFont="0" applyFill="0" applyBorder="0" applyAlignment="0" applyProtection="0"/>
    <xf numFmtId="175"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7" fillId="0" borderId="0" applyFont="0" applyFill="0" applyBorder="0" applyAlignment="0" applyProtection="0"/>
    <xf numFmtId="9" fontId="3" fillId="0" borderId="0" applyFont="0" applyFill="0" applyBorder="0" applyAlignment="0" applyProtection="0"/>
    <xf numFmtId="9" fontId="73"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9" fontId="3" fillId="0" borderId="0" applyFont="0" applyFill="0" applyBorder="0" applyAlignment="0" applyProtection="0"/>
    <xf numFmtId="9" fontId="80" fillId="0" borderId="0" applyFont="0" applyFill="0" applyBorder="0" applyAlignment="0" applyProtection="0"/>
    <xf numFmtId="9" fontId="90" fillId="0" borderId="0" applyFont="0" applyFill="0" applyBorder="0" applyAlignment="0" applyProtection="0"/>
    <xf numFmtId="0" fontId="37" fillId="0" borderId="0">
      <protection locked="0"/>
    </xf>
    <xf numFmtId="167" fontId="1" fillId="0" borderId="0" applyFill="0" applyBorder="0" applyAlignment="0"/>
    <xf numFmtId="168" fontId="1" fillId="0" borderId="0" applyFill="0" applyBorder="0" applyAlignment="0"/>
    <xf numFmtId="167" fontId="1" fillId="0" borderId="0" applyFill="0" applyBorder="0" applyAlignment="0"/>
    <xf numFmtId="172" fontId="1" fillId="0" borderId="0" applyFill="0" applyBorder="0" applyAlignment="0"/>
    <xf numFmtId="168" fontId="1" fillId="0" borderId="0" applyFill="0" applyBorder="0" applyAlignment="0"/>
    <xf numFmtId="0" fontId="11" fillId="0" borderId="0" applyNumberFormat="0" applyFont="0" applyFill="0" applyBorder="0" applyAlignment="0" applyProtection="0">
      <alignment horizontal="left"/>
    </xf>
    <xf numFmtId="0" fontId="12" fillId="0" borderId="12">
      <alignment horizontal="center"/>
    </xf>
    <xf numFmtId="186" fontId="3" fillId="0" borderId="0" applyFont="0" applyFill="0" applyBorder="0" applyAlignment="0" applyProtection="0"/>
    <xf numFmtId="0" fontId="3" fillId="0" borderId="13" applyNumberFormat="0" applyFont="0" applyFill="0" applyAlignment="0" applyProtection="0"/>
    <xf numFmtId="0" fontId="3" fillId="0" borderId="14" applyNumberFormat="0" applyFont="0" applyFill="0" applyAlignment="0" applyProtection="0"/>
    <xf numFmtId="0" fontId="3" fillId="0" borderId="15" applyNumberFormat="0" applyFont="0" applyFill="0" applyAlignment="0" applyProtection="0"/>
    <xf numFmtId="0" fontId="3" fillId="0" borderId="16" applyNumberFormat="0" applyFont="0" applyFill="0" applyAlignment="0" applyProtection="0"/>
    <xf numFmtId="0" fontId="3" fillId="0" borderId="17" applyNumberFormat="0" applyFont="0" applyFill="0" applyAlignment="0" applyProtection="0"/>
    <xf numFmtId="0" fontId="3" fillId="24" borderId="0" applyNumberFormat="0" applyFont="0" applyBorder="0" applyAlignment="0" applyProtection="0"/>
    <xf numFmtId="0" fontId="3" fillId="0" borderId="18" applyNumberFormat="0" applyFont="0" applyFill="0" applyAlignment="0" applyProtection="0"/>
    <xf numFmtId="0" fontId="3" fillId="0" borderId="19" applyNumberFormat="0" applyFont="0" applyFill="0" applyAlignment="0" applyProtection="0"/>
    <xf numFmtId="46" fontId="3" fillId="0" borderId="0" applyFont="0" applyFill="0" applyBorder="0" applyAlignment="0" applyProtection="0"/>
    <xf numFmtId="0" fontId="46" fillId="0" borderId="0" applyNumberFormat="0" applyFill="0" applyBorder="0" applyAlignment="0" applyProtection="0"/>
    <xf numFmtId="0" fontId="3" fillId="0" borderId="20" applyNumberFormat="0" applyFont="0" applyFill="0" applyAlignment="0" applyProtection="0"/>
    <xf numFmtId="0" fontId="3" fillId="0" borderId="21" applyNumberFormat="0" applyFont="0" applyFill="0" applyAlignment="0" applyProtection="0"/>
    <xf numFmtId="0" fontId="3" fillId="0" borderId="10" applyNumberFormat="0" applyFont="0" applyFill="0" applyAlignment="0" applyProtection="0"/>
    <xf numFmtId="0" fontId="3" fillId="0" borderId="22" applyNumberFormat="0" applyFont="0" applyFill="0" applyAlignment="0" applyProtection="0"/>
    <xf numFmtId="0" fontId="3" fillId="0" borderId="10" applyNumberFormat="0" applyFont="0" applyFill="0" applyAlignment="0" applyProtection="0"/>
    <xf numFmtId="0" fontId="3" fillId="0" borderId="0" applyNumberFormat="0" applyFont="0" applyFill="0" applyBorder="0" applyProtection="0">
      <alignment horizontal="center"/>
    </xf>
    <xf numFmtId="0" fontId="47"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Protection="0">
      <alignment horizontal="left"/>
    </xf>
    <xf numFmtId="0" fontId="3" fillId="24" borderId="0" applyNumberFormat="0" applyFont="0" applyBorder="0" applyAlignment="0" applyProtection="0"/>
    <xf numFmtId="0" fontId="50" fillId="0" borderId="0" applyNumberFormat="0" applyFill="0" applyBorder="0" applyAlignment="0" applyProtection="0"/>
    <xf numFmtId="0" fontId="46" fillId="0" borderId="0" applyNumberFormat="0" applyFill="0" applyBorder="0" applyAlignment="0" applyProtection="0"/>
    <xf numFmtId="0" fontId="3" fillId="0" borderId="23" applyNumberFormat="0" applyFont="0" applyFill="0" applyAlignment="0" applyProtection="0"/>
    <xf numFmtId="0" fontId="3" fillId="0" borderId="24" applyNumberFormat="0" applyFont="0" applyFill="0" applyAlignment="0" applyProtection="0"/>
    <xf numFmtId="185" fontId="3" fillId="0" borderId="0" applyFont="0" applyFill="0" applyBorder="0" applyAlignment="0" applyProtection="0"/>
    <xf numFmtId="0" fontId="3" fillId="0" borderId="25" applyNumberFormat="0" applyFont="0" applyFill="0" applyAlignment="0" applyProtection="0"/>
    <xf numFmtId="0" fontId="3" fillId="0" borderId="26" applyNumberFormat="0" applyFont="0" applyFill="0" applyAlignment="0" applyProtection="0"/>
    <xf numFmtId="0" fontId="3" fillId="0" borderId="27" applyNumberFormat="0" applyFont="0" applyFill="0" applyAlignment="0" applyProtection="0"/>
    <xf numFmtId="0" fontId="3" fillId="0" borderId="28" applyNumberFormat="0" applyFont="0" applyFill="0" applyAlignment="0" applyProtection="0"/>
    <xf numFmtId="0" fontId="3" fillId="0" borderId="29" applyNumberFormat="0" applyFont="0" applyFill="0" applyAlignment="0" applyProtection="0"/>
    <xf numFmtId="38" fontId="39" fillId="0" borderId="0"/>
    <xf numFmtId="0" fontId="13" fillId="0" borderId="30"/>
    <xf numFmtId="0" fontId="1" fillId="0" borderId="0"/>
    <xf numFmtId="0" fontId="15" fillId="0" borderId="0"/>
    <xf numFmtId="0" fontId="14" fillId="0" borderId="31"/>
    <xf numFmtId="49" fontId="7" fillId="0" borderId="0" applyFill="0" applyBorder="0" applyAlignment="0"/>
    <xf numFmtId="173" fontId="1" fillId="0" borderId="0" applyFill="0" applyBorder="0" applyAlignment="0"/>
    <xf numFmtId="174" fontId="1" fillId="0" borderId="0" applyFill="0" applyBorder="0" applyAlignment="0"/>
    <xf numFmtId="0" fontId="32" fillId="0" borderId="0" applyNumberFormat="0" applyFill="0" applyBorder="0" applyAlignment="0" applyProtection="0"/>
    <xf numFmtId="0" fontId="33" fillId="0" borderId="32" applyNumberFormat="0" applyFill="0" applyAlignment="0" applyProtection="0"/>
    <xf numFmtId="0" fontId="34" fillId="0" borderId="0" applyNumberFormat="0" applyFill="0" applyBorder="0" applyAlignment="0" applyProtection="0"/>
    <xf numFmtId="164" fontId="51" fillId="0" borderId="0" applyFont="0" applyFill="0" applyBorder="0" applyAlignment="0" applyProtection="0"/>
    <xf numFmtId="40" fontId="15" fillId="0" borderId="0" applyFont="0" applyFill="0" applyBorder="0" applyAlignment="0" applyProtection="0"/>
    <xf numFmtId="0" fontId="51" fillId="0" borderId="0" applyFont="0" applyFill="0" applyBorder="0" applyAlignment="0" applyProtection="0"/>
    <xf numFmtId="179" fontId="16" fillId="0" borderId="0" applyFont="0" applyFill="0" applyBorder="0" applyAlignment="0" applyProtection="0"/>
    <xf numFmtId="178" fontId="16" fillId="0" borderId="0" applyFont="0" applyFill="0" applyBorder="0" applyAlignment="0" applyProtection="0"/>
    <xf numFmtId="0" fontId="51" fillId="0" borderId="0"/>
  </cellStyleXfs>
  <cellXfs count="1159">
    <xf numFmtId="0" fontId="0" fillId="0" borderId="0" xfId="0"/>
    <xf numFmtId="0" fontId="52" fillId="0" borderId="0" xfId="125" applyFont="1" applyAlignment="1">
      <alignment horizontal="left" vertical="center"/>
    </xf>
    <xf numFmtId="0" fontId="53" fillId="0" borderId="0" xfId="126" applyFont="1" applyAlignment="1">
      <alignment vertical="center"/>
    </xf>
    <xf numFmtId="3" fontId="17" fillId="0" borderId="0" xfId="126" applyNumberFormat="1" applyAlignment="1" applyProtection="1">
      <alignment vertical="center"/>
      <protection locked="0"/>
    </xf>
    <xf numFmtId="0" fontId="0" fillId="0" borderId="0" xfId="0" applyAlignment="1">
      <alignment vertical="center"/>
    </xf>
    <xf numFmtId="0" fontId="17" fillId="0" borderId="12" xfId="126" applyBorder="1" applyAlignment="1">
      <alignment vertical="center"/>
    </xf>
    <xf numFmtId="0" fontId="54" fillId="0" borderId="12" xfId="126" applyFont="1" applyBorder="1" applyAlignment="1">
      <alignment horizontal="center" vertical="center"/>
    </xf>
    <xf numFmtId="3" fontId="17" fillId="0" borderId="12" xfId="126" applyNumberFormat="1" applyBorder="1" applyAlignment="1" applyProtection="1">
      <alignment vertical="center"/>
      <protection locked="0"/>
    </xf>
    <xf numFmtId="0" fontId="52" fillId="0" borderId="33" xfId="126" applyFont="1" applyBorder="1" applyAlignment="1">
      <alignment horizontal="center" vertical="center" wrapText="1"/>
    </xf>
    <xf numFmtId="0" fontId="52" fillId="0" borderId="33" xfId="126" applyFont="1" applyBorder="1" applyAlignment="1">
      <alignment horizontal="center" vertical="center"/>
    </xf>
    <xf numFmtId="0" fontId="52" fillId="0" borderId="33" xfId="126" applyFont="1" applyBorder="1" applyAlignment="1" applyProtection="1">
      <alignment horizontal="center" vertical="center" wrapText="1"/>
      <protection locked="0"/>
    </xf>
    <xf numFmtId="0" fontId="17" fillId="0" borderId="34" xfId="126" applyBorder="1" applyAlignment="1">
      <alignment vertical="center"/>
    </xf>
    <xf numFmtId="0" fontId="53" fillId="0" borderId="34" xfId="126" applyFont="1" applyBorder="1" applyAlignment="1">
      <alignment vertical="center"/>
    </xf>
    <xf numFmtId="3" fontId="17" fillId="0" borderId="34" xfId="126" applyNumberFormat="1" applyBorder="1" applyAlignment="1" applyProtection="1">
      <alignment vertical="center"/>
      <protection locked="0"/>
    </xf>
    <xf numFmtId="0" fontId="52" fillId="0" borderId="35" xfId="126" applyFont="1" applyBorder="1" applyAlignment="1">
      <alignment horizontal="center" vertical="center"/>
    </xf>
    <xf numFmtId="0" fontId="52" fillId="0" borderId="35" xfId="126" applyFont="1" applyBorder="1" applyAlignment="1">
      <alignment vertical="center"/>
    </xf>
    <xf numFmtId="4" fontId="40" fillId="0" borderId="35" xfId="126" applyNumberFormat="1" applyFont="1" applyBorder="1" applyAlignment="1" applyProtection="1">
      <alignment vertical="center"/>
      <protection locked="0"/>
    </xf>
    <xf numFmtId="0" fontId="17" fillId="0" borderId="35" xfId="126" applyBorder="1" applyAlignment="1">
      <alignment vertical="center"/>
    </xf>
    <xf numFmtId="4" fontId="17" fillId="0" borderId="35" xfId="126" applyNumberFormat="1" applyBorder="1" applyAlignment="1" applyProtection="1">
      <alignment vertical="center"/>
      <protection locked="0"/>
    </xf>
    <xf numFmtId="4" fontId="55" fillId="0" borderId="35" xfId="126" applyNumberFormat="1" applyFont="1" applyBorder="1" applyAlignment="1" applyProtection="1">
      <alignment vertical="center"/>
      <protection locked="0"/>
    </xf>
    <xf numFmtId="0" fontId="17" fillId="0" borderId="36" xfId="126" applyBorder="1" applyAlignment="1">
      <alignment vertical="center"/>
    </xf>
    <xf numFmtId="4" fontId="17" fillId="0" borderId="36" xfId="126" applyNumberFormat="1" applyBorder="1" applyAlignment="1" applyProtection="1">
      <alignment vertical="center"/>
      <protection locked="0"/>
    </xf>
    <xf numFmtId="0" fontId="17" fillId="0" borderId="33" xfId="126" applyBorder="1" applyAlignment="1">
      <alignment vertical="center"/>
    </xf>
    <xf numFmtId="0" fontId="52" fillId="0" borderId="33" xfId="126" applyFont="1" applyBorder="1" applyAlignment="1">
      <alignment vertical="center"/>
    </xf>
    <xf numFmtId="4" fontId="52" fillId="0" borderId="33" xfId="126" applyNumberFormat="1" applyFont="1" applyBorder="1" applyAlignment="1" applyProtection="1">
      <alignment vertical="center"/>
      <protection locked="0"/>
    </xf>
    <xf numFmtId="0" fontId="17" fillId="0" borderId="0" xfId="125" applyAlignment="1" applyProtection="1">
      <alignment horizontal="center" vertical="center"/>
      <protection locked="0"/>
    </xf>
    <xf numFmtId="0" fontId="0" fillId="0" borderId="0" xfId="0" applyAlignment="1">
      <alignment horizontal="center" vertical="center"/>
    </xf>
    <xf numFmtId="0" fontId="56" fillId="0" borderId="0" xfId="125" applyFont="1" applyAlignment="1">
      <alignment horizontal="centerContinuous" vertical="center"/>
    </xf>
    <xf numFmtId="0" fontId="53" fillId="0" borderId="0" xfId="126" applyFont="1" applyAlignment="1">
      <alignment horizontal="centerContinuous" vertical="center"/>
    </xf>
    <xf numFmtId="3" fontId="17" fillId="0" borderId="0" xfId="126" applyNumberFormat="1" applyAlignment="1" applyProtection="1">
      <alignment horizontal="centerContinuous" vertical="center"/>
      <protection locked="0"/>
    </xf>
    <xf numFmtId="0" fontId="52" fillId="0" borderId="0" xfId="125" applyFont="1" applyAlignment="1" applyProtection="1">
      <alignment horizontal="right" vertical="center"/>
      <protection locked="0"/>
    </xf>
    <xf numFmtId="15" fontId="52" fillId="0" borderId="0" xfId="125" applyNumberFormat="1" applyFont="1" applyAlignment="1" applyProtection="1">
      <alignment horizontal="left" vertical="center"/>
      <protection locked="0"/>
    </xf>
    <xf numFmtId="0" fontId="52" fillId="0" borderId="0" xfId="125" applyFont="1" applyAlignment="1" applyProtection="1">
      <alignment horizontal="centerContinuous" vertical="center"/>
      <protection locked="0"/>
    </xf>
    <xf numFmtId="0" fontId="52" fillId="26" borderId="33" xfId="126" applyFont="1" applyFill="1" applyBorder="1" applyAlignment="1" applyProtection="1">
      <alignment horizontal="centerContinuous" vertical="center" wrapText="1"/>
      <protection locked="0"/>
    </xf>
    <xf numFmtId="3" fontId="17" fillId="26" borderId="4" xfId="126" applyNumberFormat="1" applyFill="1" applyBorder="1" applyAlignment="1" applyProtection="1">
      <alignment horizontal="centerContinuous" vertical="center"/>
      <protection locked="0"/>
    </xf>
    <xf numFmtId="3" fontId="17" fillId="26" borderId="37" xfId="126" applyNumberFormat="1" applyFill="1" applyBorder="1" applyAlignment="1" applyProtection="1">
      <alignment horizontal="centerContinuous" vertical="center"/>
      <protection locked="0"/>
    </xf>
    <xf numFmtId="0" fontId="52" fillId="26" borderId="33" xfId="126" applyFont="1" applyFill="1" applyBorder="1" applyAlignment="1" applyProtection="1">
      <alignment horizontal="center" vertical="center" wrapText="1"/>
      <protection locked="0"/>
    </xf>
    <xf numFmtId="3" fontId="17" fillId="26" borderId="34" xfId="126" applyNumberFormat="1" applyFill="1" applyBorder="1" applyAlignment="1" applyProtection="1">
      <alignment vertical="center"/>
      <protection locked="0"/>
    </xf>
    <xf numFmtId="4" fontId="40" fillId="26" borderId="35" xfId="126" applyNumberFormat="1" applyFont="1" applyFill="1" applyBorder="1" applyAlignment="1" applyProtection="1">
      <alignment vertical="center"/>
      <protection locked="0"/>
    </xf>
    <xf numFmtId="4" fontId="17" fillId="26" borderId="35" xfId="126" applyNumberFormat="1" applyFill="1" applyBorder="1" applyAlignment="1" applyProtection="1">
      <alignment vertical="center"/>
      <protection locked="0"/>
    </xf>
    <xf numFmtId="4" fontId="55" fillId="26" borderId="35" xfId="126" applyNumberFormat="1" applyFont="1" applyFill="1" applyBorder="1" applyAlignment="1" applyProtection="1">
      <alignment vertical="center"/>
      <protection locked="0"/>
    </xf>
    <xf numFmtId="4" fontId="17" fillId="26" borderId="36" xfId="126" applyNumberFormat="1" applyFill="1" applyBorder="1" applyAlignment="1" applyProtection="1">
      <alignment vertical="center"/>
      <protection locked="0"/>
    </xf>
    <xf numFmtId="4" fontId="52" fillId="26" borderId="33" xfId="126" applyNumberFormat="1" applyFont="1" applyFill="1" applyBorder="1" applyAlignment="1" applyProtection="1">
      <alignment vertical="center"/>
      <protection locked="0"/>
    </xf>
    <xf numFmtId="0" fontId="40" fillId="0" borderId="35" xfId="126" applyFont="1" applyBorder="1" applyAlignment="1">
      <alignment horizontal="center" vertical="center"/>
    </xf>
    <xf numFmtId="0" fontId="55" fillId="0" borderId="35" xfId="126" applyFont="1" applyBorder="1" applyAlignment="1">
      <alignment horizontal="center" vertical="center"/>
    </xf>
    <xf numFmtId="0" fontId="93" fillId="0" borderId="0" xfId="0" applyFont="1" applyAlignment="1">
      <alignment horizontal="center" vertical="center"/>
    </xf>
    <xf numFmtId="0" fontId="94" fillId="0" borderId="0" xfId="0" applyFont="1" applyAlignment="1">
      <alignment vertical="center"/>
    </xf>
    <xf numFmtId="0" fontId="93" fillId="0" borderId="0" xfId="0" applyFont="1" applyAlignment="1">
      <alignment vertical="center"/>
    </xf>
    <xf numFmtId="0" fontId="3" fillId="0" borderId="0" xfId="0" applyFont="1" applyAlignment="1">
      <alignment vertical="center"/>
    </xf>
    <xf numFmtId="0" fontId="3" fillId="0" borderId="38" xfId="0" applyFont="1" applyBorder="1" applyAlignment="1">
      <alignment horizontal="center" vertical="center"/>
    </xf>
    <xf numFmtId="0" fontId="52" fillId="0" borderId="35" xfId="126" applyFont="1" applyBorder="1" applyAlignment="1">
      <alignment vertical="center" wrapText="1"/>
    </xf>
    <xf numFmtId="0" fontId="41" fillId="0" borderId="35" xfId="126" applyFont="1" applyBorder="1" applyAlignment="1">
      <alignment vertical="center" wrapText="1"/>
    </xf>
    <xf numFmtId="0" fontId="3" fillId="0" borderId="0" xfId="122" applyFont="1"/>
    <xf numFmtId="0" fontId="59" fillId="0" borderId="0" xfId="122" applyFont="1"/>
    <xf numFmtId="49" fontId="3" fillId="0" borderId="0" xfId="122" applyNumberFormat="1" applyFont="1" applyAlignment="1">
      <alignment horizontal="center"/>
    </xf>
    <xf numFmtId="0" fontId="3" fillId="0" borderId="0" xfId="122" applyFont="1" applyAlignment="1">
      <alignment horizontal="center"/>
    </xf>
    <xf numFmtId="188" fontId="3" fillId="0" borderId="0" xfId="122" applyNumberFormat="1" applyFont="1" applyAlignment="1">
      <alignment horizontal="center"/>
    </xf>
    <xf numFmtId="0" fontId="3" fillId="0" borderId="0" xfId="122" applyFont="1" applyAlignment="1">
      <alignment horizontal="center" vertical="center"/>
    </xf>
    <xf numFmtId="0" fontId="58" fillId="0" borderId="0" xfId="122" applyFont="1"/>
    <xf numFmtId="49" fontId="58" fillId="0" borderId="0" xfId="122" applyNumberFormat="1" applyFont="1" applyAlignment="1">
      <alignment horizontal="center" vertical="center"/>
    </xf>
    <xf numFmtId="0" fontId="58" fillId="0" borderId="0" xfId="122" applyFont="1" applyAlignment="1">
      <alignment horizontal="center" vertical="center"/>
    </xf>
    <xf numFmtId="188" fontId="58" fillId="0" borderId="0" xfId="122" applyNumberFormat="1" applyFont="1" applyAlignment="1">
      <alignment horizontal="center" vertical="center"/>
    </xf>
    <xf numFmtId="0" fontId="3" fillId="0" borderId="39" xfId="122" applyFont="1" applyBorder="1" applyAlignment="1">
      <alignment vertical="center"/>
    </xf>
    <xf numFmtId="49" fontId="3" fillId="0" borderId="0" xfId="122" applyNumberFormat="1" applyFont="1" applyAlignment="1">
      <alignment horizontal="center" vertical="center"/>
    </xf>
    <xf numFmtId="188" fontId="3" fillId="0" borderId="0" xfId="122" applyNumberFormat="1" applyFont="1" applyAlignment="1">
      <alignment horizontal="center" vertical="center"/>
    </xf>
    <xf numFmtId="0" fontId="3" fillId="0" borderId="0" xfId="122" applyFont="1" applyAlignment="1">
      <alignment vertical="center"/>
    </xf>
    <xf numFmtId="0" fontId="62" fillId="0" borderId="40" xfId="122" applyFont="1" applyBorder="1" applyAlignment="1">
      <alignment horizontal="center" vertical="center"/>
    </xf>
    <xf numFmtId="189" fontId="62" fillId="0" borderId="41" xfId="51" applyFont="1" applyBorder="1" applyAlignment="1">
      <alignment horizontal="right" vertical="center"/>
    </xf>
    <xf numFmtId="190" fontId="62" fillId="0" borderId="42" xfId="122" applyNumberFormat="1" applyFont="1" applyBorder="1" applyAlignment="1">
      <alignment vertical="center"/>
    </xf>
    <xf numFmtId="0" fontId="62" fillId="0" borderId="43" xfId="122" applyFont="1" applyBorder="1" applyAlignment="1">
      <alignment horizontal="center" vertical="center"/>
    </xf>
    <xf numFmtId="0" fontId="62" fillId="0" borderId="39" xfId="122" applyFont="1" applyBorder="1" applyAlignment="1">
      <alignment horizontal="center" vertical="center"/>
    </xf>
    <xf numFmtId="0" fontId="62" fillId="0" borderId="44" xfId="122" applyFont="1" applyBorder="1" applyAlignment="1">
      <alignment horizontal="center" vertical="center"/>
    </xf>
    <xf numFmtId="0" fontId="58" fillId="0" borderId="0" xfId="122" applyFont="1" applyAlignment="1">
      <alignment vertical="center"/>
    </xf>
    <xf numFmtId="0" fontId="62" fillId="0" borderId="40" xfId="122" applyFont="1" applyBorder="1" applyAlignment="1">
      <alignment vertical="center"/>
    </xf>
    <xf numFmtId="0" fontId="13" fillId="0" borderId="42" xfId="122" applyFont="1" applyBorder="1" applyAlignment="1">
      <alignment horizontal="center" vertical="center"/>
    </xf>
    <xf numFmtId="189" fontId="13" fillId="0" borderId="40" xfId="51" applyFont="1" applyBorder="1" applyAlignment="1">
      <alignment horizontal="right" vertical="center"/>
    </xf>
    <xf numFmtId="189" fontId="13" fillId="0" borderId="45" xfId="51" applyFont="1" applyBorder="1" applyAlignment="1">
      <alignment horizontal="right" vertical="center"/>
    </xf>
    <xf numFmtId="189" fontId="13" fillId="0" borderId="46" xfId="51" applyFont="1" applyBorder="1" applyAlignment="1">
      <alignment vertical="center"/>
    </xf>
    <xf numFmtId="3" fontId="13" fillId="0" borderId="47" xfId="132" applyNumberFormat="1" applyFont="1" applyBorder="1" applyAlignment="1">
      <alignment horizontal="center" vertical="center"/>
    </xf>
    <xf numFmtId="0" fontId="62" fillId="0" borderId="48" xfId="122" applyFont="1" applyBorder="1" applyAlignment="1">
      <alignment vertical="center"/>
    </xf>
    <xf numFmtId="0" fontId="3" fillId="0" borderId="49" xfId="122" applyFont="1" applyBorder="1" applyAlignment="1">
      <alignment horizontal="center" vertical="center"/>
    </xf>
    <xf numFmtId="0" fontId="3" fillId="0" borderId="49" xfId="122" applyFont="1" applyBorder="1" applyAlignment="1">
      <alignment vertical="center"/>
    </xf>
    <xf numFmtId="0" fontId="62" fillId="0" borderId="50" xfId="122" applyFont="1" applyBorder="1" applyAlignment="1">
      <alignment horizontal="center" vertical="center"/>
    </xf>
    <xf numFmtId="0" fontId="62" fillId="0" borderId="51" xfId="122" applyFont="1" applyBorder="1" applyAlignment="1">
      <alignment horizontal="center" vertical="center"/>
    </xf>
    <xf numFmtId="0" fontId="62" fillId="0" borderId="49" xfId="122" applyFont="1" applyBorder="1" applyAlignment="1">
      <alignment horizontal="center" vertical="center"/>
    </xf>
    <xf numFmtId="40" fontId="3" fillId="0" borderId="0" xfId="122" applyNumberFormat="1" applyFont="1" applyAlignment="1">
      <alignment horizontal="center" vertical="center"/>
    </xf>
    <xf numFmtId="0" fontId="3" fillId="0" borderId="52" xfId="122" applyFont="1" applyBorder="1"/>
    <xf numFmtId="0" fontId="3" fillId="0" borderId="53" xfId="122" applyFont="1" applyBorder="1"/>
    <xf numFmtId="0" fontId="3" fillId="0" borderId="54" xfId="122" applyFont="1" applyBorder="1"/>
    <xf numFmtId="40" fontId="3" fillId="0" borderId="0" xfId="122" applyNumberFormat="1" applyFont="1" applyAlignment="1">
      <alignment horizontal="center"/>
    </xf>
    <xf numFmtId="0" fontId="3" fillId="0" borderId="55" xfId="122" applyFont="1" applyBorder="1"/>
    <xf numFmtId="4" fontId="3" fillId="0" borderId="0" xfId="122" applyNumberFormat="1" applyFont="1" applyAlignment="1">
      <alignment horizontal="center"/>
    </xf>
    <xf numFmtId="4" fontId="3" fillId="0" borderId="0" xfId="122" applyNumberFormat="1" applyFont="1" applyAlignment="1">
      <alignment horizontal="left"/>
    </xf>
    <xf numFmtId="0" fontId="3" fillId="0" borderId="56" xfId="122" applyFont="1" applyBorder="1"/>
    <xf numFmtId="0" fontId="3" fillId="0" borderId="57" xfId="122" applyFont="1" applyBorder="1"/>
    <xf numFmtId="0" fontId="3" fillId="0" borderId="58" xfId="122" applyFont="1" applyBorder="1"/>
    <xf numFmtId="49" fontId="62" fillId="0" borderId="41" xfId="122" applyNumberFormat="1" applyFont="1" applyBorder="1" applyAlignment="1">
      <alignment horizontal="center" vertical="center"/>
    </xf>
    <xf numFmtId="49" fontId="62" fillId="0" borderId="43" xfId="122" applyNumberFormat="1" applyFont="1" applyBorder="1" applyAlignment="1">
      <alignment horizontal="center" vertical="center"/>
    </xf>
    <xf numFmtId="49" fontId="3" fillId="0" borderId="51" xfId="122" applyNumberFormat="1" applyFont="1" applyBorder="1" applyAlignment="1">
      <alignment vertical="center"/>
    </xf>
    <xf numFmtId="0" fontId="13" fillId="27" borderId="59" xfId="122" applyFont="1" applyFill="1" applyBorder="1" applyAlignment="1">
      <alignment horizontal="center" vertical="center"/>
    </xf>
    <xf numFmtId="49" fontId="62" fillId="27" borderId="60" xfId="122" applyNumberFormat="1" applyFont="1" applyFill="1" applyBorder="1" applyAlignment="1">
      <alignment horizontal="center" vertical="center"/>
    </xf>
    <xf numFmtId="0" fontId="62" fillId="27" borderId="61" xfId="122" applyFont="1" applyFill="1" applyBorder="1" applyAlignment="1">
      <alignment horizontal="center" vertical="center"/>
    </xf>
    <xf numFmtId="0" fontId="62" fillId="27" borderId="61" xfId="122" applyFont="1" applyFill="1" applyBorder="1" applyAlignment="1">
      <alignment vertical="center"/>
    </xf>
    <xf numFmtId="0" fontId="13" fillId="27" borderId="62" xfId="122" applyFont="1" applyFill="1" applyBorder="1" applyAlignment="1">
      <alignment horizontal="center" vertical="center"/>
    </xf>
    <xf numFmtId="189" fontId="62" fillId="27" borderId="60" xfId="51" applyFont="1" applyFill="1" applyBorder="1" applyAlignment="1">
      <alignment horizontal="right" vertical="center"/>
    </xf>
    <xf numFmtId="189" fontId="13" fillId="27" borderId="61" xfId="51" applyFont="1" applyFill="1" applyBorder="1" applyAlignment="1">
      <alignment horizontal="right" vertical="center"/>
    </xf>
    <xf numFmtId="189" fontId="13" fillId="27" borderId="63" xfId="51" applyFont="1" applyFill="1" applyBorder="1" applyAlignment="1">
      <alignment horizontal="right" vertical="center"/>
    </xf>
    <xf numFmtId="189" fontId="13" fillId="27" borderId="64" xfId="51" applyFont="1" applyFill="1" applyBorder="1" applyAlignment="1">
      <alignment vertical="center"/>
    </xf>
    <xf numFmtId="3" fontId="13" fillId="27" borderId="65" xfId="132" applyNumberFormat="1" applyFont="1" applyFill="1" applyBorder="1" applyAlignment="1">
      <alignment horizontal="center" vertical="center"/>
    </xf>
    <xf numFmtId="190" fontId="62" fillId="27" borderId="62" xfId="122" applyNumberFormat="1" applyFont="1" applyFill="1" applyBorder="1" applyAlignment="1">
      <alignment vertical="center"/>
    </xf>
    <xf numFmtId="0" fontId="58" fillId="28" borderId="66" xfId="122" applyFont="1" applyFill="1" applyBorder="1" applyAlignment="1">
      <alignment horizontal="center"/>
    </xf>
    <xf numFmtId="0" fontId="58" fillId="28" borderId="67" xfId="122" applyFont="1" applyFill="1" applyBorder="1" applyAlignment="1">
      <alignment horizontal="center"/>
    </xf>
    <xf numFmtId="0" fontId="58" fillId="28" borderId="68" xfId="122" applyFont="1" applyFill="1" applyBorder="1" applyAlignment="1">
      <alignment horizontal="center" wrapText="1"/>
    </xf>
    <xf numFmtId="40" fontId="58" fillId="0" borderId="57" xfId="45" applyFont="1" applyBorder="1" applyAlignment="1">
      <alignment horizontal="center" vertical="center"/>
    </xf>
    <xf numFmtId="0" fontId="59" fillId="0" borderId="0" xfId="122" quotePrefix="1" applyFont="1" applyAlignment="1">
      <alignment horizontal="left" vertical="center"/>
    </xf>
    <xf numFmtId="0" fontId="59" fillId="0" borderId="0" xfId="122" applyFont="1" applyAlignment="1">
      <alignment horizontal="left" vertical="center"/>
    </xf>
    <xf numFmtId="0" fontId="13" fillId="0" borderId="69" xfId="122" applyFont="1" applyBorder="1" applyAlignment="1">
      <alignment horizontal="center" vertical="center"/>
    </xf>
    <xf numFmtId="0" fontId="13" fillId="0" borderId="46" xfId="122" applyFont="1" applyBorder="1" applyAlignment="1">
      <alignment horizontal="center" vertical="center"/>
    </xf>
    <xf numFmtId="189" fontId="13" fillId="0" borderId="40" xfId="51" quotePrefix="1" applyFont="1" applyBorder="1" applyAlignment="1">
      <alignment horizontal="center" vertical="center"/>
    </xf>
    <xf numFmtId="189" fontId="13" fillId="27" borderId="61" xfId="51" quotePrefix="1" applyFont="1" applyFill="1" applyBorder="1" applyAlignment="1">
      <alignment horizontal="center" vertical="center"/>
    </xf>
    <xf numFmtId="0" fontId="13" fillId="0" borderId="70" xfId="122" applyFont="1" applyBorder="1" applyAlignment="1">
      <alignment horizontal="center" vertical="center"/>
    </xf>
    <xf numFmtId="40" fontId="58" fillId="0" borderId="57" xfId="45" applyFont="1" applyBorder="1" applyAlignment="1">
      <alignment horizontal="right" vertical="center"/>
    </xf>
    <xf numFmtId="0" fontId="59" fillId="0" borderId="0" xfId="122" applyFont="1" applyAlignment="1">
      <alignment horizontal="right"/>
    </xf>
    <xf numFmtId="0" fontId="59" fillId="0" borderId="0" xfId="122" quotePrefix="1" applyFont="1" applyAlignment="1">
      <alignment horizontal="left"/>
    </xf>
    <xf numFmtId="0" fontId="56" fillId="0" borderId="35" xfId="126" applyFont="1" applyBorder="1" applyAlignment="1">
      <alignment vertical="center" wrapText="1"/>
    </xf>
    <xf numFmtId="0" fontId="13" fillId="0" borderId="71" xfId="122" applyFont="1" applyBorder="1" applyAlignment="1">
      <alignment horizontal="center" vertical="center"/>
    </xf>
    <xf numFmtId="49" fontId="13" fillId="0" borderId="72" xfId="122" applyNumberFormat="1" applyFont="1" applyBorder="1" applyAlignment="1">
      <alignment horizontal="center" vertical="center"/>
    </xf>
    <xf numFmtId="0" fontId="13" fillId="0" borderId="73" xfId="122" applyFont="1" applyBorder="1" applyAlignment="1">
      <alignment horizontal="center" vertical="center"/>
    </xf>
    <xf numFmtId="0" fontId="13" fillId="0" borderId="73" xfId="122" applyFont="1" applyBorder="1" applyAlignment="1">
      <alignment vertical="center"/>
    </xf>
    <xf numFmtId="0" fontId="13" fillId="0" borderId="74" xfId="122" applyFont="1" applyBorder="1" applyAlignment="1">
      <alignment horizontal="center" vertical="center"/>
    </xf>
    <xf numFmtId="189" fontId="13" fillId="0" borderId="73" xfId="51" applyFont="1" applyBorder="1" applyAlignment="1">
      <alignment horizontal="right" vertical="center"/>
    </xf>
    <xf numFmtId="189" fontId="13" fillId="0" borderId="75" xfId="51" applyFont="1" applyBorder="1" applyAlignment="1">
      <alignment vertical="center"/>
    </xf>
    <xf numFmtId="189" fontId="13" fillId="0" borderId="73" xfId="51" quotePrefix="1" applyFont="1" applyBorder="1" applyAlignment="1">
      <alignment horizontal="center" vertical="center"/>
    </xf>
    <xf numFmtId="190" fontId="13" fillId="0" borderId="74" xfId="122" applyNumberFormat="1" applyFont="1" applyBorder="1" applyAlignment="1">
      <alignment vertical="center"/>
    </xf>
    <xf numFmtId="15" fontId="59" fillId="25" borderId="0" xfId="0" applyNumberFormat="1" applyFont="1" applyFill="1" applyAlignment="1">
      <alignment horizontal="left"/>
    </xf>
    <xf numFmtId="189" fontId="13" fillId="0" borderId="72" xfId="51" applyFont="1" applyBorder="1" applyAlignment="1">
      <alignment horizontal="right" vertical="center"/>
    </xf>
    <xf numFmtId="189" fontId="13" fillId="0" borderId="74" xfId="51" applyFont="1" applyBorder="1" applyAlignment="1">
      <alignment horizontal="right" vertical="center"/>
    </xf>
    <xf numFmtId="3" fontId="13" fillId="0" borderId="73" xfId="132" applyNumberFormat="1" applyFont="1" applyBorder="1" applyAlignment="1">
      <alignment horizontal="center" vertical="center"/>
    </xf>
    <xf numFmtId="0" fontId="13" fillId="27" borderId="64" xfId="122" applyFont="1" applyFill="1" applyBorder="1" applyAlignment="1">
      <alignment horizontal="left" vertical="center"/>
    </xf>
    <xf numFmtId="0" fontId="13" fillId="0" borderId="76" xfId="122" applyFont="1" applyBorder="1" applyAlignment="1">
      <alignment horizontal="center" vertical="center"/>
    </xf>
    <xf numFmtId="49" fontId="13" fillId="0" borderId="77" xfId="122" applyNumberFormat="1" applyFont="1" applyBorder="1" applyAlignment="1">
      <alignment horizontal="center" vertical="center"/>
    </xf>
    <xf numFmtId="0" fontId="13" fillId="0" borderId="38" xfId="122" applyFont="1" applyBorder="1" applyAlignment="1">
      <alignment horizontal="center" vertical="center"/>
    </xf>
    <xf numFmtId="0" fontId="13" fillId="0" borderId="38" xfId="122" applyFont="1" applyBorder="1" applyAlignment="1">
      <alignment vertical="center"/>
    </xf>
    <xf numFmtId="0" fontId="13" fillId="0" borderId="78" xfId="122" applyFont="1" applyBorder="1" applyAlignment="1">
      <alignment horizontal="center" vertical="center"/>
    </xf>
    <xf numFmtId="189" fontId="13" fillId="0" borderId="77" xfId="51" applyFont="1" applyBorder="1" applyAlignment="1">
      <alignment horizontal="right" vertical="center"/>
    </xf>
    <xf numFmtId="189" fontId="13" fillId="0" borderId="38" xfId="51" applyFont="1" applyBorder="1" applyAlignment="1">
      <alignment horizontal="right" vertical="center"/>
    </xf>
    <xf numFmtId="189" fontId="13" fillId="0" borderId="78" xfId="51" applyFont="1" applyBorder="1" applyAlignment="1">
      <alignment horizontal="right" vertical="center"/>
    </xf>
    <xf numFmtId="189" fontId="13" fillId="0" borderId="79" xfId="51" applyFont="1" applyBorder="1" applyAlignment="1">
      <alignment vertical="center"/>
    </xf>
    <xf numFmtId="189" fontId="13" fillId="0" borderId="38" xfId="51" quotePrefix="1" applyFont="1" applyBorder="1" applyAlignment="1">
      <alignment horizontal="center" vertical="center"/>
    </xf>
    <xf numFmtId="3" fontId="13" fillId="0" borderId="38" xfId="132" applyNumberFormat="1" applyFont="1" applyBorder="1" applyAlignment="1">
      <alignment horizontal="center" vertical="center"/>
    </xf>
    <xf numFmtId="190" fontId="13" fillId="0" borderId="78" xfId="122" applyNumberFormat="1" applyFont="1" applyBorder="1" applyAlignment="1">
      <alignment vertical="center"/>
    </xf>
    <xf numFmtId="0" fontId="13" fillId="0" borderId="80" xfId="122" applyFont="1" applyBorder="1" applyAlignment="1">
      <alignment horizontal="center" vertical="center"/>
    </xf>
    <xf numFmtId="49" fontId="13" fillId="0" borderId="81" xfId="122" applyNumberFormat="1" applyFont="1" applyBorder="1" applyAlignment="1">
      <alignment horizontal="center" vertical="center"/>
    </xf>
    <xf numFmtId="0" fontId="13" fillId="0" borderId="82" xfId="122" applyFont="1" applyBorder="1" applyAlignment="1">
      <alignment horizontal="center" vertical="center"/>
    </xf>
    <xf numFmtId="0" fontId="13" fillId="0" borderId="82" xfId="122" applyFont="1" applyBorder="1" applyAlignment="1">
      <alignment vertical="center"/>
    </xf>
    <xf numFmtId="0" fontId="13" fillId="0" borderId="83" xfId="122" applyFont="1" applyBorder="1" applyAlignment="1">
      <alignment horizontal="center" vertical="center"/>
    </xf>
    <xf numFmtId="189" fontId="13" fillId="0" borderId="81" xfId="51" applyFont="1" applyBorder="1" applyAlignment="1">
      <alignment horizontal="right" vertical="center"/>
    </xf>
    <xf numFmtId="189" fontId="13" fillId="0" borderId="82" xfId="51" applyFont="1" applyBorder="1" applyAlignment="1">
      <alignment horizontal="right" vertical="center"/>
    </xf>
    <xf numFmtId="189" fontId="13" fillId="0" borderId="83" xfId="51" applyFont="1" applyBorder="1" applyAlignment="1">
      <alignment horizontal="right" vertical="center"/>
    </xf>
    <xf numFmtId="189" fontId="13" fillId="0" borderId="82" xfId="51" quotePrefix="1" applyFont="1" applyBorder="1" applyAlignment="1">
      <alignment horizontal="center" vertical="center"/>
    </xf>
    <xf numFmtId="3" fontId="13" fillId="0" borderId="82" xfId="132" applyNumberFormat="1" applyFont="1" applyBorder="1" applyAlignment="1">
      <alignment horizontal="center" vertical="center"/>
    </xf>
    <xf numFmtId="190" fontId="13" fillId="0" borderId="83" xfId="122" applyNumberFormat="1" applyFont="1" applyBorder="1" applyAlignment="1">
      <alignment vertical="center"/>
    </xf>
    <xf numFmtId="0" fontId="58" fillId="0" borderId="0" xfId="0" applyFont="1"/>
    <xf numFmtId="0" fontId="3" fillId="0" borderId="0" xfId="0" applyFont="1"/>
    <xf numFmtId="0" fontId="0" fillId="0" borderId="0" xfId="0" applyAlignment="1">
      <alignment horizontal="center"/>
    </xf>
    <xf numFmtId="0" fontId="3" fillId="0" borderId="38" xfId="0" applyFont="1" applyBorder="1" applyAlignment="1">
      <alignment horizontal="center"/>
    </xf>
    <xf numFmtId="0" fontId="3" fillId="0" borderId="38" xfId="0" applyFont="1" applyBorder="1"/>
    <xf numFmtId="0" fontId="0" fillId="0" borderId="84" xfId="0" applyBorder="1"/>
    <xf numFmtId="0" fontId="58" fillId="0" borderId="84" xfId="0" applyFont="1" applyBorder="1" applyAlignment="1">
      <alignment horizontal="center" wrapText="1"/>
    </xf>
    <xf numFmtId="0" fontId="0" fillId="0" borderId="85" xfId="0" applyBorder="1"/>
    <xf numFmtId="0" fontId="3" fillId="0" borderId="35" xfId="0" applyFont="1" applyBorder="1"/>
    <xf numFmtId="0" fontId="3" fillId="0" borderId="86" xfId="0" applyFont="1" applyBorder="1"/>
    <xf numFmtId="0" fontId="0" fillId="0" borderId="87" xfId="0" applyBorder="1"/>
    <xf numFmtId="0" fontId="0" fillId="0" borderId="88" xfId="0" applyBorder="1"/>
    <xf numFmtId="0" fontId="3" fillId="0" borderId="89" xfId="0" applyFont="1" applyBorder="1"/>
    <xf numFmtId="0" fontId="3" fillId="0" borderId="90" xfId="0" applyFont="1" applyBorder="1"/>
    <xf numFmtId="0" fontId="3" fillId="0" borderId="90" xfId="0" applyFont="1" applyBorder="1" applyAlignment="1">
      <alignment horizontal="center"/>
    </xf>
    <xf numFmtId="0" fontId="3" fillId="0" borderId="91" xfId="0" applyFont="1" applyBorder="1"/>
    <xf numFmtId="0" fontId="3" fillId="0" borderId="92" xfId="0" applyFont="1" applyBorder="1" applyAlignment="1">
      <alignment horizontal="center"/>
    </xf>
    <xf numFmtId="0" fontId="3" fillId="0" borderId="93" xfId="0" applyFont="1" applyBorder="1"/>
    <xf numFmtId="0" fontId="13" fillId="0" borderId="76" xfId="122" applyFont="1" applyBorder="1" applyAlignment="1">
      <alignment horizontal="left" vertical="center" wrapText="1"/>
    </xf>
    <xf numFmtId="0" fontId="13" fillId="0" borderId="79" xfId="122" applyFont="1" applyBorder="1" applyAlignment="1">
      <alignment horizontal="left" vertical="center" wrapText="1"/>
    </xf>
    <xf numFmtId="0" fontId="13" fillId="0" borderId="71" xfId="122" applyFont="1" applyBorder="1" applyAlignment="1">
      <alignment horizontal="left" vertical="center" wrapText="1"/>
    </xf>
    <xf numFmtId="0" fontId="13" fillId="0" borderId="80" xfId="122" applyFont="1" applyBorder="1" applyAlignment="1">
      <alignment horizontal="left" vertical="center" wrapText="1"/>
    </xf>
    <xf numFmtId="0" fontId="95" fillId="0" borderId="0" xfId="0" applyFont="1"/>
    <xf numFmtId="0" fontId="95" fillId="0" borderId="0" xfId="0" applyFont="1" applyAlignment="1">
      <alignment horizontal="center" wrapText="1"/>
    </xf>
    <xf numFmtId="14" fontId="95" fillId="0" borderId="0" xfId="0" applyNumberFormat="1" applyFont="1" applyAlignment="1">
      <alignment horizontal="center" wrapText="1"/>
    </xf>
    <xf numFmtId="43" fontId="95" fillId="0" borderId="0" xfId="43" applyFont="1" applyFill="1" applyBorder="1"/>
    <xf numFmtId="191" fontId="95" fillId="0" borderId="0" xfId="43" applyNumberFormat="1" applyFont="1"/>
    <xf numFmtId="43" fontId="95" fillId="0" borderId="0" xfId="43" applyFont="1"/>
    <xf numFmtId="14" fontId="95" fillId="0" borderId="0" xfId="0" applyNumberFormat="1" applyFont="1"/>
    <xf numFmtId="192" fontId="95" fillId="0" borderId="0" xfId="0" applyNumberFormat="1" applyFont="1"/>
    <xf numFmtId="0" fontId="96" fillId="0" borderId="0" xfId="0" applyFont="1" applyAlignment="1">
      <alignment horizontal="left" vertical="center"/>
    </xf>
    <xf numFmtId="4" fontId="95" fillId="0" borderId="0" xfId="0" applyNumberFormat="1" applyFont="1"/>
    <xf numFmtId="0" fontId="97" fillId="0" borderId="0" xfId="0" applyFont="1" applyAlignment="1">
      <alignment horizontal="left" vertical="center"/>
    </xf>
    <xf numFmtId="0" fontId="98" fillId="0" borderId="0" xfId="0" applyFont="1" applyAlignment="1">
      <alignment horizontal="left" vertical="center"/>
    </xf>
    <xf numFmtId="193" fontId="95" fillId="0" borderId="12" xfId="0" applyNumberFormat="1" applyFont="1" applyBorder="1" applyAlignment="1">
      <alignment horizontal="left"/>
    </xf>
    <xf numFmtId="0" fontId="99" fillId="26" borderId="94" xfId="0" applyFont="1" applyFill="1" applyBorder="1" applyAlignment="1">
      <alignment horizontal="center" vertical="center" wrapText="1"/>
    </xf>
    <xf numFmtId="0" fontId="99" fillId="0" borderId="0" xfId="0" applyFont="1" applyAlignment="1">
      <alignment horizontal="center" vertical="center" wrapText="1"/>
    </xf>
    <xf numFmtId="4" fontId="99" fillId="0" borderId="0" xfId="0" applyNumberFormat="1" applyFont="1" applyAlignment="1">
      <alignment horizontal="center" vertical="center" wrapText="1"/>
    </xf>
    <xf numFmtId="0" fontId="99" fillId="26" borderId="95" xfId="0" applyFont="1" applyFill="1" applyBorder="1" applyAlignment="1">
      <alignment horizontal="center" vertical="center" wrapText="1"/>
    </xf>
    <xf numFmtId="0" fontId="99" fillId="26" borderId="96" xfId="0" applyFont="1" applyFill="1" applyBorder="1" applyAlignment="1">
      <alignment horizontal="center" vertical="center" wrapText="1"/>
    </xf>
    <xf numFmtId="14" fontId="99" fillId="26" borderId="97" xfId="0" applyNumberFormat="1" applyFont="1" applyFill="1" applyBorder="1" applyAlignment="1">
      <alignment horizontal="center" vertical="center" wrapText="1"/>
    </xf>
    <xf numFmtId="0" fontId="99" fillId="26" borderId="98" xfId="0" applyFont="1" applyFill="1" applyBorder="1" applyAlignment="1">
      <alignment horizontal="center" vertical="center" wrapText="1"/>
    </xf>
    <xf numFmtId="43" fontId="99" fillId="0" borderId="0" xfId="43" applyFont="1" applyFill="1" applyBorder="1" applyAlignment="1">
      <alignment horizontal="center" vertical="center" wrapText="1"/>
    </xf>
    <xf numFmtId="191" fontId="99" fillId="26" borderId="99" xfId="43" applyNumberFormat="1" applyFont="1" applyFill="1" applyBorder="1" applyAlignment="1">
      <alignment horizontal="center" vertical="center" wrapText="1"/>
    </xf>
    <xf numFmtId="43" fontId="99" fillId="26" borderId="96" xfId="43" applyFont="1" applyFill="1" applyBorder="1" applyAlignment="1">
      <alignment horizontal="center" vertical="center" wrapText="1"/>
    </xf>
    <xf numFmtId="14" fontId="99" fillId="26" borderId="95" xfId="0" applyNumberFormat="1" applyFont="1" applyFill="1" applyBorder="1" applyAlignment="1">
      <alignment horizontal="center" vertical="center" wrapText="1"/>
    </xf>
    <xf numFmtId="14" fontId="100" fillId="26" borderId="96" xfId="0" applyNumberFormat="1" applyFont="1" applyFill="1" applyBorder="1" applyAlignment="1">
      <alignment horizontal="center" vertical="center" wrapText="1"/>
    </xf>
    <xf numFmtId="43" fontId="3" fillId="0" borderId="0" xfId="43" applyFont="1" applyFill="1" applyBorder="1" applyAlignment="1">
      <alignment horizontal="center" vertical="center" wrapText="1"/>
    </xf>
    <xf numFmtId="0" fontId="99" fillId="29" borderId="100" xfId="0" applyFont="1" applyFill="1" applyBorder="1" applyAlignment="1">
      <alignment vertical="center"/>
    </xf>
    <xf numFmtId="0" fontId="99" fillId="29" borderId="101" xfId="0" applyFont="1" applyFill="1" applyBorder="1" applyAlignment="1">
      <alignment horizontal="center" vertical="center" wrapText="1"/>
    </xf>
    <xf numFmtId="0" fontId="99" fillId="29" borderId="102" xfId="0" applyFont="1" applyFill="1" applyBorder="1" applyAlignment="1">
      <alignment horizontal="center" vertical="center" wrapText="1"/>
    </xf>
    <xf numFmtId="0" fontId="99" fillId="29" borderId="103" xfId="0" applyFont="1" applyFill="1" applyBorder="1" applyAlignment="1">
      <alignment horizontal="center" vertical="center" wrapText="1"/>
    </xf>
    <xf numFmtId="0" fontId="99" fillId="29" borderId="104" xfId="0" applyFont="1" applyFill="1" applyBorder="1" applyAlignment="1">
      <alignment horizontal="center" vertical="center" wrapText="1"/>
    </xf>
    <xf numFmtId="14" fontId="99" fillId="29" borderId="105" xfId="0" applyNumberFormat="1" applyFont="1" applyFill="1" applyBorder="1" applyAlignment="1">
      <alignment horizontal="center" vertical="center" wrapText="1"/>
    </xf>
    <xf numFmtId="14" fontId="99" fillId="29" borderId="101" xfId="0" applyNumberFormat="1" applyFont="1" applyFill="1" applyBorder="1" applyAlignment="1">
      <alignment horizontal="center" vertical="center" wrapText="1"/>
    </xf>
    <xf numFmtId="0" fontId="99" fillId="29" borderId="106" xfId="0" applyFont="1" applyFill="1" applyBorder="1" applyAlignment="1">
      <alignment horizontal="center" vertical="center" wrapText="1"/>
    </xf>
    <xf numFmtId="191" fontId="99" fillId="29" borderId="107" xfId="43" applyNumberFormat="1" applyFont="1" applyFill="1" applyBorder="1" applyAlignment="1">
      <alignment horizontal="center" vertical="center" wrapText="1"/>
    </xf>
    <xf numFmtId="43" fontId="99" fillId="29" borderId="104" xfId="43" applyFont="1" applyFill="1" applyBorder="1" applyAlignment="1">
      <alignment horizontal="center" vertical="center" wrapText="1"/>
    </xf>
    <xf numFmtId="43" fontId="99" fillId="29" borderId="102" xfId="43" applyFont="1" applyFill="1" applyBorder="1" applyAlignment="1">
      <alignment horizontal="center" vertical="center" wrapText="1"/>
    </xf>
    <xf numFmtId="43" fontId="99" fillId="29" borderId="106" xfId="43" applyFont="1" applyFill="1" applyBorder="1" applyAlignment="1">
      <alignment horizontal="right" vertical="center" wrapText="1"/>
    </xf>
    <xf numFmtId="43" fontId="99" fillId="29" borderId="100" xfId="43" applyFont="1" applyFill="1" applyBorder="1" applyAlignment="1">
      <alignment horizontal="right" vertical="center" wrapText="1"/>
    </xf>
    <xf numFmtId="0" fontId="101" fillId="29" borderId="106" xfId="0" applyFont="1" applyFill="1" applyBorder="1" applyAlignment="1">
      <alignment horizontal="left" vertical="center" wrapText="1"/>
    </xf>
    <xf numFmtId="0" fontId="99" fillId="0" borderId="0" xfId="0" quotePrefix="1" applyFont="1" applyAlignment="1">
      <alignment vertical="center"/>
    </xf>
    <xf numFmtId="0" fontId="99" fillId="0" borderId="0" xfId="0" applyFont="1" applyAlignment="1">
      <alignment vertical="center"/>
    </xf>
    <xf numFmtId="4" fontId="99" fillId="0" borderId="0" xfId="0" applyNumberFormat="1" applyFont="1" applyAlignment="1">
      <alignment vertical="center"/>
    </xf>
    <xf numFmtId="0" fontId="102" fillId="0" borderId="0" xfId="0" applyFont="1"/>
    <xf numFmtId="0" fontId="102" fillId="0" borderId="0" xfId="0" applyFont="1" applyAlignment="1">
      <alignment horizontal="center" wrapText="1"/>
    </xf>
    <xf numFmtId="14" fontId="102" fillId="0" borderId="0" xfId="0" applyNumberFormat="1" applyFont="1" applyAlignment="1">
      <alignment horizontal="center" wrapText="1"/>
    </xf>
    <xf numFmtId="43" fontId="102" fillId="0" borderId="0" xfId="43" applyFont="1" applyFill="1" applyBorder="1"/>
    <xf numFmtId="191" fontId="102" fillId="0" borderId="0" xfId="43" applyNumberFormat="1" applyFont="1"/>
    <xf numFmtId="43" fontId="102" fillId="0" borderId="0" xfId="43" applyFont="1"/>
    <xf numFmtId="14" fontId="102" fillId="0" borderId="0" xfId="0" applyNumberFormat="1" applyFont="1"/>
    <xf numFmtId="192" fontId="102" fillId="0" borderId="0" xfId="0" applyNumberFormat="1" applyFont="1"/>
    <xf numFmtId="0" fontId="102" fillId="0" borderId="0" xfId="0" applyFont="1" applyAlignment="1">
      <alignment horizontal="left" vertical="center"/>
    </xf>
    <xf numFmtId="4" fontId="102" fillId="0" borderId="0" xfId="0" applyNumberFormat="1" applyFont="1"/>
    <xf numFmtId="14" fontId="100" fillId="26" borderId="97" xfId="0" applyNumberFormat="1" applyFont="1" applyFill="1" applyBorder="1" applyAlignment="1">
      <alignment horizontal="center" vertical="center" wrapText="1"/>
    </xf>
    <xf numFmtId="43" fontId="99" fillId="29" borderId="105" xfId="43" applyFont="1" applyFill="1" applyBorder="1" applyAlignment="1">
      <alignment horizontal="center" vertical="center" wrapText="1"/>
    </xf>
    <xf numFmtId="14" fontId="100" fillId="26" borderId="3" xfId="0" applyNumberFormat="1" applyFont="1" applyFill="1" applyBorder="1" applyAlignment="1">
      <alignment horizontal="center" vertical="center" wrapText="1"/>
    </xf>
    <xf numFmtId="43" fontId="99" fillId="29" borderId="101" xfId="43" applyFont="1" applyFill="1" applyBorder="1" applyAlignment="1">
      <alignment horizontal="center" vertical="center" wrapText="1"/>
    </xf>
    <xf numFmtId="0" fontId="103" fillId="0" borderId="89" xfId="0" applyFont="1" applyBorder="1"/>
    <xf numFmtId="0" fontId="104" fillId="0" borderId="38" xfId="0" applyFont="1" applyBorder="1" applyAlignment="1">
      <alignment horizontal="right"/>
    </xf>
    <xf numFmtId="0" fontId="103" fillId="0" borderId="38" xfId="0" applyFont="1" applyBorder="1" applyAlignment="1">
      <alignment horizontal="center"/>
    </xf>
    <xf numFmtId="0" fontId="103" fillId="0" borderId="90" xfId="0" applyFont="1" applyBorder="1" applyAlignment="1">
      <alignment horizontal="center"/>
    </xf>
    <xf numFmtId="0" fontId="103" fillId="0" borderId="0" xfId="0" applyFont="1"/>
    <xf numFmtId="0" fontId="103" fillId="0" borderId="35" xfId="0" applyFont="1" applyBorder="1"/>
    <xf numFmtId="0" fontId="105" fillId="0" borderId="38" xfId="0" applyFont="1" applyBorder="1" applyAlignment="1">
      <alignment horizontal="center"/>
    </xf>
    <xf numFmtId="0" fontId="106" fillId="0" borderId="35" xfId="0" applyFont="1" applyBorder="1"/>
    <xf numFmtId="0" fontId="103" fillId="0" borderId="89" xfId="0" applyFont="1" applyBorder="1" applyAlignment="1">
      <alignment horizontal="center" vertical="center"/>
    </xf>
    <xf numFmtId="0" fontId="103" fillId="0" borderId="38" xfId="0" applyFont="1" applyBorder="1" applyAlignment="1">
      <alignment horizontal="center" vertical="center"/>
    </xf>
    <xf numFmtId="0" fontId="103" fillId="0" borderId="38" xfId="0" quotePrefix="1" applyFont="1" applyBorder="1" applyAlignment="1">
      <alignment horizontal="center" vertical="center"/>
    </xf>
    <xf numFmtId="0" fontId="103" fillId="0" borderId="89" xfId="0" quotePrefix="1" applyFont="1" applyBorder="1" applyAlignment="1">
      <alignment horizontal="center" vertical="center"/>
    </xf>
    <xf numFmtId="2" fontId="58" fillId="0" borderId="0" xfId="122" applyNumberFormat="1" applyFont="1" applyAlignment="1">
      <alignment horizontal="center" vertical="center"/>
    </xf>
    <xf numFmtId="194" fontId="3" fillId="0" borderId="0" xfId="122" applyNumberFormat="1" applyFont="1" applyAlignment="1">
      <alignment horizontal="center"/>
    </xf>
    <xf numFmtId="4" fontId="58" fillId="0" borderId="0" xfId="122" applyNumberFormat="1" applyFont="1" applyAlignment="1">
      <alignment horizontal="center" vertical="center"/>
    </xf>
    <xf numFmtId="0" fontId="103" fillId="0" borderId="90" xfId="0" applyFont="1" applyBorder="1" applyAlignment="1">
      <alignment horizontal="center" vertical="center"/>
    </xf>
    <xf numFmtId="0" fontId="3" fillId="0" borderId="92" xfId="0" applyFont="1" applyBorder="1"/>
    <xf numFmtId="0" fontId="3" fillId="0" borderId="93" xfId="0" applyFont="1" applyBorder="1" applyAlignment="1">
      <alignment horizontal="center"/>
    </xf>
    <xf numFmtId="0" fontId="106" fillId="0" borderId="89" xfId="0" applyFont="1" applyBorder="1"/>
    <xf numFmtId="0" fontId="107" fillId="0" borderId="38" xfId="0" applyFont="1" applyBorder="1" applyAlignment="1">
      <alignment horizontal="right"/>
    </xf>
    <xf numFmtId="0" fontId="106" fillId="0" borderId="38" xfId="0" applyFont="1" applyBorder="1" applyAlignment="1">
      <alignment horizontal="center"/>
    </xf>
    <xf numFmtId="0" fontId="106" fillId="0" borderId="90" xfId="0" applyFont="1" applyBorder="1" applyAlignment="1">
      <alignment horizontal="center"/>
    </xf>
    <xf numFmtId="0" fontId="106" fillId="0" borderId="0" xfId="0" applyFont="1"/>
    <xf numFmtId="0" fontId="106" fillId="0" borderId="89" xfId="0" applyFont="1" applyBorder="1" applyAlignment="1">
      <alignment horizontal="center" vertical="center"/>
    </xf>
    <xf numFmtId="0" fontId="106" fillId="0" borderId="38" xfId="0" applyFont="1" applyBorder="1" applyAlignment="1">
      <alignment horizontal="center" vertical="center"/>
    </xf>
    <xf numFmtId="0" fontId="106" fillId="0" borderId="90" xfId="0" applyFont="1" applyBorder="1" applyAlignment="1">
      <alignment horizontal="center" vertical="center"/>
    </xf>
    <xf numFmtId="0" fontId="58" fillId="26" borderId="89" xfId="0" applyFont="1" applyFill="1" applyBorder="1"/>
    <xf numFmtId="0" fontId="58" fillId="26" borderId="38" xfId="0" applyFont="1" applyFill="1" applyBorder="1"/>
    <xf numFmtId="0" fontId="58" fillId="26" borderId="38" xfId="0" applyFont="1" applyFill="1" applyBorder="1" applyAlignment="1">
      <alignment horizontal="center"/>
    </xf>
    <xf numFmtId="0" fontId="58" fillId="26" borderId="90" xfId="0" applyFont="1" applyFill="1" applyBorder="1" applyAlignment="1">
      <alignment horizontal="center"/>
    </xf>
    <xf numFmtId="0" fontId="58" fillId="26" borderId="0" xfId="0" applyFont="1" applyFill="1"/>
    <xf numFmtId="0" fontId="58" fillId="26" borderId="35" xfId="0" applyFont="1" applyFill="1" applyBorder="1"/>
    <xf numFmtId="0" fontId="106" fillId="26" borderId="89" xfId="0" applyFont="1" applyFill="1" applyBorder="1"/>
    <xf numFmtId="0" fontId="107" fillId="26" borderId="38" xfId="0" applyFont="1" applyFill="1" applyBorder="1" applyAlignment="1">
      <alignment horizontal="right"/>
    </xf>
    <xf numFmtId="0" fontId="106" fillId="26" borderId="38" xfId="0" applyFont="1" applyFill="1" applyBorder="1" applyAlignment="1">
      <alignment horizontal="center"/>
    </xf>
    <xf numFmtId="0" fontId="106" fillId="26" borderId="90" xfId="0" applyFont="1" applyFill="1" applyBorder="1" applyAlignment="1">
      <alignment horizontal="center"/>
    </xf>
    <xf numFmtId="0" fontId="106" fillId="26" borderId="0" xfId="0" applyFont="1" applyFill="1"/>
    <xf numFmtId="0" fontId="106" fillId="26" borderId="35" xfId="0" applyFont="1" applyFill="1" applyBorder="1"/>
    <xf numFmtId="0" fontId="58" fillId="30" borderId="89" xfId="0" applyFont="1" applyFill="1" applyBorder="1"/>
    <xf numFmtId="0" fontId="58" fillId="30" borderId="38" xfId="0" applyFont="1" applyFill="1" applyBorder="1"/>
    <xf numFmtId="0" fontId="58" fillId="30" borderId="38" xfId="0" applyFont="1" applyFill="1" applyBorder="1" applyAlignment="1">
      <alignment horizontal="center"/>
    </xf>
    <xf numFmtId="0" fontId="58" fillId="30" borderId="90" xfId="0" applyFont="1" applyFill="1" applyBorder="1" applyAlignment="1">
      <alignment horizontal="center"/>
    </xf>
    <xf numFmtId="0" fontId="58" fillId="30" borderId="0" xfId="0" applyFont="1" applyFill="1"/>
    <xf numFmtId="0" fontId="58" fillId="30" borderId="35" xfId="0" applyFont="1" applyFill="1" applyBorder="1"/>
    <xf numFmtId="0" fontId="106" fillId="30" borderId="89" xfId="0" applyFont="1" applyFill="1" applyBorder="1"/>
    <xf numFmtId="0" fontId="107" fillId="30" borderId="38" xfId="0" applyFont="1" applyFill="1" applyBorder="1" applyAlignment="1">
      <alignment horizontal="right"/>
    </xf>
    <xf numFmtId="0" fontId="106" fillId="30" borderId="38" xfId="0" applyFont="1" applyFill="1" applyBorder="1" applyAlignment="1">
      <alignment horizontal="center"/>
    </xf>
    <xf numFmtId="0" fontId="106" fillId="30" borderId="90" xfId="0" applyFont="1" applyFill="1" applyBorder="1" applyAlignment="1">
      <alignment horizontal="center"/>
    </xf>
    <xf numFmtId="0" fontId="106" fillId="30" borderId="0" xfId="0" applyFont="1" applyFill="1"/>
    <xf numFmtId="0" fontId="106" fillId="30" borderId="35" xfId="0" applyFont="1" applyFill="1" applyBorder="1"/>
    <xf numFmtId="0" fontId="3" fillId="0" borderId="108" xfId="0" applyFont="1" applyBorder="1"/>
    <xf numFmtId="0" fontId="0" fillId="0" borderId="109" xfId="0" applyBorder="1" applyAlignment="1">
      <alignment horizontal="center"/>
    </xf>
    <xf numFmtId="0" fontId="58" fillId="0" borderId="110" xfId="0" applyFont="1" applyBorder="1" applyAlignment="1">
      <alignment horizontal="center"/>
    </xf>
    <xf numFmtId="9" fontId="106" fillId="0" borderId="110" xfId="129" applyFont="1" applyFill="1" applyBorder="1" applyAlignment="1">
      <alignment horizontal="center"/>
    </xf>
    <xf numFmtId="0" fontId="106" fillId="0" borderId="110" xfId="0" applyFont="1" applyBorder="1" applyAlignment="1">
      <alignment horizontal="center"/>
    </xf>
    <xf numFmtId="0" fontId="103" fillId="0" borderId="110" xfId="0" applyFont="1" applyBorder="1" applyAlignment="1">
      <alignment horizontal="center"/>
    </xf>
    <xf numFmtId="0" fontId="3" fillId="0" borderId="110" xfId="0" applyFont="1" applyBorder="1" applyAlignment="1">
      <alignment horizontal="center"/>
    </xf>
    <xf numFmtId="0" fontId="3" fillId="0" borderId="111" xfId="0" applyFont="1" applyBorder="1" applyAlignment="1">
      <alignment horizontal="center"/>
    </xf>
    <xf numFmtId="0" fontId="103" fillId="0" borderId="112" xfId="0" applyFont="1" applyBorder="1" applyAlignment="1">
      <alignment horizontal="center" vertical="center"/>
    </xf>
    <xf numFmtId="0" fontId="99" fillId="0" borderId="113" xfId="0" applyFont="1" applyBorder="1" applyAlignment="1">
      <alignment horizontal="center" vertical="center" wrapText="1"/>
    </xf>
    <xf numFmtId="43" fontId="99" fillId="0" borderId="113" xfId="43" applyFont="1" applyFill="1" applyBorder="1" applyAlignment="1">
      <alignment horizontal="center" vertical="center" wrapText="1"/>
    </xf>
    <xf numFmtId="43" fontId="3" fillId="0" borderId="113" xfId="43" applyFont="1" applyFill="1" applyBorder="1" applyAlignment="1">
      <alignment horizontal="center" vertical="center" wrapText="1"/>
    </xf>
    <xf numFmtId="49" fontId="3" fillId="0" borderId="36" xfId="43" quotePrefix="1" applyNumberFormat="1" applyFont="1" applyFill="1" applyBorder="1" applyAlignment="1">
      <alignment horizontal="left" vertical="center" wrapText="1"/>
    </xf>
    <xf numFmtId="49" fontId="99" fillId="29" borderId="114" xfId="43" applyNumberFormat="1" applyFont="1" applyFill="1" applyBorder="1" applyAlignment="1">
      <alignment horizontal="center" vertical="center" wrapText="1"/>
    </xf>
    <xf numFmtId="0" fontId="108" fillId="0" borderId="0" xfId="0" applyFont="1"/>
    <xf numFmtId="0" fontId="109" fillId="0" borderId="0" xfId="0" applyFont="1"/>
    <xf numFmtId="0" fontId="109" fillId="0" borderId="115" xfId="0" applyFont="1" applyBorder="1"/>
    <xf numFmtId="0" fontId="110" fillId="0" borderId="3" xfId="0" applyFont="1" applyBorder="1" applyAlignment="1">
      <alignment horizontal="center" vertical="center"/>
    </xf>
    <xf numFmtId="0" fontId="110" fillId="0" borderId="3" xfId="0" applyFont="1" applyBorder="1" applyAlignment="1">
      <alignment horizontal="center" vertical="center" wrapText="1"/>
    </xf>
    <xf numFmtId="0" fontId="110" fillId="0" borderId="116" xfId="0" applyFont="1" applyBorder="1" applyAlignment="1">
      <alignment horizontal="center" vertical="center" wrapText="1"/>
    </xf>
    <xf numFmtId="0" fontId="110" fillId="0" borderId="116" xfId="0" applyFont="1" applyBorder="1" applyAlignment="1">
      <alignment vertical="center" wrapText="1"/>
    </xf>
    <xf numFmtId="0" fontId="110" fillId="0" borderId="5" xfId="0" applyFont="1" applyBorder="1" applyAlignment="1">
      <alignment vertical="center" wrapText="1"/>
    </xf>
    <xf numFmtId="0" fontId="110" fillId="0" borderId="73" xfId="0" applyFont="1" applyBorder="1" applyAlignment="1">
      <alignment horizontal="center" vertical="center"/>
    </xf>
    <xf numFmtId="0" fontId="110" fillId="0" borderId="73" xfId="0" applyFont="1" applyBorder="1" applyAlignment="1">
      <alignment horizontal="center" vertical="center" wrapText="1"/>
    </xf>
    <xf numFmtId="0" fontId="111" fillId="0" borderId="73" xfId="0" applyFont="1" applyBorder="1" applyAlignment="1">
      <alignment horizontal="center" vertical="center" wrapText="1"/>
    </xf>
    <xf numFmtId="0" fontId="109" fillId="26" borderId="3" xfId="0" applyFont="1" applyFill="1" applyBorder="1" applyAlignment="1">
      <alignment horizontal="center" vertical="center"/>
    </xf>
    <xf numFmtId="0" fontId="109" fillId="26" borderId="3" xfId="0" applyFont="1" applyFill="1" applyBorder="1" applyAlignment="1">
      <alignment horizontal="center"/>
    </xf>
    <xf numFmtId="0" fontId="109" fillId="0" borderId="84" xfId="0" applyFont="1" applyBorder="1" applyAlignment="1">
      <alignment horizontal="center" vertical="center"/>
    </xf>
    <xf numFmtId="0" fontId="109" fillId="0" borderId="84" xfId="0" applyFont="1" applyBorder="1" applyAlignment="1">
      <alignment horizontal="center"/>
    </xf>
    <xf numFmtId="0" fontId="109" fillId="28" borderId="84" xfId="0" applyFont="1" applyFill="1" applyBorder="1" applyAlignment="1">
      <alignment horizontal="center" vertical="center"/>
    </xf>
    <xf numFmtId="0" fontId="112" fillId="28" borderId="84" xfId="0" applyFont="1" applyFill="1" applyBorder="1" applyAlignment="1">
      <alignment horizontal="center" vertical="center"/>
    </xf>
    <xf numFmtId="0" fontId="109" fillId="0" borderId="82" xfId="0" applyFont="1" applyBorder="1" applyAlignment="1">
      <alignment horizontal="center" vertical="center"/>
    </xf>
    <xf numFmtId="0" fontId="109" fillId="0" borderId="82" xfId="0" applyFont="1" applyBorder="1" applyAlignment="1">
      <alignment horizontal="center"/>
    </xf>
    <xf numFmtId="0" fontId="112" fillId="28" borderId="82" xfId="0" applyFont="1" applyFill="1" applyBorder="1" applyAlignment="1">
      <alignment horizontal="center" vertical="center"/>
    </xf>
    <xf numFmtId="0" fontId="109" fillId="0" borderId="0" xfId="0" applyFont="1" applyAlignment="1">
      <alignment horizontal="center"/>
    </xf>
    <xf numFmtId="0" fontId="109" fillId="0" borderId="0" xfId="0" applyFont="1" applyAlignment="1">
      <alignment horizontal="center" vertical="center"/>
    </xf>
    <xf numFmtId="0" fontId="109" fillId="0" borderId="0" xfId="0" applyFont="1" applyAlignment="1">
      <alignment vertical="center"/>
    </xf>
    <xf numFmtId="188" fontId="109" fillId="0" borderId="84" xfId="0" applyNumberFormat="1" applyFont="1" applyBorder="1" applyAlignment="1">
      <alignment horizontal="center" vertical="center"/>
    </xf>
    <xf numFmtId="188" fontId="109" fillId="28" borderId="84" xfId="0" applyNumberFormat="1" applyFont="1" applyFill="1" applyBorder="1" applyAlignment="1">
      <alignment horizontal="center" vertical="center"/>
    </xf>
    <xf numFmtId="9" fontId="109" fillId="28" borderId="84" xfId="129" applyFont="1" applyFill="1" applyBorder="1" applyAlignment="1">
      <alignment horizontal="center" vertical="center"/>
    </xf>
    <xf numFmtId="188" fontId="112" fillId="28" borderId="84" xfId="0" applyNumberFormat="1" applyFont="1" applyFill="1" applyBorder="1" applyAlignment="1">
      <alignment horizontal="center" vertical="center"/>
    </xf>
    <xf numFmtId="188" fontId="109" fillId="26" borderId="3" xfId="0" applyNumberFormat="1" applyFont="1" applyFill="1" applyBorder="1" applyAlignment="1">
      <alignment horizontal="center" vertical="center"/>
    </xf>
    <xf numFmtId="188" fontId="109" fillId="0" borderId="84" xfId="0" applyNumberFormat="1" applyFont="1" applyBorder="1" applyAlignment="1">
      <alignment horizontal="center"/>
    </xf>
    <xf numFmtId="0" fontId="3" fillId="0" borderId="61" xfId="122" applyFont="1" applyBorder="1" applyAlignment="1">
      <alignment horizontal="center" vertical="center"/>
    </xf>
    <xf numFmtId="0" fontId="110" fillId="0" borderId="3" xfId="0" applyFont="1" applyBorder="1" applyAlignment="1">
      <alignment vertical="center" wrapText="1"/>
    </xf>
    <xf numFmtId="0" fontId="113" fillId="0" borderId="84" xfId="0" applyFont="1" applyBorder="1" applyAlignment="1">
      <alignment horizontal="center" wrapText="1"/>
    </xf>
    <xf numFmtId="9" fontId="109" fillId="0" borderId="84" xfId="129" applyFont="1" applyFill="1" applyBorder="1" applyAlignment="1">
      <alignment horizontal="center" vertical="center"/>
    </xf>
    <xf numFmtId="2" fontId="112" fillId="28" borderId="84" xfId="0" applyNumberFormat="1" applyFont="1" applyFill="1" applyBorder="1" applyAlignment="1">
      <alignment horizontal="center" vertical="center"/>
    </xf>
    <xf numFmtId="2" fontId="109" fillId="26" borderId="3" xfId="0" applyNumberFormat="1" applyFont="1" applyFill="1" applyBorder="1" applyAlignment="1">
      <alignment horizontal="center" vertical="center"/>
    </xf>
    <xf numFmtId="0" fontId="109" fillId="0" borderId="117" xfId="0" applyFont="1" applyBorder="1" applyAlignment="1">
      <alignment vertical="center" wrapText="1"/>
    </xf>
    <xf numFmtId="9" fontId="109" fillId="0" borderId="84" xfId="0" applyNumberFormat="1" applyFont="1" applyBorder="1" applyAlignment="1">
      <alignment horizontal="center" vertical="center"/>
    </xf>
    <xf numFmtId="0" fontId="110" fillId="31" borderId="3" xfId="0" applyFont="1" applyFill="1" applyBorder="1" applyAlignment="1">
      <alignment horizontal="center" vertical="center"/>
    </xf>
    <xf numFmtId="0" fontId="110" fillId="31" borderId="3" xfId="0" applyFont="1" applyFill="1" applyBorder="1" applyAlignment="1">
      <alignment vertical="center"/>
    </xf>
    <xf numFmtId="2" fontId="110" fillId="31" borderId="3" xfId="0" applyNumberFormat="1" applyFont="1" applyFill="1" applyBorder="1" applyAlignment="1">
      <alignment vertical="center"/>
    </xf>
    <xf numFmtId="0" fontId="110" fillId="0" borderId="0" xfId="0" applyFont="1" applyAlignment="1">
      <alignment vertical="center"/>
    </xf>
    <xf numFmtId="10" fontId="110" fillId="31" borderId="3" xfId="129" applyNumberFormat="1" applyFont="1" applyFill="1" applyBorder="1" applyAlignment="1">
      <alignment vertical="center"/>
    </xf>
    <xf numFmtId="3" fontId="110" fillId="0" borderId="0" xfId="0" applyNumberFormat="1" applyFont="1" applyAlignment="1">
      <alignment vertical="center"/>
    </xf>
    <xf numFmtId="2" fontId="109" fillId="0" borderId="84" xfId="0" applyNumberFormat="1" applyFont="1" applyBorder="1" applyAlignment="1">
      <alignment horizontal="center" vertical="center"/>
    </xf>
    <xf numFmtId="3" fontId="109" fillId="0" borderId="84" xfId="0" applyNumberFormat="1" applyFont="1" applyBorder="1" applyAlignment="1">
      <alignment horizontal="center" vertical="center"/>
    </xf>
    <xf numFmtId="0" fontId="109" fillId="0" borderId="84" xfId="0" quotePrefix="1" applyFont="1" applyBorder="1" applyAlignment="1">
      <alignment horizontal="center" vertical="center"/>
    </xf>
    <xf numFmtId="3" fontId="114" fillId="0" borderId="84" xfId="0" quotePrefix="1" applyNumberFormat="1" applyFont="1" applyBorder="1" applyAlignment="1">
      <alignment horizontal="center" vertical="center"/>
    </xf>
    <xf numFmtId="0" fontId="114" fillId="0" borderId="84" xfId="0" quotePrefix="1" applyFont="1" applyBorder="1" applyAlignment="1">
      <alignment horizontal="center" vertical="center"/>
    </xf>
    <xf numFmtId="14" fontId="99" fillId="26" borderId="96" xfId="0" applyNumberFormat="1" applyFont="1" applyFill="1" applyBorder="1" applyAlignment="1">
      <alignment horizontal="center" vertical="center" wrapText="1"/>
    </xf>
    <xf numFmtId="43" fontId="99" fillId="26" borderId="118" xfId="43" applyFont="1" applyFill="1" applyBorder="1" applyAlignment="1">
      <alignment horizontal="center" vertical="center" wrapText="1"/>
    </xf>
    <xf numFmtId="43" fontId="99" fillId="29" borderId="119" xfId="43" applyFont="1" applyFill="1" applyBorder="1" applyAlignment="1">
      <alignment horizontal="center" vertical="center" wrapText="1"/>
    </xf>
    <xf numFmtId="43" fontId="99" fillId="26" borderId="120" xfId="43" applyFont="1" applyFill="1" applyBorder="1" applyAlignment="1">
      <alignment horizontal="center" vertical="center" wrapText="1"/>
    </xf>
    <xf numFmtId="0" fontId="0" fillId="0" borderId="82" xfId="0" applyBorder="1" applyAlignment="1">
      <alignment horizontal="center" vertical="center"/>
    </xf>
    <xf numFmtId="0" fontId="0" fillId="0" borderId="84" xfId="0" applyBorder="1" applyAlignment="1">
      <alignment horizontal="center" vertical="center"/>
    </xf>
    <xf numFmtId="0" fontId="0" fillId="0" borderId="38" xfId="0" applyBorder="1" applyAlignment="1">
      <alignment horizontal="center" vertical="center"/>
    </xf>
    <xf numFmtId="4" fontId="0" fillId="0" borderId="38" xfId="0" applyNumberFormat="1" applyBorder="1" applyAlignment="1">
      <alignment vertical="center"/>
    </xf>
    <xf numFmtId="0" fontId="0" fillId="0" borderId="117" xfId="0" applyBorder="1" applyAlignment="1">
      <alignment horizontal="center" vertical="center"/>
    </xf>
    <xf numFmtId="0" fontId="3" fillId="0" borderId="39" xfId="122" applyFont="1" applyBorder="1" applyAlignment="1">
      <alignment horizontal="center" vertical="center"/>
    </xf>
    <xf numFmtId="0" fontId="3" fillId="0" borderId="121" xfId="122" applyFont="1" applyBorder="1" applyAlignment="1">
      <alignment horizontal="center" vertical="center"/>
    </xf>
    <xf numFmtId="0" fontId="3" fillId="0" borderId="122" xfId="122" applyFont="1" applyBorder="1" applyAlignment="1">
      <alignment horizontal="center" vertical="center"/>
    </xf>
    <xf numFmtId="0" fontId="58" fillId="0" borderId="122" xfId="122" applyFont="1" applyBorder="1" applyAlignment="1">
      <alignment horizontal="center" vertical="center"/>
    </xf>
    <xf numFmtId="0" fontId="58" fillId="0" borderId="98" xfId="122" applyFont="1" applyBorder="1" applyAlignment="1">
      <alignment horizontal="center" vertical="center"/>
    </xf>
    <xf numFmtId="0" fontId="3" fillId="0" borderId="123" xfId="122" applyFont="1" applyBorder="1" applyAlignment="1">
      <alignment horizontal="center" vertical="center"/>
    </xf>
    <xf numFmtId="9" fontId="58" fillId="0" borderId="121" xfId="129" applyFont="1" applyBorder="1" applyAlignment="1">
      <alignment horizontal="center" vertical="center"/>
    </xf>
    <xf numFmtId="189" fontId="13" fillId="0" borderId="77" xfId="51" applyFont="1" applyBorder="1" applyAlignment="1">
      <alignment vertical="center"/>
    </xf>
    <xf numFmtId="189" fontId="13" fillId="0" borderId="81" xfId="51" applyFont="1" applyBorder="1" applyAlignment="1">
      <alignment vertical="center"/>
    </xf>
    <xf numFmtId="0" fontId="13" fillId="0" borderId="124" xfId="122" applyFont="1" applyBorder="1" applyAlignment="1">
      <alignment horizontal="center" vertical="center"/>
    </xf>
    <xf numFmtId="0" fontId="13" fillId="0" borderId="124" xfId="122" applyFont="1" applyBorder="1" applyAlignment="1">
      <alignment horizontal="left" vertical="center" wrapText="1"/>
    </xf>
    <xf numFmtId="49" fontId="13" fillId="0" borderId="125" xfId="122" applyNumberFormat="1" applyFont="1" applyBorder="1" applyAlignment="1">
      <alignment horizontal="center" vertical="center"/>
    </xf>
    <xf numFmtId="0" fontId="13" fillId="0" borderId="117" xfId="122" applyFont="1" applyBorder="1" applyAlignment="1">
      <alignment horizontal="center" vertical="center"/>
    </xf>
    <xf numFmtId="0" fontId="13" fillId="0" borderId="117" xfId="122" applyFont="1" applyBorder="1" applyAlignment="1">
      <alignment vertical="center"/>
    </xf>
    <xf numFmtId="0" fontId="13" fillId="0" borderId="126" xfId="122" applyFont="1" applyBorder="1" applyAlignment="1">
      <alignment horizontal="center" vertical="center"/>
    </xf>
    <xf numFmtId="3" fontId="13" fillId="0" borderId="117" xfId="132" applyNumberFormat="1" applyFont="1" applyBorder="1" applyAlignment="1">
      <alignment horizontal="center" vertical="center"/>
    </xf>
    <xf numFmtId="190" fontId="13" fillId="0" borderId="126" xfId="122" applyNumberFormat="1" applyFont="1" applyBorder="1" applyAlignment="1">
      <alignment vertical="center"/>
    </xf>
    <xf numFmtId="0" fontId="106" fillId="0" borderId="108" xfId="0" applyFont="1" applyBorder="1" applyAlignment="1">
      <alignment horizontal="center" vertical="center"/>
    </xf>
    <xf numFmtId="0" fontId="103" fillId="0" borderId="108" xfId="0" applyFont="1" applyBorder="1" applyAlignment="1">
      <alignment horizontal="center" vertical="center"/>
    </xf>
    <xf numFmtId="0" fontId="3" fillId="0" borderId="127" xfId="0" applyFont="1" applyBorder="1"/>
    <xf numFmtId="0" fontId="112" fillId="0" borderId="84" xfId="0" applyFont="1" applyBorder="1" applyAlignment="1">
      <alignment horizontal="center" vertical="center"/>
    </xf>
    <xf numFmtId="2" fontId="109" fillId="0" borderId="0" xfId="0" applyNumberFormat="1" applyFont="1"/>
    <xf numFmtId="2" fontId="109" fillId="0" borderId="84" xfId="0" quotePrefix="1" applyNumberFormat="1" applyFont="1" applyBorder="1" applyAlignment="1">
      <alignment horizontal="center" vertical="center"/>
    </xf>
    <xf numFmtId="0" fontId="112" fillId="0" borderId="82" xfId="0" applyFont="1" applyBorder="1" applyAlignment="1">
      <alignment horizontal="center" vertical="center"/>
    </xf>
    <xf numFmtId="2" fontId="112" fillId="0" borderId="84" xfId="0" applyNumberFormat="1" applyFont="1" applyBorder="1" applyAlignment="1">
      <alignment horizontal="center" vertical="center"/>
    </xf>
    <xf numFmtId="188" fontId="109" fillId="0" borderId="84" xfId="0" quotePrefix="1" applyNumberFormat="1" applyFont="1" applyBorder="1" applyAlignment="1">
      <alignment horizontal="center" vertical="center"/>
    </xf>
    <xf numFmtId="0" fontId="109" fillId="0" borderId="38" xfId="0" applyFont="1" applyBorder="1" applyAlignment="1">
      <alignment vertical="center" wrapText="1"/>
    </xf>
    <xf numFmtId="0" fontId="109" fillId="0" borderId="38" xfId="0" applyFont="1" applyBorder="1" applyAlignment="1">
      <alignment horizontal="center"/>
    </xf>
    <xf numFmtId="0" fontId="115" fillId="0" borderId="0" xfId="0" applyFont="1"/>
    <xf numFmtId="4" fontId="0" fillId="0" borderId="0" xfId="0" applyNumberFormat="1"/>
    <xf numFmtId="4" fontId="0" fillId="0" borderId="0" xfId="0" applyNumberFormat="1" applyAlignment="1">
      <alignment horizontal="right"/>
    </xf>
    <xf numFmtId="4" fontId="0" fillId="0" borderId="84" xfId="0" applyNumberFormat="1" applyBorder="1"/>
    <xf numFmtId="0" fontId="112" fillId="0" borderId="117" xfId="0" applyFont="1" applyBorder="1"/>
    <xf numFmtId="0" fontId="0" fillId="0" borderId="117" xfId="0" applyBorder="1"/>
    <xf numFmtId="4" fontId="0" fillId="0" borderId="117" xfId="0" applyNumberFormat="1" applyBorder="1"/>
    <xf numFmtId="0" fontId="0" fillId="0" borderId="117" xfId="0" applyBorder="1" applyAlignment="1">
      <alignment horizontal="right" vertical="center"/>
    </xf>
    <xf numFmtId="0" fontId="112" fillId="0" borderId="117" xfId="0" applyFont="1" applyBorder="1" applyAlignment="1">
      <alignment vertical="center" wrapText="1"/>
    </xf>
    <xf numFmtId="0" fontId="109" fillId="0" borderId="117" xfId="0" applyFont="1" applyBorder="1" applyAlignment="1">
      <alignment horizontal="center" vertical="center"/>
    </xf>
    <xf numFmtId="4" fontId="109" fillId="0" borderId="117" xfId="0" applyNumberFormat="1" applyFont="1" applyBorder="1" applyAlignment="1">
      <alignment vertical="center"/>
    </xf>
    <xf numFmtId="4" fontId="109" fillId="0" borderId="117" xfId="0" applyNumberFormat="1" applyFont="1" applyBorder="1" applyAlignment="1">
      <alignment horizontal="center" vertical="center" wrapText="1"/>
    </xf>
    <xf numFmtId="4" fontId="116" fillId="0" borderId="117" xfId="0" applyNumberFormat="1" applyFont="1" applyBorder="1" applyAlignment="1">
      <alignment horizontal="center" vertical="center" wrapText="1"/>
    </xf>
    <xf numFmtId="0" fontId="109" fillId="0" borderId="117" xfId="0" applyFont="1" applyBorder="1" applyAlignment="1">
      <alignment horizontal="right" vertical="center"/>
    </xf>
    <xf numFmtId="0" fontId="112" fillId="0" borderId="117" xfId="0" applyFont="1" applyBorder="1" applyAlignment="1">
      <alignment wrapText="1"/>
    </xf>
    <xf numFmtId="0" fontId="115" fillId="0" borderId="117" xfId="0" applyFont="1" applyBorder="1" applyAlignment="1">
      <alignment wrapText="1"/>
    </xf>
    <xf numFmtId="0" fontId="115" fillId="0" borderId="117" xfId="0" applyFont="1" applyBorder="1" applyAlignment="1">
      <alignment vertical="center" wrapText="1"/>
    </xf>
    <xf numFmtId="0" fontId="115" fillId="0" borderId="117" xfId="0" applyFont="1" applyBorder="1"/>
    <xf numFmtId="4" fontId="109" fillId="0" borderId="117" xfId="0" applyNumberFormat="1" applyFont="1" applyBorder="1"/>
    <xf numFmtId="4" fontId="112" fillId="0" borderId="117" xfId="0" applyNumberFormat="1" applyFont="1" applyBorder="1"/>
    <xf numFmtId="0" fontId="115" fillId="0" borderId="117" xfId="0" applyFont="1" applyBorder="1" applyAlignment="1">
      <alignment horizontal="left" vertical="center" wrapText="1"/>
    </xf>
    <xf numFmtId="0" fontId="115" fillId="0" borderId="117" xfId="0" applyFont="1" applyBorder="1" applyAlignment="1">
      <alignment horizontal="left" vertical="center"/>
    </xf>
    <xf numFmtId="4" fontId="116" fillId="0" borderId="117" xfId="0" applyNumberFormat="1" applyFont="1" applyBorder="1"/>
    <xf numFmtId="0" fontId="0" fillId="0" borderId="82" xfId="0" applyBorder="1"/>
    <xf numFmtId="4" fontId="0" fillId="0" borderId="82" xfId="0" applyNumberFormat="1" applyBorder="1"/>
    <xf numFmtId="4" fontId="116" fillId="0" borderId="82" xfId="0" applyNumberFormat="1" applyFont="1" applyBorder="1"/>
    <xf numFmtId="0" fontId="0" fillId="32" borderId="61" xfId="0" applyFill="1" applyBorder="1" applyAlignment="1">
      <alignment horizontal="center" vertical="center"/>
    </xf>
    <xf numFmtId="0" fontId="112" fillId="32" borderId="61" xfId="0" applyFont="1" applyFill="1" applyBorder="1" applyAlignment="1">
      <alignment vertical="center"/>
    </xf>
    <xf numFmtId="4" fontId="112" fillId="32" borderId="61" xfId="0" applyNumberFormat="1" applyFont="1" applyFill="1" applyBorder="1" applyAlignment="1">
      <alignment vertical="center"/>
    </xf>
    <xf numFmtId="4" fontId="110" fillId="32" borderId="61" xfId="0" applyNumberFormat="1" applyFont="1" applyFill="1" applyBorder="1" applyAlignment="1">
      <alignment vertical="center"/>
    </xf>
    <xf numFmtId="4" fontId="0" fillId="0" borderId="65" xfId="0" applyNumberFormat="1" applyBorder="1" applyAlignment="1">
      <alignment horizontal="center" vertical="center"/>
    </xf>
    <xf numFmtId="9" fontId="109" fillId="0" borderId="117" xfId="129" applyFont="1" applyBorder="1" applyAlignment="1">
      <alignment vertical="center"/>
    </xf>
    <xf numFmtId="0" fontId="58" fillId="0" borderId="3" xfId="0" applyFont="1" applyBorder="1" applyAlignment="1">
      <alignment horizontal="center" vertical="center"/>
    </xf>
    <xf numFmtId="4" fontId="58" fillId="0" borderId="3" xfId="0" applyNumberFormat="1" applyFont="1" applyBorder="1" applyAlignment="1">
      <alignment horizontal="center" vertical="center" wrapText="1"/>
    </xf>
    <xf numFmtId="4" fontId="58" fillId="0" borderId="3" xfId="0" applyNumberFormat="1" applyFont="1" applyBorder="1" applyAlignment="1">
      <alignment horizontal="center" vertical="center"/>
    </xf>
    <xf numFmtId="0" fontId="0" fillId="0" borderId="128" xfId="0" applyBorder="1"/>
    <xf numFmtId="4" fontId="0" fillId="0" borderId="128" xfId="0" applyNumberFormat="1" applyBorder="1"/>
    <xf numFmtId="0" fontId="0" fillId="0" borderId="115" xfId="0" applyBorder="1"/>
    <xf numFmtId="0" fontId="0" fillId="0" borderId="73" xfId="0" applyBorder="1" applyAlignment="1">
      <alignment horizontal="center" vertical="center"/>
    </xf>
    <xf numFmtId="0" fontId="0" fillId="0" borderId="73" xfId="0" applyBorder="1"/>
    <xf numFmtId="4" fontId="0" fillId="0" borderId="73" xfId="0" applyNumberFormat="1" applyBorder="1"/>
    <xf numFmtId="0" fontId="115" fillId="0" borderId="38" xfId="0" applyFont="1" applyBorder="1" applyAlignment="1">
      <alignment vertical="center" wrapText="1"/>
    </xf>
    <xf numFmtId="4" fontId="0" fillId="0" borderId="38" xfId="0" applyNumberFormat="1" applyBorder="1" applyAlignment="1">
      <alignment horizontal="center" vertical="center"/>
    </xf>
    <xf numFmtId="0" fontId="0" fillId="0" borderId="38" xfId="0" applyBorder="1" applyAlignment="1">
      <alignment horizontal="right" vertical="center"/>
    </xf>
    <xf numFmtId="0" fontId="92" fillId="0" borderId="38" xfId="0" applyFont="1" applyBorder="1" applyAlignment="1">
      <alignment vertical="center" wrapText="1"/>
    </xf>
    <xf numFmtId="0" fontId="92" fillId="0" borderId="38" xfId="0" applyFont="1" applyBorder="1" applyAlignment="1">
      <alignment horizontal="left" vertical="center" wrapText="1"/>
    </xf>
    <xf numFmtId="0" fontId="112" fillId="32" borderId="61" xfId="0" applyFont="1" applyFill="1" applyBorder="1" applyAlignment="1">
      <alignment vertical="center" wrapText="1"/>
    </xf>
    <xf numFmtId="0" fontId="112" fillId="32" borderId="61" xfId="0" applyFont="1" applyFill="1" applyBorder="1" applyAlignment="1">
      <alignment horizontal="center" vertical="center"/>
    </xf>
    <xf numFmtId="0" fontId="115" fillId="0" borderId="115" xfId="0" applyFont="1" applyBorder="1"/>
    <xf numFmtId="0" fontId="92" fillId="0" borderId="38" xfId="0" applyFont="1" applyBorder="1" applyAlignment="1">
      <alignment horizontal="right" vertical="center" wrapText="1"/>
    </xf>
    <xf numFmtId="9" fontId="0" fillId="0" borderId="38" xfId="129" applyFont="1" applyBorder="1" applyAlignment="1">
      <alignment horizontal="center" vertical="center"/>
    </xf>
    <xf numFmtId="10" fontId="112" fillId="32" borderId="61" xfId="129" applyNumberFormat="1" applyFont="1" applyFill="1" applyBorder="1" applyAlignment="1">
      <alignment horizontal="center" vertical="center"/>
    </xf>
    <xf numFmtId="9" fontId="110" fillId="32" borderId="61" xfId="129" applyFont="1" applyFill="1" applyBorder="1" applyAlignment="1">
      <alignment horizontal="center" vertical="center"/>
    </xf>
    <xf numFmtId="0" fontId="117" fillId="0" borderId="117" xfId="0" applyFont="1" applyBorder="1" applyAlignment="1">
      <alignment vertical="center" wrapText="1"/>
    </xf>
    <xf numFmtId="0" fontId="117" fillId="0" borderId="117" xfId="0" applyFont="1" applyBorder="1" applyAlignment="1">
      <alignment wrapText="1"/>
    </xf>
    <xf numFmtId="0" fontId="0" fillId="0" borderId="117" xfId="0" applyBorder="1" applyAlignment="1">
      <alignment horizontal="left" vertical="center" wrapText="1"/>
    </xf>
    <xf numFmtId="0" fontId="58" fillId="0" borderId="3" xfId="0" applyFont="1" applyBorder="1" applyAlignment="1">
      <alignment horizontal="center" vertical="center" wrapText="1"/>
    </xf>
    <xf numFmtId="10" fontId="110" fillId="32" borderId="61" xfId="129" applyNumberFormat="1" applyFont="1" applyFill="1" applyBorder="1" applyAlignment="1">
      <alignment horizontal="center" vertical="center"/>
    </xf>
    <xf numFmtId="0" fontId="0" fillId="0" borderId="129" xfId="0" applyBorder="1"/>
    <xf numFmtId="0" fontId="58" fillId="0" borderId="89" xfId="0" applyFont="1" applyBorder="1"/>
    <xf numFmtId="0" fontId="58" fillId="0" borderId="38" xfId="0" applyFont="1" applyBorder="1"/>
    <xf numFmtId="0" fontId="58" fillId="0" borderId="108" xfId="0" applyFont="1" applyBorder="1"/>
    <xf numFmtId="0" fontId="58" fillId="0" borderId="90" xfId="0" applyFont="1" applyBorder="1"/>
    <xf numFmtId="9" fontId="0" fillId="0" borderId="38" xfId="129" applyFont="1" applyFill="1" applyBorder="1" applyAlignment="1">
      <alignment horizontal="center" vertical="center"/>
    </xf>
    <xf numFmtId="2" fontId="118" fillId="0" borderId="84" xfId="0" applyNumberFormat="1" applyFont="1" applyBorder="1" applyAlignment="1">
      <alignment horizontal="center" vertical="center"/>
    </xf>
    <xf numFmtId="2" fontId="116" fillId="0" borderId="84" xfId="0" applyNumberFormat="1" applyFont="1" applyBorder="1" applyAlignment="1">
      <alignment horizontal="center" vertical="center"/>
    </xf>
    <xf numFmtId="188" fontId="118" fillId="0" borderId="84" xfId="0" applyNumberFormat="1" applyFont="1" applyBorder="1" applyAlignment="1">
      <alignment horizontal="center" vertical="center"/>
    </xf>
    <xf numFmtId="188" fontId="116" fillId="0" borderId="84" xfId="0" applyNumberFormat="1" applyFont="1" applyBorder="1" applyAlignment="1">
      <alignment horizontal="center" vertical="center"/>
    </xf>
    <xf numFmtId="2" fontId="109" fillId="28" borderId="84" xfId="0" applyNumberFormat="1" applyFont="1" applyFill="1" applyBorder="1" applyAlignment="1">
      <alignment horizontal="center" vertical="center"/>
    </xf>
    <xf numFmtId="9" fontId="109" fillId="33" borderId="84" xfId="129" applyFont="1" applyFill="1" applyBorder="1" applyAlignment="1">
      <alignment horizontal="center" vertical="center"/>
    </xf>
    <xf numFmtId="2" fontId="109" fillId="33" borderId="84" xfId="0" applyNumberFormat="1" applyFont="1" applyFill="1" applyBorder="1" applyAlignment="1">
      <alignment horizontal="center" vertical="center"/>
    </xf>
    <xf numFmtId="0" fontId="109" fillId="33" borderId="0" xfId="0" applyFont="1" applyFill="1"/>
    <xf numFmtId="188" fontId="109" fillId="33" borderId="84" xfId="0" applyNumberFormat="1" applyFont="1" applyFill="1" applyBorder="1" applyAlignment="1">
      <alignment horizontal="center" vertical="center"/>
    </xf>
    <xf numFmtId="2" fontId="111" fillId="0" borderId="73" xfId="0" applyNumberFormat="1" applyFont="1" applyBorder="1" applyAlignment="1">
      <alignment horizontal="center" vertical="center" wrapText="1"/>
    </xf>
    <xf numFmtId="9" fontId="109" fillId="28" borderId="84" xfId="0" applyNumberFormat="1" applyFont="1" applyFill="1" applyBorder="1" applyAlignment="1">
      <alignment horizontal="center" vertical="center"/>
    </xf>
    <xf numFmtId="2" fontId="110" fillId="31" borderId="3" xfId="129" applyNumberFormat="1" applyFont="1" applyFill="1" applyBorder="1" applyAlignment="1">
      <alignment vertical="center"/>
    </xf>
    <xf numFmtId="0" fontId="106" fillId="0" borderId="35" xfId="0" applyFont="1" applyBorder="1" applyAlignment="1">
      <alignment horizontal="center"/>
    </xf>
    <xf numFmtId="0" fontId="103" fillId="0" borderId="35" xfId="0" applyFont="1" applyBorder="1" applyAlignment="1">
      <alignment horizontal="center"/>
    </xf>
    <xf numFmtId="0" fontId="119" fillId="0" borderId="84" xfId="0" applyFont="1" applyBorder="1" applyAlignment="1">
      <alignment horizontal="center"/>
    </xf>
    <xf numFmtId="0" fontId="114" fillId="0" borderId="84" xfId="0" applyFont="1" applyBorder="1" applyAlignment="1">
      <alignment horizontal="center" vertical="center"/>
    </xf>
    <xf numFmtId="3" fontId="114" fillId="0" borderId="84" xfId="0" applyNumberFormat="1" applyFont="1" applyBorder="1" applyAlignment="1">
      <alignment horizontal="center" vertical="center"/>
    </xf>
    <xf numFmtId="3" fontId="109" fillId="0" borderId="84" xfId="0" quotePrefix="1" applyNumberFormat="1" applyFont="1" applyBorder="1" applyAlignment="1">
      <alignment horizontal="center" vertical="center"/>
    </xf>
    <xf numFmtId="3" fontId="113" fillId="0" borderId="84" xfId="0" applyNumberFormat="1" applyFont="1" applyBorder="1" applyAlignment="1">
      <alignment horizontal="center" vertical="center"/>
    </xf>
    <xf numFmtId="0" fontId="120" fillId="0" borderId="38" xfId="0" quotePrefix="1" applyFont="1" applyBorder="1" applyAlignment="1">
      <alignment horizontal="center" vertical="center"/>
    </xf>
    <xf numFmtId="0" fontId="119" fillId="0" borderId="84" xfId="0" applyFont="1" applyBorder="1" applyAlignment="1">
      <alignment horizontal="left"/>
    </xf>
    <xf numFmtId="0" fontId="17" fillId="0" borderId="36" xfId="126" applyBorder="1" applyAlignment="1">
      <alignment horizontal="center" vertical="center"/>
    </xf>
    <xf numFmtId="0" fontId="41" fillId="0" borderId="36" xfId="126" applyFont="1" applyBorder="1" applyAlignment="1">
      <alignment vertical="center" wrapText="1"/>
    </xf>
    <xf numFmtId="4" fontId="55" fillId="26" borderId="36" xfId="126" applyNumberFormat="1" applyFont="1" applyFill="1" applyBorder="1" applyAlignment="1" applyProtection="1">
      <alignment vertical="center"/>
      <protection locked="0"/>
    </xf>
    <xf numFmtId="9" fontId="74" fillId="0" borderId="38" xfId="129" applyFont="1" applyFill="1" applyBorder="1" applyAlignment="1">
      <alignment horizontal="center" vertical="center"/>
    </xf>
    <xf numFmtId="0" fontId="119" fillId="0" borderId="84" xfId="0" applyFont="1" applyBorder="1" applyAlignment="1">
      <alignment horizontal="center" wrapText="1"/>
    </xf>
    <xf numFmtId="0" fontId="114" fillId="0" borderId="84" xfId="0" applyFont="1" applyBorder="1" applyAlignment="1">
      <alignment horizontal="center"/>
    </xf>
    <xf numFmtId="0" fontId="113" fillId="0" borderId="84" xfId="0" quotePrefix="1" applyFont="1" applyBorder="1" applyAlignment="1">
      <alignment horizontal="center" vertical="center"/>
    </xf>
    <xf numFmtId="0" fontId="119" fillId="0" borderId="84" xfId="0" quotePrefix="1" applyFont="1" applyBorder="1" applyAlignment="1">
      <alignment horizontal="center" vertical="center"/>
    </xf>
    <xf numFmtId="3" fontId="121" fillId="0" borderId="89" xfId="0" quotePrefix="1" applyNumberFormat="1" applyFont="1" applyBorder="1" applyAlignment="1">
      <alignment horizontal="center" vertical="center"/>
    </xf>
    <xf numFmtId="0" fontId="120" fillId="0" borderId="89" xfId="0" quotePrefix="1" applyFont="1" applyBorder="1" applyAlignment="1">
      <alignment horizontal="center" vertical="center"/>
    </xf>
    <xf numFmtId="3" fontId="113" fillId="0" borderId="84" xfId="0" quotePrefix="1" applyNumberFormat="1" applyFont="1" applyBorder="1" applyAlignment="1">
      <alignment horizontal="center" vertical="center"/>
    </xf>
    <xf numFmtId="0" fontId="103" fillId="0" borderId="108" xfId="0" quotePrefix="1" applyFont="1" applyBorder="1" applyAlignment="1">
      <alignment horizontal="center" vertical="center"/>
    </xf>
    <xf numFmtId="195" fontId="13" fillId="0" borderId="125" xfId="51" applyNumberFormat="1" applyFont="1" applyBorder="1" applyAlignment="1">
      <alignment vertical="center"/>
    </xf>
    <xf numFmtId="0" fontId="103" fillId="0" borderId="90" xfId="0" quotePrefix="1" applyFont="1" applyBorder="1" applyAlignment="1">
      <alignment horizontal="center" vertical="center"/>
    </xf>
    <xf numFmtId="0" fontId="3" fillId="0" borderId="45" xfId="110" applyBorder="1"/>
    <xf numFmtId="0" fontId="115" fillId="0" borderId="128" xfId="110" applyFont="1" applyBorder="1"/>
    <xf numFmtId="0" fontId="3" fillId="0" borderId="128" xfId="110" applyBorder="1"/>
    <xf numFmtId="4" fontId="3" fillId="0" borderId="128" xfId="110" applyNumberFormat="1" applyBorder="1"/>
    <xf numFmtId="4" fontId="3" fillId="0" borderId="47" xfId="110" applyNumberFormat="1" applyBorder="1"/>
    <xf numFmtId="0" fontId="3" fillId="0" borderId="0" xfId="110"/>
    <xf numFmtId="0" fontId="3" fillId="0" borderId="130" xfId="110" applyBorder="1"/>
    <xf numFmtId="0" fontId="115" fillId="0" borderId="0" xfId="110" applyFont="1"/>
    <xf numFmtId="4" fontId="3" fillId="0" borderId="0" xfId="110" applyNumberFormat="1"/>
    <xf numFmtId="4" fontId="3" fillId="0" borderId="131" xfId="110" applyNumberFormat="1" applyBorder="1"/>
    <xf numFmtId="0" fontId="115" fillId="0" borderId="63" xfId="110" applyFont="1" applyBorder="1"/>
    <xf numFmtId="0" fontId="3" fillId="0" borderId="115" xfId="110" applyBorder="1"/>
    <xf numFmtId="4" fontId="3" fillId="0" borderId="115" xfId="110" applyNumberFormat="1" applyBorder="1"/>
    <xf numFmtId="4" fontId="3" fillId="0" borderId="65" xfId="110" applyNumberFormat="1" applyBorder="1"/>
    <xf numFmtId="0" fontId="3" fillId="0" borderId="73" xfId="110" applyBorder="1" applyAlignment="1">
      <alignment horizontal="center" vertical="center"/>
    </xf>
    <xf numFmtId="0" fontId="3" fillId="0" borderId="73" xfId="110" applyBorder="1"/>
    <xf numFmtId="4" fontId="3" fillId="0" borderId="73" xfId="110" applyNumberFormat="1" applyBorder="1"/>
    <xf numFmtId="0" fontId="3" fillId="0" borderId="38" xfId="110" applyBorder="1" applyAlignment="1">
      <alignment horizontal="center" vertical="center"/>
    </xf>
    <xf numFmtId="0" fontId="115" fillId="0" borderId="38" xfId="110" applyFont="1" applyBorder="1" applyAlignment="1">
      <alignment vertical="center" wrapText="1"/>
    </xf>
    <xf numFmtId="4" fontId="3" fillId="0" borderId="38" xfId="110" applyNumberFormat="1" applyBorder="1" applyAlignment="1">
      <alignment horizontal="center" vertical="center"/>
    </xf>
    <xf numFmtId="4" fontId="3" fillId="0" borderId="38" xfId="110" applyNumberFormat="1" applyBorder="1" applyAlignment="1">
      <alignment vertical="center"/>
    </xf>
    <xf numFmtId="4" fontId="3" fillId="0" borderId="38" xfId="110" applyNumberFormat="1" applyBorder="1"/>
    <xf numFmtId="0" fontId="3" fillId="0" borderId="38" xfId="110" applyBorder="1" applyAlignment="1">
      <alignment horizontal="right" vertical="center"/>
    </xf>
    <xf numFmtId="0" fontId="92" fillId="0" borderId="38" xfId="110" applyFont="1" applyBorder="1" applyAlignment="1">
      <alignment vertical="center" wrapText="1"/>
    </xf>
    <xf numFmtId="4" fontId="3" fillId="0" borderId="38" xfId="110" applyNumberFormat="1" applyBorder="1" applyAlignment="1">
      <alignment horizontal="right" vertical="center"/>
    </xf>
    <xf numFmtId="0" fontId="92" fillId="0" borderId="38" xfId="110" applyFont="1" applyBorder="1" applyAlignment="1">
      <alignment horizontal="left" vertical="center" wrapText="1"/>
    </xf>
    <xf numFmtId="0" fontId="3" fillId="0" borderId="82" xfId="110" applyBorder="1" applyAlignment="1">
      <alignment horizontal="center" vertical="center"/>
    </xf>
    <xf numFmtId="0" fontId="3" fillId="0" borderId="82" xfId="110" applyBorder="1"/>
    <xf numFmtId="4" fontId="116" fillId="0" borderId="82" xfId="110" applyNumberFormat="1" applyFont="1" applyBorder="1"/>
    <xf numFmtId="4" fontId="3" fillId="0" borderId="82" xfId="110" applyNumberFormat="1" applyBorder="1"/>
    <xf numFmtId="0" fontId="3" fillId="32" borderId="61" xfId="110" applyFill="1" applyBorder="1" applyAlignment="1">
      <alignment horizontal="center" vertical="center"/>
    </xf>
    <xf numFmtId="0" fontId="112" fillId="32" borderId="61" xfId="110" applyFont="1" applyFill="1" applyBorder="1" applyAlignment="1">
      <alignment vertical="center" wrapText="1"/>
    </xf>
    <xf numFmtId="0" fontId="112" fillId="32" borderId="61" xfId="110" applyFont="1" applyFill="1" applyBorder="1" applyAlignment="1">
      <alignment horizontal="center" vertical="center"/>
    </xf>
    <xf numFmtId="4" fontId="112" fillId="32" borderId="61" xfId="110" applyNumberFormat="1" applyFont="1" applyFill="1" applyBorder="1" applyAlignment="1">
      <alignment vertical="center"/>
    </xf>
    <xf numFmtId="9" fontId="3" fillId="0" borderId="38" xfId="129" applyFont="1" applyBorder="1" applyAlignment="1">
      <alignment horizontal="center" vertical="center"/>
    </xf>
    <xf numFmtId="4" fontId="3" fillId="0" borderId="38" xfId="110" applyNumberFormat="1" applyBorder="1" applyAlignment="1">
      <alignment vertical="center" wrapText="1"/>
    </xf>
    <xf numFmtId="0" fontId="109" fillId="0" borderId="45" xfId="110" applyFont="1" applyBorder="1" applyAlignment="1">
      <alignment horizontal="left"/>
    </xf>
    <xf numFmtId="0" fontId="109" fillId="0" borderId="128" xfId="110" applyFont="1" applyBorder="1"/>
    <xf numFmtId="4" fontId="109" fillId="0" borderId="128" xfId="110" applyNumberFormat="1" applyFont="1" applyBorder="1"/>
    <xf numFmtId="4" fontId="109" fillId="0" borderId="47" xfId="110" applyNumberFormat="1" applyFont="1" applyBorder="1"/>
    <xf numFmtId="0" fontId="109" fillId="0" borderId="0" xfId="110" applyFont="1"/>
    <xf numFmtId="0" fontId="109" fillId="0" borderId="130" xfId="110" applyFont="1" applyBorder="1" applyAlignment="1">
      <alignment horizontal="left"/>
    </xf>
    <xf numFmtId="4" fontId="109" fillId="0" borderId="0" xfId="110" applyNumberFormat="1" applyFont="1"/>
    <xf numFmtId="4" fontId="109" fillId="0" borderId="131" xfId="110" applyNumberFormat="1" applyFont="1" applyBorder="1"/>
    <xf numFmtId="0" fontId="109" fillId="0" borderId="130" xfId="110" applyFont="1" applyBorder="1" applyAlignment="1">
      <alignment horizontal="center"/>
    </xf>
    <xf numFmtId="0" fontId="115" fillId="0" borderId="63" xfId="110" applyFont="1" applyBorder="1" applyAlignment="1">
      <alignment horizontal="center"/>
    </xf>
    <xf numFmtId="0" fontId="109" fillId="0" borderId="115" xfId="110" applyFont="1" applyBorder="1"/>
    <xf numFmtId="4" fontId="109" fillId="0" borderId="115" xfId="110" applyNumberFormat="1" applyFont="1" applyBorder="1"/>
    <xf numFmtId="4" fontId="109" fillId="0" borderId="65" xfId="110" applyNumberFormat="1" applyFont="1" applyBorder="1"/>
    <xf numFmtId="0" fontId="112" fillId="0" borderId="3" xfId="110" applyFont="1" applyBorder="1" applyAlignment="1">
      <alignment horizontal="center" vertical="center" wrapText="1"/>
    </xf>
    <xf numFmtId="0" fontId="112" fillId="0" borderId="3" xfId="110" applyFont="1" applyBorder="1" applyAlignment="1">
      <alignment horizontal="center" vertical="center"/>
    </xf>
    <xf numFmtId="4" fontId="112" fillId="0" borderId="3" xfId="110" applyNumberFormat="1" applyFont="1" applyBorder="1" applyAlignment="1">
      <alignment horizontal="center" vertical="center" wrapText="1"/>
    </xf>
    <xf numFmtId="4" fontId="112" fillId="0" borderId="3" xfId="110" applyNumberFormat="1" applyFont="1" applyBorder="1" applyAlignment="1">
      <alignment horizontal="center" vertical="center"/>
    </xf>
    <xf numFmtId="0" fontId="109" fillId="0" borderId="73" xfId="110" applyFont="1" applyBorder="1" applyAlignment="1">
      <alignment horizontal="center" vertical="center"/>
    </xf>
    <xf numFmtId="0" fontId="109" fillId="0" borderId="73" xfId="110" applyFont="1" applyBorder="1"/>
    <xf numFmtId="4" fontId="109" fillId="0" borderId="73" xfId="110" applyNumberFormat="1" applyFont="1" applyBorder="1"/>
    <xf numFmtId="0" fontId="109" fillId="0" borderId="38" xfId="110" applyFont="1" applyBorder="1" applyAlignment="1">
      <alignment horizontal="center" vertical="center"/>
    </xf>
    <xf numFmtId="4" fontId="109" fillId="0" borderId="38" xfId="110" applyNumberFormat="1" applyFont="1" applyBorder="1" applyAlignment="1">
      <alignment horizontal="center" vertical="center"/>
    </xf>
    <xf numFmtId="4" fontId="109" fillId="0" borderId="38" xfId="110" applyNumberFormat="1" applyFont="1" applyBorder="1" applyAlignment="1">
      <alignment vertical="center"/>
    </xf>
    <xf numFmtId="4" fontId="109" fillId="0" borderId="38" xfId="110" applyNumberFormat="1" applyFont="1" applyBorder="1"/>
    <xf numFmtId="0" fontId="109" fillId="0" borderId="84" xfId="110" applyFont="1" applyBorder="1" applyAlignment="1">
      <alignment horizontal="center" vertical="center"/>
    </xf>
    <xf numFmtId="0" fontId="109" fillId="0" borderId="84" xfId="110" applyFont="1" applyBorder="1"/>
    <xf numFmtId="4" fontId="109" fillId="0" borderId="84" xfId="110" applyNumberFormat="1" applyFont="1" applyBorder="1"/>
    <xf numFmtId="0" fontId="109" fillId="0" borderId="38" xfId="110" quotePrefix="1" applyFont="1" applyBorder="1" applyAlignment="1">
      <alignment horizontal="center" vertical="center"/>
    </xf>
    <xf numFmtId="0" fontId="109" fillId="0" borderId="38" xfId="110" applyFont="1" applyBorder="1" applyAlignment="1">
      <alignment vertical="center" wrapText="1"/>
    </xf>
    <xf numFmtId="0" fontId="92" fillId="0" borderId="38" xfId="110" applyFont="1" applyBorder="1" applyAlignment="1">
      <alignment horizontal="center" vertical="center" wrapText="1"/>
    </xf>
    <xf numFmtId="2" fontId="92" fillId="0" borderId="38" xfId="110" applyNumberFormat="1" applyFont="1" applyBorder="1" applyAlignment="1">
      <alignment horizontal="center" vertical="center" wrapText="1"/>
    </xf>
    <xf numFmtId="4" fontId="109" fillId="0" borderId="38" xfId="110" applyNumberFormat="1" applyFont="1" applyBorder="1" applyAlignment="1">
      <alignment horizontal="right" vertical="center"/>
    </xf>
    <xf numFmtId="4" fontId="109" fillId="0" borderId="38" xfId="110" quotePrefix="1" applyNumberFormat="1" applyFont="1" applyBorder="1" applyAlignment="1">
      <alignment horizontal="right" vertical="center"/>
    </xf>
    <xf numFmtId="0" fontId="109" fillId="0" borderId="82" xfId="110" applyFont="1" applyBorder="1" applyAlignment="1">
      <alignment horizontal="center" vertical="center"/>
    </xf>
    <xf numFmtId="0" fontId="109" fillId="0" borderId="82" xfId="110" applyFont="1" applyBorder="1"/>
    <xf numFmtId="4" fontId="109" fillId="0" borderId="82" xfId="110" applyNumberFormat="1" applyFont="1" applyBorder="1"/>
    <xf numFmtId="0" fontId="109" fillId="32" borderId="61" xfId="110" applyFont="1" applyFill="1" applyBorder="1" applyAlignment="1">
      <alignment horizontal="center" vertical="center"/>
    </xf>
    <xf numFmtId="0" fontId="109" fillId="0" borderId="0" xfId="110" applyFont="1" applyAlignment="1">
      <alignment vertical="center"/>
    </xf>
    <xf numFmtId="0" fontId="109" fillId="0" borderId="128" xfId="110" applyFont="1" applyBorder="1" applyAlignment="1">
      <alignment horizontal="center"/>
    </xf>
    <xf numFmtId="0" fontId="109" fillId="0" borderId="0" xfId="110" applyFont="1" applyAlignment="1">
      <alignment horizontal="center"/>
    </xf>
    <xf numFmtId="4" fontId="58" fillId="0" borderId="3" xfId="110" applyNumberFormat="1" applyFont="1" applyBorder="1" applyAlignment="1">
      <alignment horizontal="center" vertical="center" wrapText="1"/>
    </xf>
    <xf numFmtId="0" fontId="58" fillId="0" borderId="3" xfId="110" applyFont="1" applyBorder="1" applyAlignment="1">
      <alignment horizontal="center" vertical="center" wrapText="1"/>
    </xf>
    <xf numFmtId="0" fontId="58" fillId="0" borderId="3" xfId="110" applyFont="1" applyBorder="1" applyAlignment="1">
      <alignment horizontal="center" vertical="center"/>
    </xf>
    <xf numFmtId="4" fontId="58" fillId="0" borderId="3" xfId="110" applyNumberFormat="1" applyFont="1" applyBorder="1" applyAlignment="1">
      <alignment horizontal="center" vertical="center"/>
    </xf>
    <xf numFmtId="4" fontId="58" fillId="0" borderId="38" xfId="110" applyNumberFormat="1" applyFont="1" applyBorder="1" applyAlignment="1">
      <alignment horizontal="right" vertical="center"/>
    </xf>
    <xf numFmtId="0" fontId="122" fillId="0" borderId="73" xfId="0" applyFont="1" applyBorder="1" applyAlignment="1">
      <alignment horizontal="center" vertical="center" wrapText="1"/>
    </xf>
    <xf numFmtId="0" fontId="123" fillId="0" borderId="84" xfId="0" quotePrefix="1" applyFont="1" applyBorder="1" applyAlignment="1">
      <alignment horizontal="center" vertical="center" wrapText="1"/>
    </xf>
    <xf numFmtId="0" fontId="119" fillId="0" borderId="84" xfId="0" quotePrefix="1" applyFont="1" applyBorder="1" applyAlignment="1">
      <alignment horizontal="center" vertical="center" wrapText="1"/>
    </xf>
    <xf numFmtId="0" fontId="121" fillId="0" borderId="89" xfId="0" quotePrefix="1" applyFont="1" applyBorder="1" applyAlignment="1">
      <alignment horizontal="center" vertical="center" wrapText="1"/>
    </xf>
    <xf numFmtId="0" fontId="121" fillId="0" borderId="89" xfId="0" quotePrefix="1" applyFont="1" applyBorder="1" applyAlignment="1">
      <alignment horizontal="center" vertical="center"/>
    </xf>
    <xf numFmtId="0" fontId="121" fillId="0" borderId="38" xfId="0" quotePrefix="1" applyFont="1" applyBorder="1" applyAlignment="1">
      <alignment horizontal="center" vertical="center"/>
    </xf>
    <xf numFmtId="0" fontId="124" fillId="0" borderId="89" xfId="0" quotePrefix="1" applyFont="1" applyBorder="1" applyAlignment="1">
      <alignment horizontal="center" vertical="center"/>
    </xf>
    <xf numFmtId="43" fontId="99" fillId="29" borderId="114" xfId="43" applyFont="1" applyFill="1" applyBorder="1" applyAlignment="1">
      <alignment horizontal="center" vertical="center" wrapText="1"/>
    </xf>
    <xf numFmtId="0" fontId="125" fillId="0" borderId="0" xfId="0" applyFont="1" applyAlignment="1">
      <alignment vertical="center"/>
    </xf>
    <xf numFmtId="4" fontId="125" fillId="0" borderId="0" xfId="0" applyNumberFormat="1" applyFont="1" applyAlignment="1">
      <alignment vertical="center"/>
    </xf>
    <xf numFmtId="43" fontId="95" fillId="0" borderId="0" xfId="43" applyFont="1" applyAlignment="1">
      <alignment horizontal="center"/>
    </xf>
    <xf numFmtId="43" fontId="102" fillId="0" borderId="0" xfId="43" applyFont="1" applyAlignment="1">
      <alignment horizontal="center"/>
    </xf>
    <xf numFmtId="9" fontId="112" fillId="32" borderId="61" xfId="129" applyFont="1" applyFill="1" applyBorder="1" applyAlignment="1">
      <alignment horizontal="center" vertical="center"/>
    </xf>
    <xf numFmtId="0" fontId="126" fillId="34" borderId="84" xfId="0" applyFont="1" applyFill="1" applyBorder="1" applyAlignment="1">
      <alignment horizontal="center" shrinkToFit="1"/>
    </xf>
    <xf numFmtId="0" fontId="109" fillId="35" borderId="84" xfId="0" applyFont="1" applyFill="1" applyBorder="1" applyAlignment="1">
      <alignment horizontal="center" vertical="center"/>
    </xf>
    <xf numFmtId="0" fontId="109" fillId="35" borderId="84" xfId="0" applyFont="1" applyFill="1" applyBorder="1" applyAlignment="1">
      <alignment horizontal="center"/>
    </xf>
    <xf numFmtId="0" fontId="109" fillId="35" borderId="84" xfId="0" quotePrefix="1" applyFont="1" applyFill="1" applyBorder="1" applyAlignment="1">
      <alignment horizontal="center" vertical="center"/>
    </xf>
    <xf numFmtId="188" fontId="109" fillId="35" borderId="84" xfId="0" applyNumberFormat="1" applyFont="1" applyFill="1" applyBorder="1" applyAlignment="1">
      <alignment horizontal="center" vertical="center"/>
    </xf>
    <xf numFmtId="188" fontId="109" fillId="35" borderId="84" xfId="0" quotePrefix="1" applyNumberFormat="1" applyFont="1" applyFill="1" applyBorder="1" applyAlignment="1">
      <alignment horizontal="center" vertical="center"/>
    </xf>
    <xf numFmtId="0" fontId="113" fillId="35" borderId="84" xfId="0" applyFont="1" applyFill="1" applyBorder="1" applyAlignment="1">
      <alignment horizontal="center" wrapText="1"/>
    </xf>
    <xf numFmtId="9" fontId="109" fillId="35" borderId="84" xfId="0" applyNumberFormat="1" applyFont="1" applyFill="1" applyBorder="1" applyAlignment="1">
      <alignment horizontal="center" vertical="center"/>
    </xf>
    <xf numFmtId="0" fontId="109" fillId="0" borderId="39" xfId="0" applyFont="1" applyBorder="1" applyAlignment="1">
      <alignment horizontal="center" vertical="center"/>
    </xf>
    <xf numFmtId="9" fontId="109" fillId="0" borderId="39" xfId="129" applyFont="1" applyFill="1" applyBorder="1" applyAlignment="1">
      <alignment horizontal="center" vertical="center"/>
    </xf>
    <xf numFmtId="9" fontId="109" fillId="0" borderId="39" xfId="0" applyNumberFormat="1" applyFont="1" applyBorder="1" applyAlignment="1">
      <alignment horizontal="center" vertical="center"/>
    </xf>
    <xf numFmtId="0" fontId="103" fillId="0" borderId="108" xfId="0" quotePrefix="1" applyFont="1" applyBorder="1" applyAlignment="1">
      <alignment horizontal="center" vertical="center" shrinkToFit="1"/>
    </xf>
    <xf numFmtId="0" fontId="121" fillId="0" borderId="38" xfId="0" quotePrefix="1" applyFont="1" applyBorder="1" applyAlignment="1">
      <alignment horizontal="center" vertical="center" wrapText="1"/>
    </xf>
    <xf numFmtId="0" fontId="103" fillId="0" borderId="38" xfId="0" quotePrefix="1" applyFont="1" applyBorder="1" applyAlignment="1">
      <alignment horizontal="center" vertical="center" shrinkToFit="1"/>
    </xf>
    <xf numFmtId="0" fontId="126" fillId="0" borderId="84" xfId="0" applyFont="1" applyBorder="1" applyAlignment="1">
      <alignment horizontal="center" shrinkToFit="1"/>
    </xf>
    <xf numFmtId="0" fontId="113" fillId="0" borderId="84" xfId="0" quotePrefix="1" applyFont="1" applyBorder="1" applyAlignment="1">
      <alignment horizontal="center" vertical="center" wrapText="1"/>
    </xf>
    <xf numFmtId="0" fontId="114" fillId="0" borderId="84" xfId="0" quotePrefix="1" applyFont="1" applyBorder="1" applyAlignment="1">
      <alignment horizontal="center" vertical="center" wrapText="1"/>
    </xf>
    <xf numFmtId="9" fontId="75" fillId="0" borderId="38" xfId="129" applyFont="1" applyFill="1" applyBorder="1" applyAlignment="1">
      <alignment horizontal="center" vertical="center"/>
    </xf>
    <xf numFmtId="9" fontId="116" fillId="0" borderId="84" xfId="0" applyNumberFormat="1" applyFont="1" applyBorder="1" applyAlignment="1">
      <alignment horizontal="center" vertical="center"/>
    </xf>
    <xf numFmtId="0" fontId="114" fillId="0" borderId="84" xfId="0" quotePrefix="1" applyFont="1" applyBorder="1" applyAlignment="1">
      <alignment horizontal="center" vertical="center" shrinkToFit="1"/>
    </xf>
    <xf numFmtId="43" fontId="99" fillId="26" borderId="116" xfId="43" applyFont="1" applyFill="1" applyBorder="1" applyAlignment="1">
      <alignment horizontal="center" vertical="center" wrapText="1"/>
    </xf>
    <xf numFmtId="0" fontId="99" fillId="0" borderId="132" xfId="0" applyFont="1" applyBorder="1" applyAlignment="1">
      <alignment horizontal="center" vertical="center" wrapText="1"/>
    </xf>
    <xf numFmtId="0" fontId="125" fillId="0" borderId="132" xfId="0" applyFont="1" applyBorder="1" applyAlignment="1">
      <alignment vertical="center"/>
    </xf>
    <xf numFmtId="0" fontId="99" fillId="0" borderId="132" xfId="0" applyFont="1" applyBorder="1" applyAlignment="1">
      <alignment vertical="center"/>
    </xf>
    <xf numFmtId="0" fontId="109" fillId="0" borderId="84" xfId="0" applyFont="1" applyBorder="1" applyAlignment="1">
      <alignment horizontal="center" shrinkToFit="1"/>
    </xf>
    <xf numFmtId="0" fontId="127" fillId="0" borderId="84" xfId="0" quotePrefix="1" applyFont="1" applyBorder="1" applyAlignment="1">
      <alignment horizontal="center" vertical="center"/>
    </xf>
    <xf numFmtId="0" fontId="109" fillId="0" borderId="38" xfId="0" applyFont="1" applyBorder="1" applyAlignment="1">
      <alignment horizontal="center" vertical="center" wrapText="1"/>
    </xf>
    <xf numFmtId="9" fontId="106" fillId="36" borderId="110" xfId="129" applyFont="1" applyFill="1" applyBorder="1" applyAlignment="1">
      <alignment horizontal="center"/>
    </xf>
    <xf numFmtId="0" fontId="103" fillId="0" borderId="133" xfId="0" applyFont="1" applyBorder="1" applyAlignment="1">
      <alignment horizontal="center" vertical="center"/>
    </xf>
    <xf numFmtId="0" fontId="103" fillId="0" borderId="87" xfId="0" applyFont="1" applyBorder="1" applyAlignment="1">
      <alignment horizontal="center" vertical="center"/>
    </xf>
    <xf numFmtId="0" fontId="103" fillId="0" borderId="134" xfId="0" applyFont="1" applyBorder="1" applyAlignment="1">
      <alignment horizontal="center" vertical="center"/>
    </xf>
    <xf numFmtId="0" fontId="103" fillId="0" borderId="117" xfId="0" applyFont="1" applyBorder="1" applyAlignment="1">
      <alignment horizontal="center" vertical="center"/>
    </xf>
    <xf numFmtId="0" fontId="103" fillId="0" borderId="135" xfId="0" applyFont="1" applyBorder="1" applyAlignment="1">
      <alignment horizontal="center" vertical="center"/>
    </xf>
    <xf numFmtId="0" fontId="103" fillId="0" borderId="84" xfId="0" applyFont="1" applyBorder="1" applyAlignment="1">
      <alignment horizontal="center" vertical="center"/>
    </xf>
    <xf numFmtId="0" fontId="103" fillId="0" borderId="129" xfId="0" applyFont="1" applyBorder="1" applyAlignment="1">
      <alignment horizontal="center" vertical="center"/>
    </xf>
    <xf numFmtId="0" fontId="103" fillId="0" borderId="135" xfId="0" quotePrefix="1" applyFont="1" applyBorder="1" applyAlignment="1">
      <alignment horizontal="center" vertical="center"/>
    </xf>
    <xf numFmtId="0" fontId="109" fillId="0" borderId="129" xfId="0" applyFont="1" applyBorder="1" applyAlignment="1">
      <alignment horizontal="center" vertical="center"/>
    </xf>
    <xf numFmtId="0" fontId="109" fillId="0" borderId="136" xfId="0" applyFont="1" applyBorder="1" applyAlignment="1">
      <alignment horizontal="center" vertical="center"/>
    </xf>
    <xf numFmtId="188" fontId="109" fillId="0" borderId="129" xfId="0" applyNumberFormat="1" applyFont="1" applyBorder="1" applyAlignment="1">
      <alignment horizontal="center" vertical="center"/>
    </xf>
    <xf numFmtId="188" fontId="109" fillId="0" borderId="136" xfId="0" applyNumberFormat="1" applyFont="1" applyBorder="1" applyAlignment="1">
      <alignment horizontal="center" vertical="center"/>
    </xf>
    <xf numFmtId="0" fontId="109" fillId="26" borderId="40" xfId="0" applyFont="1" applyFill="1" applyBorder="1" applyAlignment="1">
      <alignment horizontal="center" vertical="center"/>
    </xf>
    <xf numFmtId="9" fontId="109" fillId="0" borderId="137" xfId="129" applyFont="1" applyFill="1" applyBorder="1" applyAlignment="1">
      <alignment horizontal="center" vertical="center"/>
    </xf>
    <xf numFmtId="0" fontId="103" fillId="0" borderId="137" xfId="0" applyFont="1" applyBorder="1" applyAlignment="1">
      <alignment horizontal="center" vertical="center"/>
    </xf>
    <xf numFmtId="2" fontId="109" fillId="0" borderId="136" xfId="0" applyNumberFormat="1" applyFont="1" applyBorder="1" applyAlignment="1">
      <alignment horizontal="center" vertical="center"/>
    </xf>
    <xf numFmtId="9" fontId="109" fillId="0" borderId="137" xfId="0" applyNumberFormat="1" applyFont="1" applyBorder="1" applyAlignment="1">
      <alignment horizontal="center" vertical="center"/>
    </xf>
    <xf numFmtId="0" fontId="109" fillId="35" borderId="39" xfId="0" applyFont="1" applyFill="1" applyBorder="1" applyAlignment="1">
      <alignment horizontal="center" vertical="center"/>
    </xf>
    <xf numFmtId="9" fontId="109" fillId="35" borderId="39" xfId="0" applyNumberFormat="1" applyFont="1" applyFill="1" applyBorder="1" applyAlignment="1">
      <alignment horizontal="center" vertical="center"/>
    </xf>
    <xf numFmtId="9" fontId="116" fillId="0" borderId="137" xfId="129" applyFont="1" applyFill="1" applyBorder="1" applyAlignment="1">
      <alignment horizontal="center" vertical="center"/>
    </xf>
    <xf numFmtId="0" fontId="109" fillId="35" borderId="129" xfId="0" quotePrefix="1" applyFont="1" applyFill="1" applyBorder="1" applyAlignment="1">
      <alignment horizontal="center" vertical="center"/>
    </xf>
    <xf numFmtId="9" fontId="109" fillId="0" borderId="138" xfId="129" applyFont="1" applyFill="1" applyBorder="1" applyAlignment="1">
      <alignment horizontal="center" vertical="center"/>
    </xf>
    <xf numFmtId="0" fontId="109" fillId="0" borderId="38" xfId="0" applyFont="1" applyBorder="1" applyAlignment="1">
      <alignment horizontal="center" vertical="center"/>
    </xf>
    <xf numFmtId="188" fontId="109" fillId="35" borderId="129" xfId="0" quotePrefix="1" applyNumberFormat="1" applyFont="1" applyFill="1" applyBorder="1" applyAlignment="1">
      <alignment horizontal="center" vertical="center"/>
    </xf>
    <xf numFmtId="188" fontId="109" fillId="35" borderId="136" xfId="0" quotePrefix="1" applyNumberFormat="1" applyFont="1" applyFill="1" applyBorder="1" applyAlignment="1">
      <alignment horizontal="center" vertical="center"/>
    </xf>
    <xf numFmtId="0" fontId="103" fillId="0" borderId="137" xfId="0" applyFont="1" applyBorder="1" applyAlignment="1">
      <alignment horizontal="left" vertical="center"/>
    </xf>
    <xf numFmtId="9" fontId="106" fillId="0" borderId="38" xfId="129" applyFont="1" applyFill="1" applyBorder="1" applyAlignment="1">
      <alignment horizontal="center"/>
    </xf>
    <xf numFmtId="3" fontId="127" fillId="0" borderId="84" xfId="0" quotePrefix="1" applyNumberFormat="1" applyFont="1" applyBorder="1" applyAlignment="1">
      <alignment horizontal="center" vertical="center"/>
    </xf>
    <xf numFmtId="0" fontId="109" fillId="0" borderId="117" xfId="0" applyFont="1" applyBorder="1" applyAlignment="1">
      <alignment horizontal="center" vertical="center" wrapText="1"/>
    </xf>
    <xf numFmtId="9" fontId="109" fillId="29" borderId="38" xfId="129" applyFont="1" applyFill="1" applyBorder="1" applyAlignment="1">
      <alignment horizontal="center" vertical="center"/>
    </xf>
    <xf numFmtId="192" fontId="99" fillId="26" borderId="139" xfId="43" applyNumberFormat="1" applyFont="1" applyFill="1" applyBorder="1" applyAlignment="1">
      <alignment horizontal="center" vertical="center" wrapText="1"/>
    </xf>
    <xf numFmtId="43" fontId="99" fillId="26" borderId="3" xfId="43" applyFont="1" applyFill="1" applyBorder="1" applyAlignment="1">
      <alignment horizontal="center" vertical="center" wrapText="1"/>
    </xf>
    <xf numFmtId="192" fontId="99" fillId="29" borderId="100" xfId="43" applyNumberFormat="1" applyFont="1" applyFill="1" applyBorder="1" applyAlignment="1">
      <alignment horizontal="center" vertical="center" wrapText="1"/>
    </xf>
    <xf numFmtId="0" fontId="99" fillId="0" borderId="12" xfId="0" applyFont="1" applyBorder="1" applyAlignment="1">
      <alignment horizontal="center" vertical="center" wrapText="1"/>
    </xf>
    <xf numFmtId="0" fontId="99" fillId="0" borderId="140" xfId="0" applyFont="1" applyBorder="1" applyAlignment="1">
      <alignment horizontal="center" vertical="center" wrapText="1"/>
    </xf>
    <xf numFmtId="0" fontId="125" fillId="0" borderId="140" xfId="0" applyFont="1" applyBorder="1" applyAlignment="1">
      <alignment vertical="center"/>
    </xf>
    <xf numFmtId="0" fontId="99" fillId="0" borderId="140" xfId="0" applyFont="1" applyBorder="1" applyAlignment="1">
      <alignment vertical="center"/>
    </xf>
    <xf numFmtId="0" fontId="109" fillId="29" borderId="84" xfId="0" quotePrefix="1" applyFont="1" applyFill="1" applyBorder="1" applyAlignment="1">
      <alignment horizontal="center" vertical="center" shrinkToFit="1"/>
    </xf>
    <xf numFmtId="0" fontId="109" fillId="37" borderId="84" xfId="0" applyFont="1" applyFill="1" applyBorder="1" applyAlignment="1">
      <alignment horizontal="center" vertical="center"/>
    </xf>
    <xf numFmtId="0" fontId="3" fillId="37" borderId="89" xfId="0" applyFont="1" applyFill="1" applyBorder="1" applyAlignment="1">
      <alignment shrinkToFit="1"/>
    </xf>
    <xf numFmtId="0" fontId="109" fillId="37" borderId="3" xfId="0" applyFont="1" applyFill="1" applyBorder="1" applyAlignment="1">
      <alignment horizontal="center" vertical="center"/>
    </xf>
    <xf numFmtId="0" fontId="109" fillId="38" borderId="84" xfId="0" applyFont="1" applyFill="1" applyBorder="1" applyAlignment="1">
      <alignment horizontal="center" vertical="center"/>
    </xf>
    <xf numFmtId="0" fontId="109" fillId="38" borderId="3" xfId="0" applyFont="1" applyFill="1" applyBorder="1" applyAlignment="1">
      <alignment horizontal="center" vertical="center"/>
    </xf>
    <xf numFmtId="0" fontId="109" fillId="38" borderId="84" xfId="0" applyFont="1" applyFill="1" applyBorder="1" applyAlignment="1">
      <alignment horizontal="center"/>
    </xf>
    <xf numFmtId="0" fontId="113" fillId="38" borderId="84" xfId="0" applyFont="1" applyFill="1" applyBorder="1" applyAlignment="1">
      <alignment horizontal="center" wrapText="1"/>
    </xf>
    <xf numFmtId="0" fontId="109" fillId="39" borderId="84" xfId="0" applyFont="1" applyFill="1" applyBorder="1" applyAlignment="1">
      <alignment horizontal="center" vertical="center"/>
    </xf>
    <xf numFmtId="0" fontId="109" fillId="0" borderId="0" xfId="0" applyFont="1" applyAlignment="1">
      <alignment horizontal="right"/>
    </xf>
    <xf numFmtId="0" fontId="109" fillId="39" borderId="3" xfId="0" applyFont="1" applyFill="1" applyBorder="1"/>
    <xf numFmtId="9" fontId="109" fillId="29" borderId="137" xfId="129" applyFont="1" applyFill="1" applyBorder="1" applyAlignment="1">
      <alignment horizontal="center" vertical="center"/>
    </xf>
    <xf numFmtId="0" fontId="128" fillId="0" borderId="137" xfId="0" applyFont="1" applyBorder="1" applyAlignment="1">
      <alignment horizontal="center" vertical="center"/>
    </xf>
    <xf numFmtId="0" fontId="3" fillId="0" borderId="0" xfId="110" applyAlignment="1">
      <alignment vertical="center"/>
    </xf>
    <xf numFmtId="9" fontId="0" fillId="0" borderId="0" xfId="132" applyFont="1" applyAlignment="1">
      <alignment vertical="center"/>
    </xf>
    <xf numFmtId="0" fontId="129" fillId="0" borderId="0" xfId="110" applyFont="1" applyAlignment="1">
      <alignment vertical="center"/>
    </xf>
    <xf numFmtId="0" fontId="93" fillId="0" borderId="0" xfId="110" applyFont="1" applyAlignment="1">
      <alignment vertical="center"/>
    </xf>
    <xf numFmtId="165" fontId="3" fillId="0" borderId="0" xfId="110" applyNumberFormat="1" applyAlignment="1">
      <alignment horizontal="center" vertical="center"/>
    </xf>
    <xf numFmtId="0" fontId="130" fillId="0" borderId="0" xfId="110" applyFont="1" applyAlignment="1">
      <alignment horizontal="right" vertical="center"/>
    </xf>
    <xf numFmtId="180" fontId="130" fillId="0" borderId="0" xfId="110" applyNumberFormat="1" applyFont="1" applyAlignment="1">
      <alignment horizontal="left" vertical="center"/>
    </xf>
    <xf numFmtId="0" fontId="3" fillId="0" borderId="0" xfId="110" applyAlignment="1">
      <alignment horizontal="center" vertical="center"/>
    </xf>
    <xf numFmtId="0" fontId="93" fillId="0" borderId="0" xfId="110" applyFont="1" applyAlignment="1">
      <alignment horizontal="right" vertical="center"/>
    </xf>
    <xf numFmtId="0" fontId="129" fillId="0" borderId="0" xfId="110" applyFont="1" applyAlignment="1">
      <alignment horizontal="center" vertical="center"/>
    </xf>
    <xf numFmtId="165" fontId="93" fillId="0" borderId="0" xfId="110" applyNumberFormat="1" applyFont="1" applyAlignment="1">
      <alignment horizontal="center" vertical="center"/>
    </xf>
    <xf numFmtId="0" fontId="93" fillId="0" borderId="0" xfId="110" applyFont="1" applyAlignment="1">
      <alignment horizontal="center" vertical="center"/>
    </xf>
    <xf numFmtId="0" fontId="95" fillId="28" borderId="3" xfId="110" applyFont="1" applyFill="1" applyBorder="1" applyAlignment="1">
      <alignment horizontal="center" vertical="center" wrapText="1"/>
    </xf>
    <xf numFmtId="0" fontId="95" fillId="28" borderId="3" xfId="110" applyFont="1" applyFill="1" applyBorder="1" applyAlignment="1">
      <alignment horizontal="center" vertical="center"/>
    </xf>
    <xf numFmtId="0" fontId="131" fillId="28" borderId="3" xfId="110" applyFont="1" applyFill="1" applyBorder="1" applyAlignment="1">
      <alignment horizontal="center" vertical="center"/>
    </xf>
    <xf numFmtId="165" fontId="95" fillId="28" borderId="3" xfId="110" applyNumberFormat="1" applyFont="1" applyFill="1" applyBorder="1" applyAlignment="1">
      <alignment horizontal="center" vertical="center"/>
    </xf>
    <xf numFmtId="0" fontId="132" fillId="35" borderId="3" xfId="110" applyFont="1" applyFill="1" applyBorder="1" applyAlignment="1">
      <alignment horizontal="center" vertical="center"/>
    </xf>
    <xf numFmtId="0" fontId="3" fillId="0" borderId="73" xfId="110" applyBorder="1" applyAlignment="1">
      <alignment vertical="center"/>
    </xf>
    <xf numFmtId="165" fontId="3" fillId="0" borderId="73" xfId="110" applyNumberFormat="1" applyBorder="1" applyAlignment="1">
      <alignment horizontal="center" vertical="center"/>
    </xf>
    <xf numFmtId="0" fontId="133" fillId="35" borderId="73" xfId="110" applyFont="1" applyFill="1" applyBorder="1" applyAlignment="1">
      <alignment vertical="center"/>
    </xf>
    <xf numFmtId="4" fontId="133" fillId="35" borderId="73" xfId="110" applyNumberFormat="1" applyFont="1" applyFill="1" applyBorder="1" applyAlignment="1">
      <alignment vertical="center"/>
    </xf>
    <xf numFmtId="0" fontId="58" fillId="0" borderId="38" xfId="110" applyFont="1" applyBorder="1" applyAlignment="1">
      <alignment horizontal="center" vertical="center"/>
    </xf>
    <xf numFmtId="0" fontId="58" fillId="26" borderId="38" xfId="110" applyFont="1" applyFill="1" applyBorder="1" applyAlignment="1">
      <alignment vertical="center"/>
    </xf>
    <xf numFmtId="165" fontId="3" fillId="0" borderId="38" xfId="110" applyNumberFormat="1" applyBorder="1" applyAlignment="1">
      <alignment horizontal="center" vertical="center"/>
    </xf>
    <xf numFmtId="165" fontId="58" fillId="0" borderId="38" xfId="110" applyNumberFormat="1" applyFont="1" applyBorder="1" applyAlignment="1">
      <alignment horizontal="center" vertical="center"/>
    </xf>
    <xf numFmtId="165" fontId="58" fillId="26" borderId="38" xfId="110" applyNumberFormat="1" applyFont="1" applyFill="1" applyBorder="1" applyAlignment="1">
      <alignment horizontal="center" vertical="center"/>
    </xf>
    <xf numFmtId="0" fontId="133" fillId="35" borderId="38" xfId="110" applyFont="1" applyFill="1" applyBorder="1" applyAlignment="1">
      <alignment vertical="center"/>
    </xf>
    <xf numFmtId="4" fontId="134" fillId="35" borderId="38" xfId="110" applyNumberFormat="1" applyFont="1" applyFill="1" applyBorder="1" applyAlignment="1">
      <alignment vertical="center"/>
    </xf>
    <xf numFmtId="0" fontId="3" fillId="0" borderId="38" xfId="110" applyBorder="1" applyAlignment="1">
      <alignment vertical="center"/>
    </xf>
    <xf numFmtId="0" fontId="78" fillId="0" borderId="38" xfId="110" applyFont="1" applyBorder="1" applyAlignment="1">
      <alignment vertical="center" wrapText="1"/>
    </xf>
    <xf numFmtId="4" fontId="133" fillId="35" borderId="38" xfId="110" applyNumberFormat="1" applyFont="1" applyFill="1" applyBorder="1" applyAlignment="1">
      <alignment vertical="center"/>
    </xf>
    <xf numFmtId="0" fontId="64" fillId="0" borderId="38" xfId="110" applyFont="1" applyBorder="1" applyAlignment="1">
      <alignment vertical="center" wrapText="1"/>
    </xf>
    <xf numFmtId="0" fontId="3" fillId="0" borderId="38" xfId="110" applyBorder="1" applyAlignment="1">
      <alignment vertical="center" wrapText="1"/>
    </xf>
    <xf numFmtId="165" fontId="3" fillId="0" borderId="117" xfId="110" applyNumberFormat="1" applyBorder="1" applyAlignment="1">
      <alignment horizontal="center" vertical="center"/>
    </xf>
    <xf numFmtId="10" fontId="133" fillId="35" borderId="38" xfId="110" applyNumberFormat="1" applyFont="1" applyFill="1" applyBorder="1" applyAlignment="1">
      <alignment vertical="center"/>
    </xf>
    <xf numFmtId="165" fontId="58" fillId="0" borderId="117" xfId="110" applyNumberFormat="1" applyFont="1" applyBorder="1" applyAlignment="1">
      <alignment horizontal="center" vertical="center"/>
    </xf>
    <xf numFmtId="9" fontId="133" fillId="35" borderId="38" xfId="132" applyFont="1" applyFill="1" applyBorder="1" applyAlignment="1">
      <alignment vertical="center"/>
    </xf>
    <xf numFmtId="43" fontId="3" fillId="0" borderId="0" xfId="110" applyNumberFormat="1" applyAlignment="1">
      <alignment vertical="center"/>
    </xf>
    <xf numFmtId="10" fontId="133" fillId="35" borderId="38" xfId="132" applyNumberFormat="1" applyFont="1" applyFill="1" applyBorder="1" applyAlignment="1">
      <alignment vertical="center"/>
    </xf>
    <xf numFmtId="165" fontId="3" fillId="0" borderId="38" xfId="110" quotePrefix="1" applyNumberFormat="1" applyBorder="1" applyAlignment="1">
      <alignment horizontal="center" vertical="center"/>
    </xf>
    <xf numFmtId="165" fontId="3" fillId="0" borderId="0" xfId="110" applyNumberFormat="1" applyAlignment="1">
      <alignment vertical="center"/>
    </xf>
    <xf numFmtId="10" fontId="0" fillId="0" borderId="0" xfId="139" applyNumberFormat="1" applyFont="1" applyAlignment="1">
      <alignment vertical="center"/>
    </xf>
    <xf numFmtId="0" fontId="58" fillId="0" borderId="117" xfId="110" applyFont="1" applyBorder="1" applyAlignment="1">
      <alignment horizontal="center" vertical="center"/>
    </xf>
    <xf numFmtId="0" fontId="78" fillId="26" borderId="117" xfId="110" applyFont="1" applyFill="1" applyBorder="1" applyAlignment="1">
      <alignment vertical="center" wrapText="1"/>
    </xf>
    <xf numFmtId="0" fontId="3" fillId="0" borderId="117" xfId="110" applyBorder="1" applyAlignment="1">
      <alignment horizontal="center" vertical="center"/>
    </xf>
    <xf numFmtId="165" fontId="58" fillId="26" borderId="117" xfId="110" applyNumberFormat="1" applyFont="1" applyFill="1" applyBorder="1" applyAlignment="1">
      <alignment horizontal="center" vertical="center"/>
    </xf>
    <xf numFmtId="0" fontId="3" fillId="0" borderId="117" xfId="110" applyBorder="1" applyAlignment="1">
      <alignment vertical="center"/>
    </xf>
    <xf numFmtId="0" fontId="78" fillId="26" borderId="38" xfId="110" applyFont="1" applyFill="1" applyBorder="1" applyAlignment="1">
      <alignment vertical="center" wrapText="1"/>
    </xf>
    <xf numFmtId="0" fontId="3" fillId="0" borderId="117" xfId="110" applyBorder="1" applyAlignment="1">
      <alignment vertical="center" wrapText="1"/>
    </xf>
    <xf numFmtId="0" fontId="64" fillId="0" borderId="117" xfId="110" applyFont="1" applyBorder="1" applyAlignment="1">
      <alignment vertical="center" wrapText="1"/>
    </xf>
    <xf numFmtId="0" fontId="3" fillId="0" borderId="82" xfId="110" applyBorder="1" applyAlignment="1">
      <alignment vertical="center"/>
    </xf>
    <xf numFmtId="165" fontId="3" fillId="0" borderId="82" xfId="110" applyNumberFormat="1" applyBorder="1" applyAlignment="1">
      <alignment horizontal="center" vertical="center"/>
    </xf>
    <xf numFmtId="165" fontId="3" fillId="0" borderId="82" xfId="110" applyNumberFormat="1" applyBorder="1" applyAlignment="1">
      <alignment horizontal="right" vertical="center"/>
    </xf>
    <xf numFmtId="10" fontId="133" fillId="35" borderId="117" xfId="110" applyNumberFormat="1" applyFont="1" applyFill="1" applyBorder="1" applyAlignment="1">
      <alignment vertical="center"/>
    </xf>
    <xf numFmtId="4" fontId="133" fillId="35" borderId="117" xfId="110" applyNumberFormat="1" applyFont="1" applyFill="1" applyBorder="1" applyAlignment="1">
      <alignment vertical="center"/>
    </xf>
    <xf numFmtId="0" fontId="60" fillId="0" borderId="61" xfId="110" applyFont="1" applyBorder="1" applyAlignment="1">
      <alignment horizontal="center" vertical="center"/>
    </xf>
    <xf numFmtId="0" fontId="60" fillId="0" borderId="61" xfId="110" applyFont="1" applyBorder="1" applyAlignment="1">
      <alignment vertical="center"/>
    </xf>
    <xf numFmtId="165" fontId="131" fillId="0" borderId="61" xfId="50" applyNumberFormat="1" applyFont="1" applyFill="1" applyBorder="1" applyAlignment="1">
      <alignment horizontal="right" vertical="center"/>
    </xf>
    <xf numFmtId="10" fontId="133" fillId="35" borderId="3" xfId="110" applyNumberFormat="1" applyFont="1" applyFill="1" applyBorder="1" applyAlignment="1">
      <alignment vertical="center"/>
    </xf>
    <xf numFmtId="4" fontId="134" fillId="35" borderId="3" xfId="110" applyNumberFormat="1" applyFont="1" applyFill="1" applyBorder="1" applyAlignment="1">
      <alignment vertical="center"/>
    </xf>
    <xf numFmtId="0" fontId="3" fillId="0" borderId="40" xfId="110" applyBorder="1" applyAlignment="1">
      <alignment vertical="center"/>
    </xf>
    <xf numFmtId="0" fontId="3" fillId="0" borderId="40" xfId="110" applyBorder="1" applyAlignment="1">
      <alignment horizontal="center" vertical="center"/>
    </xf>
    <xf numFmtId="165" fontId="3" fillId="0" borderId="40" xfId="110" applyNumberFormat="1" applyBorder="1" applyAlignment="1">
      <alignment horizontal="center" vertical="center"/>
    </xf>
    <xf numFmtId="165" fontId="131" fillId="0" borderId="40" xfId="50" applyNumberFormat="1" applyFont="1" applyFill="1" applyBorder="1" applyAlignment="1">
      <alignment horizontal="right" vertical="center"/>
    </xf>
    <xf numFmtId="10" fontId="133" fillId="35" borderId="39" xfId="110" applyNumberFormat="1" applyFont="1" applyFill="1" applyBorder="1" applyAlignment="1">
      <alignment vertical="center"/>
    </xf>
    <xf numFmtId="4" fontId="133" fillId="35" borderId="39" xfId="110" applyNumberFormat="1" applyFont="1" applyFill="1" applyBorder="1" applyAlignment="1">
      <alignment vertical="center"/>
    </xf>
    <xf numFmtId="0" fontId="76" fillId="0" borderId="3" xfId="110" applyFont="1" applyBorder="1" applyAlignment="1">
      <alignment vertical="center"/>
    </xf>
    <xf numFmtId="0" fontId="131" fillId="0" borderId="3" xfId="110" applyFont="1" applyBorder="1" applyAlignment="1">
      <alignment vertical="center"/>
    </xf>
    <xf numFmtId="0" fontId="76" fillId="0" borderId="3" xfId="110" applyFont="1" applyBorder="1" applyAlignment="1">
      <alignment horizontal="center" vertical="center"/>
    </xf>
    <xf numFmtId="165" fontId="131" fillId="0" borderId="3" xfId="110" applyNumberFormat="1" applyFont="1" applyBorder="1" applyAlignment="1">
      <alignment horizontal="center" vertical="center"/>
    </xf>
    <xf numFmtId="165" fontId="131" fillId="26" borderId="3" xfId="110" applyNumberFormat="1" applyFont="1" applyFill="1" applyBorder="1" applyAlignment="1">
      <alignment horizontal="center" vertical="center"/>
    </xf>
    <xf numFmtId="0" fontId="76" fillId="0" borderId="0" xfId="110" applyFont="1" applyAlignment="1">
      <alignment vertical="center"/>
    </xf>
    <xf numFmtId="0" fontId="76" fillId="0" borderId="0" xfId="110" applyFont="1" applyAlignment="1">
      <alignment horizontal="center" vertical="center"/>
    </xf>
    <xf numFmtId="0" fontId="3" fillId="0" borderId="61" xfId="110" applyBorder="1" applyAlignment="1">
      <alignment vertical="center"/>
    </xf>
    <xf numFmtId="0" fontId="3" fillId="0" borderId="61" xfId="110" applyBorder="1" applyAlignment="1">
      <alignment horizontal="center" vertical="center"/>
    </xf>
    <xf numFmtId="165" fontId="3" fillId="0" borderId="61" xfId="110" applyNumberFormat="1" applyBorder="1" applyAlignment="1">
      <alignment horizontal="center" vertical="center"/>
    </xf>
    <xf numFmtId="10" fontId="133" fillId="35" borderId="84" xfId="110" applyNumberFormat="1" applyFont="1" applyFill="1" applyBorder="1" applyAlignment="1">
      <alignment vertical="center"/>
    </xf>
    <xf numFmtId="4" fontId="133" fillId="35" borderId="84" xfId="110" applyNumberFormat="1" applyFont="1" applyFill="1" applyBorder="1" applyAlignment="1">
      <alignment vertical="center"/>
    </xf>
    <xf numFmtId="0" fontId="112" fillId="0" borderId="141" xfId="0" applyFont="1" applyBorder="1" applyAlignment="1">
      <alignment horizontal="center" vertical="center"/>
    </xf>
    <xf numFmtId="0" fontId="109" fillId="0" borderId="142" xfId="0" applyFont="1" applyBorder="1" applyAlignment="1">
      <alignment horizontal="center" vertical="center"/>
    </xf>
    <xf numFmtId="0" fontId="109" fillId="0" borderId="141" xfId="0" applyFont="1" applyBorder="1" applyAlignment="1">
      <alignment horizontal="center"/>
    </xf>
    <xf numFmtId="0" fontId="109" fillId="0" borderId="141" xfId="0" applyFont="1" applyBorder="1" applyAlignment="1">
      <alignment horizontal="center" vertical="center"/>
    </xf>
    <xf numFmtId="0" fontId="109" fillId="0" borderId="143" xfId="0" applyFont="1" applyBorder="1" applyAlignment="1">
      <alignment horizontal="center"/>
    </xf>
    <xf numFmtId="0" fontId="109" fillId="0" borderId="3" xfId="0" applyFont="1" applyBorder="1" applyAlignment="1">
      <alignment horizontal="center"/>
    </xf>
    <xf numFmtId="9" fontId="112" fillId="0" borderId="141" xfId="129" applyFont="1" applyFill="1" applyBorder="1" applyAlignment="1">
      <alignment horizontal="center" vertical="center"/>
    </xf>
    <xf numFmtId="9" fontId="109" fillId="0" borderId="0" xfId="129" applyFont="1" applyFill="1" applyBorder="1" applyAlignment="1">
      <alignment horizontal="center" vertical="center"/>
    </xf>
    <xf numFmtId="9" fontId="109" fillId="0" borderId="144" xfId="129" applyFont="1" applyFill="1" applyBorder="1" applyAlignment="1">
      <alignment horizontal="center" vertical="center"/>
    </xf>
    <xf numFmtId="0" fontId="112" fillId="28" borderId="129" xfId="0" applyFont="1" applyFill="1" applyBorder="1" applyAlignment="1">
      <alignment horizontal="center" vertical="center"/>
    </xf>
    <xf numFmtId="0" fontId="109" fillId="26" borderId="116" xfId="0" applyFont="1" applyFill="1" applyBorder="1" applyAlignment="1">
      <alignment horizontal="center" vertical="center"/>
    </xf>
    <xf numFmtId="9" fontId="109" fillId="0" borderId="38" xfId="129" applyFont="1" applyFill="1" applyBorder="1" applyAlignment="1">
      <alignment horizontal="center" vertical="center"/>
    </xf>
    <xf numFmtId="0" fontId="112" fillId="0" borderId="38" xfId="0" applyFont="1" applyBorder="1" applyAlignment="1">
      <alignment horizontal="center" vertical="center"/>
    </xf>
    <xf numFmtId="0" fontId="109" fillId="26" borderId="38" xfId="0" applyFont="1" applyFill="1" applyBorder="1" applyAlignment="1">
      <alignment horizontal="center" vertical="center"/>
    </xf>
    <xf numFmtId="9" fontId="116" fillId="0" borderId="144" xfId="129" applyFont="1" applyFill="1" applyBorder="1" applyAlignment="1">
      <alignment horizontal="center" vertical="center"/>
    </xf>
    <xf numFmtId="9" fontId="109" fillId="29" borderId="144" xfId="129" applyFont="1" applyFill="1" applyBorder="1" applyAlignment="1">
      <alignment horizontal="center" vertical="center"/>
    </xf>
    <xf numFmtId="9" fontId="109" fillId="0" borderId="38" xfId="0" applyNumberFormat="1" applyFont="1" applyBorder="1" applyAlignment="1">
      <alignment horizontal="center" vertical="center"/>
    </xf>
    <xf numFmtId="188" fontId="112" fillId="0" borderId="141" xfId="0" applyNumberFormat="1" applyFont="1" applyBorder="1" applyAlignment="1">
      <alignment horizontal="center" vertical="center"/>
    </xf>
    <xf numFmtId="9" fontId="109" fillId="0" borderId="0" xfId="0" applyNumberFormat="1" applyFont="1" applyAlignment="1">
      <alignment horizontal="center" vertical="center"/>
    </xf>
    <xf numFmtId="0" fontId="109" fillId="35" borderId="0" xfId="0" applyFont="1" applyFill="1" applyAlignment="1">
      <alignment horizontal="center" vertical="center"/>
    </xf>
    <xf numFmtId="2" fontId="112" fillId="28" borderId="129" xfId="0" applyNumberFormat="1" applyFont="1" applyFill="1" applyBorder="1" applyAlignment="1">
      <alignment horizontal="center" vertical="center"/>
    </xf>
    <xf numFmtId="188" fontId="109" fillId="26" borderId="116" xfId="0" applyNumberFormat="1" applyFont="1" applyFill="1" applyBorder="1" applyAlignment="1">
      <alignment horizontal="center" vertical="center"/>
    </xf>
    <xf numFmtId="2" fontId="112" fillId="0" borderId="129" xfId="0" applyNumberFormat="1" applyFont="1" applyBorder="1" applyAlignment="1">
      <alignment horizontal="center" vertical="center"/>
    </xf>
    <xf numFmtId="0" fontId="109" fillId="0" borderId="144" xfId="0" applyFont="1" applyBorder="1" applyAlignment="1">
      <alignment horizontal="center" vertical="center"/>
    </xf>
    <xf numFmtId="0" fontId="109" fillId="35" borderId="38" xfId="0" applyFont="1" applyFill="1" applyBorder="1" applyAlignment="1">
      <alignment horizontal="center" vertical="center"/>
    </xf>
    <xf numFmtId="9" fontId="109" fillId="0" borderId="144" xfId="0" applyNumberFormat="1" applyFont="1" applyBorder="1" applyAlignment="1">
      <alignment horizontal="center" vertical="center"/>
    </xf>
    <xf numFmtId="0" fontId="112" fillId="28" borderId="38" xfId="0" applyFont="1" applyFill="1" applyBorder="1" applyAlignment="1">
      <alignment horizontal="center" vertical="center"/>
    </xf>
    <xf numFmtId="9" fontId="109" fillId="35" borderId="38" xfId="0" applyNumberFormat="1" applyFont="1" applyFill="1" applyBorder="1" applyAlignment="1">
      <alignment horizontal="center" vertical="center"/>
    </xf>
    <xf numFmtId="0" fontId="112" fillId="0" borderId="141" xfId="0" applyFont="1" applyBorder="1" applyAlignment="1">
      <alignment horizontal="center" vertical="center" wrapText="1"/>
    </xf>
    <xf numFmtId="10" fontId="112" fillId="0" borderId="141" xfId="129" applyNumberFormat="1" applyFont="1" applyFill="1" applyBorder="1" applyAlignment="1">
      <alignment horizontal="center" vertical="center"/>
    </xf>
    <xf numFmtId="0" fontId="103" fillId="0" borderId="110" xfId="0" applyFont="1" applyBorder="1" applyAlignment="1">
      <alignment horizontal="center" vertical="center"/>
    </xf>
    <xf numFmtId="0" fontId="109" fillId="35" borderId="108" xfId="0" applyFont="1" applyFill="1" applyBorder="1" applyAlignment="1">
      <alignment horizontal="center" vertical="center"/>
    </xf>
    <xf numFmtId="9" fontId="109" fillId="0" borderId="108" xfId="0" applyNumberFormat="1" applyFont="1" applyBorder="1" applyAlignment="1">
      <alignment horizontal="center" vertical="center"/>
    </xf>
    <xf numFmtId="9" fontId="109" fillId="0" borderId="108" xfId="129" applyFont="1" applyFill="1" applyBorder="1" applyAlignment="1">
      <alignment horizontal="center" vertical="center"/>
    </xf>
    <xf numFmtId="9" fontId="109" fillId="0" borderId="145" xfId="129" applyFont="1" applyFill="1" applyBorder="1" applyAlignment="1">
      <alignment horizontal="center" vertical="center"/>
    </xf>
    <xf numFmtId="9" fontId="116" fillId="0" borderId="38" xfId="129" applyFont="1" applyFill="1" applyBorder="1" applyAlignment="1">
      <alignment horizontal="center" vertical="center"/>
    </xf>
    <xf numFmtId="0" fontId="3" fillId="0" borderId="87" xfId="0" applyFont="1" applyBorder="1" applyAlignment="1">
      <alignment horizontal="center" vertical="center"/>
    </xf>
    <xf numFmtId="0" fontId="3" fillId="0" borderId="84" xfId="0" applyFont="1" applyBorder="1" applyAlignment="1">
      <alignment vertical="center" wrapText="1"/>
    </xf>
    <xf numFmtId="0" fontId="3" fillId="0" borderId="146" xfId="0" applyFont="1" applyBorder="1" applyAlignment="1">
      <alignment horizontal="center" vertical="center" wrapText="1"/>
    </xf>
    <xf numFmtId="0" fontId="3" fillId="0" borderId="147" xfId="0" quotePrefix="1" applyFont="1" applyBorder="1" applyAlignment="1">
      <alignment horizontal="center" vertical="center" wrapText="1"/>
    </xf>
    <xf numFmtId="14" fontId="3" fillId="0" borderId="147" xfId="0" applyNumberFormat="1" applyFont="1" applyBorder="1" applyAlignment="1">
      <alignment horizontal="center" vertical="center" wrapText="1"/>
    </xf>
    <xf numFmtId="0" fontId="4" fillId="0" borderId="148" xfId="86" applyFill="1" applyBorder="1" applyAlignment="1" applyProtection="1">
      <alignment horizontal="center" vertical="center" wrapText="1"/>
    </xf>
    <xf numFmtId="14" fontId="3" fillId="0" borderId="149" xfId="0" applyNumberFormat="1" applyFont="1" applyBorder="1" applyAlignment="1">
      <alignment horizontal="center" vertical="center" wrapText="1"/>
    </xf>
    <xf numFmtId="14" fontId="102" fillId="0" borderId="84" xfId="0" applyNumberFormat="1" applyFont="1" applyBorder="1" applyAlignment="1">
      <alignment horizontal="center" vertical="center" wrapText="1"/>
    </xf>
    <xf numFmtId="0" fontId="3" fillId="0" borderId="88" xfId="0" applyFont="1" applyBorder="1" applyAlignment="1">
      <alignment horizontal="center" vertical="center" wrapText="1"/>
    </xf>
    <xf numFmtId="0" fontId="3" fillId="0" borderId="150" xfId="0" applyFont="1" applyBorder="1" applyAlignment="1">
      <alignment horizontal="center" vertical="center" wrapText="1"/>
    </xf>
    <xf numFmtId="0" fontId="3" fillId="0" borderId="148" xfId="0" applyFont="1" applyBorder="1" applyAlignment="1">
      <alignment horizontal="left" vertical="center" wrapText="1"/>
    </xf>
    <xf numFmtId="0" fontId="3" fillId="0" borderId="151" xfId="0" applyFont="1" applyBorder="1" applyAlignment="1">
      <alignment horizontal="left" vertical="center" wrapText="1"/>
    </xf>
    <xf numFmtId="14" fontId="3" fillId="0" borderId="146" xfId="0" quotePrefix="1" applyNumberFormat="1" applyFont="1" applyBorder="1" applyAlignment="1">
      <alignment horizontal="center" vertical="center" wrapText="1"/>
    </xf>
    <xf numFmtId="14" fontId="3" fillId="0" borderId="148" xfId="0" quotePrefix="1" applyNumberFormat="1" applyFont="1" applyBorder="1" applyAlignment="1">
      <alignment horizontal="center" vertical="center" wrapText="1"/>
    </xf>
    <xf numFmtId="43" fontId="3" fillId="0" borderId="149" xfId="0" quotePrefix="1" applyNumberFormat="1" applyFont="1" applyBorder="1" applyAlignment="1">
      <alignment horizontal="center" vertical="center" wrapText="1"/>
    </xf>
    <xf numFmtId="9" fontId="3" fillId="0" borderId="84" xfId="0" quotePrefix="1" applyNumberFormat="1" applyFont="1" applyBorder="1" applyAlignment="1">
      <alignment horizontal="center" vertical="center" wrapText="1"/>
    </xf>
    <xf numFmtId="43" fontId="3" fillId="0" borderId="129" xfId="43" applyFont="1" applyFill="1" applyBorder="1" applyAlignment="1">
      <alignment horizontal="center" vertical="center" wrapText="1"/>
    </xf>
    <xf numFmtId="43" fontId="3" fillId="0" borderId="85" xfId="43" applyFont="1" applyFill="1" applyBorder="1" applyAlignment="1">
      <alignment horizontal="center" vertical="center" wrapText="1"/>
    </xf>
    <xf numFmtId="192" fontId="4" fillId="0" borderId="87" xfId="86" applyNumberFormat="1" applyFill="1" applyBorder="1" applyAlignment="1" applyProtection="1">
      <alignment horizontal="center" vertical="center" wrapText="1"/>
    </xf>
    <xf numFmtId="43" fontId="3" fillId="0" borderId="84" xfId="43" applyFont="1" applyFill="1" applyBorder="1" applyAlignment="1">
      <alignment horizontal="center" vertical="center" wrapText="1"/>
    </xf>
    <xf numFmtId="43" fontId="3" fillId="0" borderId="88" xfId="43" applyFont="1" applyFill="1" applyBorder="1" applyAlignment="1">
      <alignment horizontal="right" vertical="center" wrapText="1"/>
    </xf>
    <xf numFmtId="43" fontId="3" fillId="0" borderId="87" xfId="43" applyFont="1" applyFill="1" applyBorder="1" applyAlignment="1">
      <alignment horizontal="right" vertical="center" wrapText="1"/>
    </xf>
    <xf numFmtId="0" fontId="135" fillId="0" borderId="88" xfId="0" applyFont="1" applyBorder="1" applyAlignment="1">
      <alignment horizontal="left" vertical="center" wrapText="1"/>
    </xf>
    <xf numFmtId="0" fontId="3" fillId="0" borderId="85" xfId="0" applyFont="1" applyBorder="1" applyAlignment="1">
      <alignment horizontal="center" vertical="center" wrapText="1"/>
    </xf>
    <xf numFmtId="0" fontId="109" fillId="0" borderId="152" xfId="0" applyFont="1" applyBorder="1" applyAlignment="1">
      <alignment horizontal="center"/>
    </xf>
    <xf numFmtId="0" fontId="109" fillId="0" borderId="152" xfId="0" applyFont="1" applyBorder="1"/>
    <xf numFmtId="0" fontId="42" fillId="0" borderId="0" xfId="0" applyFont="1" applyAlignment="1">
      <alignment horizontal="left" vertical="center"/>
    </xf>
    <xf numFmtId="0" fontId="42" fillId="0" borderId="0" xfId="0" applyFont="1" applyAlignment="1">
      <alignment vertical="center"/>
    </xf>
    <xf numFmtId="0" fontId="42" fillId="0" borderId="0" xfId="0" applyFont="1" applyAlignment="1">
      <alignment horizontal="center" vertical="center"/>
    </xf>
    <xf numFmtId="40" fontId="71" fillId="0" borderId="0" xfId="124" applyNumberFormat="1" applyFont="1" applyAlignment="1">
      <alignment vertical="center"/>
    </xf>
    <xf numFmtId="1" fontId="42" fillId="0" borderId="0" xfId="0" applyNumberFormat="1" applyFont="1" applyAlignment="1">
      <alignment horizontal="left" vertical="center"/>
    </xf>
    <xf numFmtId="0" fontId="71" fillId="0" borderId="0" xfId="0" applyFont="1" applyAlignment="1">
      <alignment vertical="center"/>
    </xf>
    <xf numFmtId="10" fontId="42" fillId="0" borderId="0" xfId="0" applyNumberFormat="1" applyFont="1" applyAlignment="1">
      <alignment horizontal="left" vertical="center"/>
    </xf>
    <xf numFmtId="180" fontId="42" fillId="0" borderId="0" xfId="140" applyNumberFormat="1" applyFont="1" applyFill="1" applyBorder="1" applyAlignment="1">
      <alignment horizontal="left" vertical="center"/>
    </xf>
    <xf numFmtId="181" fontId="71" fillId="0" borderId="0" xfId="52" applyFont="1" applyAlignment="1">
      <alignment horizontal="center" vertical="center"/>
    </xf>
    <xf numFmtId="0" fontId="43" fillId="0" borderId="0" xfId="0" applyFont="1" applyAlignment="1">
      <alignment vertical="center"/>
    </xf>
    <xf numFmtId="181" fontId="71" fillId="0" borderId="0" xfId="52" applyFont="1" applyAlignment="1">
      <alignment vertical="center"/>
    </xf>
    <xf numFmtId="181" fontId="81" fillId="0" borderId="0" xfId="52" applyFont="1" applyFill="1" applyBorder="1" applyAlignment="1">
      <alignment vertical="center"/>
    </xf>
    <xf numFmtId="181" fontId="81" fillId="0" borderId="0" xfId="52" applyFont="1" applyFill="1" applyBorder="1" applyAlignment="1">
      <alignment horizontal="center" vertical="center"/>
    </xf>
    <xf numFmtId="181" fontId="79" fillId="0" borderId="0" xfId="52" applyFont="1" applyAlignment="1">
      <alignment vertical="center"/>
    </xf>
    <xf numFmtId="0" fontId="82" fillId="0" borderId="39" xfId="0" applyFont="1" applyBorder="1" applyAlignment="1">
      <alignment horizontal="center" vertical="center" wrapText="1"/>
    </xf>
    <xf numFmtId="0" fontId="82" fillId="0" borderId="39" xfId="0" applyFont="1" applyBorder="1" applyAlignment="1">
      <alignment horizontal="center" vertical="center"/>
    </xf>
    <xf numFmtId="0" fontId="79" fillId="0" borderId="38" xfId="124" quotePrefix="1" applyFont="1" applyBorder="1" applyAlignment="1">
      <alignment horizontal="center" vertical="center"/>
    </xf>
    <xf numFmtId="0" fontId="79" fillId="0" borderId="38" xfId="124" applyFont="1" applyBorder="1" applyAlignment="1">
      <alignment horizontal="center" vertical="center" wrapText="1"/>
    </xf>
    <xf numFmtId="180" fontId="79" fillId="0" borderId="38" xfId="124" applyNumberFormat="1" applyFont="1" applyBorder="1" applyAlignment="1">
      <alignment horizontal="center" vertical="center" wrapText="1"/>
    </xf>
    <xf numFmtId="196" fontId="83" fillId="0" borderId="38" xfId="52" applyNumberFormat="1" applyFont="1" applyFill="1" applyBorder="1" applyAlignment="1">
      <alignment horizontal="right" vertical="center" wrapText="1"/>
    </xf>
    <xf numFmtId="196" fontId="83" fillId="0" borderId="39" xfId="52" applyNumberFormat="1" applyFont="1" applyFill="1" applyBorder="1" applyAlignment="1">
      <alignment horizontal="right" vertical="center" wrapText="1"/>
    </xf>
    <xf numFmtId="9" fontId="79" fillId="0" borderId="38" xfId="140" applyFont="1" applyFill="1" applyBorder="1" applyAlignment="1">
      <alignment horizontal="center" vertical="center" wrapText="1"/>
    </xf>
    <xf numFmtId="4" fontId="79" fillId="0" borderId="38" xfId="52" applyNumberFormat="1" applyFont="1" applyFill="1" applyBorder="1" applyAlignment="1">
      <alignment horizontal="right" vertical="center" wrapText="1"/>
    </xf>
    <xf numFmtId="4" fontId="79" fillId="0" borderId="39" xfId="52" applyNumberFormat="1" applyFont="1" applyFill="1" applyBorder="1" applyAlignment="1">
      <alignment horizontal="right" vertical="center" wrapText="1"/>
    </xf>
    <xf numFmtId="196" fontId="43" fillId="0" borderId="0" xfId="0" applyNumberFormat="1" applyFont="1" applyAlignment="1">
      <alignment vertical="center"/>
    </xf>
    <xf numFmtId="9" fontId="84" fillId="0" borderId="38" xfId="140" applyFont="1" applyFill="1" applyBorder="1" applyAlignment="1">
      <alignment horizontal="center" vertical="center" wrapText="1"/>
    </xf>
    <xf numFmtId="9" fontId="84" fillId="0" borderId="117" xfId="140" applyFont="1" applyFill="1" applyBorder="1" applyAlignment="1">
      <alignment horizontal="center" vertical="center" wrapText="1"/>
    </xf>
    <xf numFmtId="0" fontId="79" fillId="0" borderId="117" xfId="124" applyFont="1" applyBorder="1" applyAlignment="1">
      <alignment horizontal="center" vertical="center" wrapText="1"/>
    </xf>
    <xf numFmtId="0" fontId="79" fillId="0" borderId="108" xfId="124" applyFont="1" applyBorder="1" applyAlignment="1">
      <alignment horizontal="center" vertical="center" wrapText="1"/>
    </xf>
    <xf numFmtId="4" fontId="79" fillId="0" borderId="112" xfId="52" applyNumberFormat="1" applyFont="1" applyFill="1" applyBorder="1" applyAlignment="1">
      <alignment horizontal="right" vertical="center" wrapText="1"/>
    </xf>
    <xf numFmtId="0" fontId="79" fillId="0" borderId="84" xfId="124" applyFont="1" applyBorder="1" applyAlignment="1">
      <alignment horizontal="center" vertical="center" wrapText="1"/>
    </xf>
    <xf numFmtId="0" fontId="79" fillId="0" borderId="38" xfId="124" applyFont="1" applyBorder="1" applyAlignment="1">
      <alignment horizontal="center" vertical="center"/>
    </xf>
    <xf numFmtId="2" fontId="79" fillId="0" borderId="38" xfId="124" applyNumberFormat="1" applyFont="1" applyBorder="1" applyAlignment="1">
      <alignment horizontal="center" vertical="center" wrapText="1"/>
    </xf>
    <xf numFmtId="1" fontId="79" fillId="0" borderId="82" xfId="52" quotePrefix="1" applyNumberFormat="1" applyFont="1" applyBorder="1" applyAlignment="1">
      <alignment horizontal="center" vertical="center"/>
    </xf>
    <xf numFmtId="0" fontId="79" fillId="0" borderId="82" xfId="124" applyFont="1" applyBorder="1" applyAlignment="1">
      <alignment horizontal="center" vertical="center" wrapText="1"/>
    </xf>
    <xf numFmtId="180" fontId="79" fillId="0" borderId="82" xfId="124" applyNumberFormat="1" applyFont="1" applyBorder="1" applyAlignment="1">
      <alignment horizontal="center" vertical="center" wrapText="1"/>
    </xf>
    <xf numFmtId="180" fontId="79" fillId="0" borderId="117" xfId="124" applyNumberFormat="1" applyFont="1" applyBorder="1" applyAlignment="1">
      <alignment horizontal="center" vertical="center" wrapText="1"/>
    </xf>
    <xf numFmtId="9" fontId="79" fillId="0" borderId="82" xfId="140" applyFont="1" applyFill="1" applyBorder="1" applyAlignment="1">
      <alignment horizontal="center" vertical="center" wrapText="1"/>
    </xf>
    <xf numFmtId="0" fontId="79" fillId="0" borderId="3" xfId="124" quotePrefix="1" applyFont="1" applyBorder="1" applyAlignment="1">
      <alignment horizontal="center" vertical="center"/>
    </xf>
    <xf numFmtId="0" fontId="82" fillId="0" borderId="3" xfId="124" applyFont="1" applyBorder="1" applyAlignment="1">
      <alignment horizontal="left" vertical="center"/>
    </xf>
    <xf numFmtId="180" fontId="85" fillId="0" borderId="5" xfId="52" applyNumberFormat="1" applyFont="1" applyFill="1" applyBorder="1" applyAlignment="1">
      <alignment horizontal="center" vertical="center" wrapText="1"/>
    </xf>
    <xf numFmtId="4" fontId="82" fillId="0" borderId="3" xfId="52" applyNumberFormat="1" applyFont="1" applyFill="1" applyBorder="1" applyAlignment="1">
      <alignment horizontal="center" vertical="center" wrapText="1"/>
    </xf>
    <xf numFmtId="4" fontId="82" fillId="0" borderId="0" xfId="52" applyNumberFormat="1" applyFont="1" applyFill="1" applyBorder="1" applyAlignment="1">
      <alignment horizontal="center" vertical="center" wrapText="1"/>
    </xf>
    <xf numFmtId="180" fontId="85" fillId="0" borderId="116" xfId="52" applyNumberFormat="1" applyFont="1" applyFill="1" applyBorder="1" applyAlignment="1">
      <alignment horizontal="center" vertical="center" wrapText="1"/>
    </xf>
    <xf numFmtId="9" fontId="82" fillId="0" borderId="3" xfId="140" applyFont="1" applyFill="1" applyBorder="1" applyAlignment="1">
      <alignment horizontal="center" vertical="center" wrapText="1"/>
    </xf>
    <xf numFmtId="0" fontId="43" fillId="0" borderId="0" xfId="124" applyFont="1" applyAlignment="1">
      <alignment horizontal="center" vertical="center"/>
    </xf>
    <xf numFmtId="0" fontId="79" fillId="0" borderId="0" xfId="124" applyFont="1" applyAlignment="1">
      <alignment horizontal="center" vertical="center" wrapText="1"/>
    </xf>
    <xf numFmtId="0" fontId="79" fillId="0" borderId="0" xfId="124" applyFont="1" applyAlignment="1">
      <alignment horizontal="center" vertical="center"/>
    </xf>
    <xf numFmtId="40" fontId="43" fillId="0" borderId="0" xfId="124" applyNumberFormat="1" applyFont="1" applyAlignment="1">
      <alignment vertical="center"/>
    </xf>
    <xf numFmtId="0" fontId="79" fillId="0" borderId="73" xfId="124" quotePrefix="1" applyFont="1" applyBorder="1" applyAlignment="1">
      <alignment horizontal="center" vertical="center"/>
    </xf>
    <xf numFmtId="0" fontId="79" fillId="0" borderId="73" xfId="124" applyFont="1" applyBorder="1" applyAlignment="1">
      <alignment horizontal="center" vertical="center" wrapText="1"/>
    </xf>
    <xf numFmtId="180" fontId="79" fillId="0" borderId="73" xfId="124" applyNumberFormat="1" applyFont="1" applyBorder="1" applyAlignment="1">
      <alignment horizontal="center" vertical="center" wrapText="1"/>
    </xf>
    <xf numFmtId="180" fontId="79" fillId="0" borderId="73" xfId="124" applyNumberFormat="1" applyFont="1" applyBorder="1" applyAlignment="1">
      <alignment horizontal="left" vertical="center" wrapText="1"/>
    </xf>
    <xf numFmtId="4" fontId="79" fillId="0" borderId="73" xfId="52" applyNumberFormat="1" applyFont="1" applyFill="1" applyBorder="1" applyAlignment="1">
      <alignment horizontal="right" vertical="center" wrapText="1"/>
    </xf>
    <xf numFmtId="4" fontId="79" fillId="0" borderId="130" xfId="52" applyNumberFormat="1" applyFont="1" applyFill="1" applyBorder="1" applyAlignment="1">
      <alignment horizontal="right" vertical="center" wrapText="1"/>
    </xf>
    <xf numFmtId="0" fontId="79" fillId="0" borderId="153" xfId="124" applyFont="1" applyBorder="1" applyAlignment="1">
      <alignment horizontal="center" vertical="center" wrapText="1"/>
    </xf>
    <xf numFmtId="9" fontId="79" fillId="0" borderId="73" xfId="140" applyFont="1" applyFill="1" applyBorder="1" applyAlignment="1">
      <alignment horizontal="center" vertical="center" wrapText="1"/>
    </xf>
    <xf numFmtId="180" fontId="79" fillId="0" borderId="38" xfId="124" applyNumberFormat="1" applyFont="1" applyBorder="1" applyAlignment="1">
      <alignment horizontal="left" vertical="center" wrapText="1"/>
    </xf>
    <xf numFmtId="180" fontId="79" fillId="0" borderId="82" xfId="124" applyNumberFormat="1" applyFont="1" applyBorder="1" applyAlignment="1">
      <alignment horizontal="left" vertical="center" wrapText="1"/>
    </xf>
    <xf numFmtId="180" fontId="79" fillId="0" borderId="117" xfId="124" applyNumberFormat="1" applyFont="1" applyBorder="1" applyAlignment="1">
      <alignment horizontal="left" vertical="center" wrapText="1"/>
    </xf>
    <xf numFmtId="180" fontId="85" fillId="0" borderId="5" xfId="52" applyNumberFormat="1" applyFont="1" applyFill="1" applyBorder="1" applyAlignment="1">
      <alignment horizontal="left" vertical="center" wrapText="1"/>
    </xf>
    <xf numFmtId="180" fontId="85" fillId="0" borderId="116" xfId="52" applyNumberFormat="1" applyFont="1" applyFill="1" applyBorder="1" applyAlignment="1">
      <alignment horizontal="left" vertical="center" wrapText="1"/>
    </xf>
    <xf numFmtId="0" fontId="82" fillId="0" borderId="3" xfId="124" applyFont="1" applyBorder="1" applyAlignment="1">
      <alignment horizontal="left" vertical="center" wrapText="1"/>
    </xf>
    <xf numFmtId="40" fontId="82" fillId="0" borderId="3" xfId="52" applyNumberFormat="1" applyFont="1" applyFill="1" applyBorder="1" applyAlignment="1">
      <alignment horizontal="center" vertical="center" wrapText="1"/>
    </xf>
    <xf numFmtId="10" fontId="82" fillId="0" borderId="3" xfId="140" applyNumberFormat="1" applyFont="1" applyFill="1" applyBorder="1" applyAlignment="1">
      <alignment horizontal="center" vertical="center" wrapText="1"/>
    </xf>
    <xf numFmtId="0" fontId="71" fillId="0" borderId="0" xfId="0" applyFont="1" applyAlignment="1">
      <alignment horizontal="center" vertical="center"/>
    </xf>
    <xf numFmtId="0" fontId="43" fillId="0" borderId="0" xfId="0" applyFont="1" applyAlignment="1">
      <alignment horizontal="center" vertical="center"/>
    </xf>
    <xf numFmtId="196" fontId="83" fillId="0" borderId="38" xfId="52" applyNumberFormat="1" applyFont="1" applyFill="1" applyBorder="1" applyAlignment="1">
      <alignment horizontal="center" vertical="center" wrapText="1"/>
    </xf>
    <xf numFmtId="4" fontId="79" fillId="0" borderId="38" xfId="52" applyNumberFormat="1" applyFont="1" applyFill="1" applyBorder="1" applyAlignment="1">
      <alignment horizontal="center" vertical="center" wrapText="1"/>
    </xf>
    <xf numFmtId="40" fontId="43" fillId="0" borderId="39" xfId="124" applyNumberFormat="1" applyFont="1" applyBorder="1" applyAlignment="1">
      <alignment horizontal="center" vertical="center"/>
    </xf>
    <xf numFmtId="4" fontId="79" fillId="0" borderId="38" xfId="52" quotePrefix="1" applyNumberFormat="1" applyFont="1" applyFill="1" applyBorder="1" applyAlignment="1">
      <alignment horizontal="center" vertical="center" wrapText="1"/>
    </xf>
    <xf numFmtId="4" fontId="79" fillId="0" borderId="73" xfId="52" quotePrefix="1" applyNumberFormat="1" applyFont="1" applyFill="1" applyBorder="1" applyAlignment="1">
      <alignment horizontal="center" vertical="center" wrapText="1"/>
    </xf>
    <xf numFmtId="0" fontId="128" fillId="29" borderId="137" xfId="0" applyFont="1" applyFill="1" applyBorder="1" applyAlignment="1">
      <alignment horizontal="center" vertical="center"/>
    </xf>
    <xf numFmtId="0" fontId="109" fillId="0" borderId="84" xfId="0" applyFont="1" applyBorder="1" applyAlignment="1">
      <alignment horizontal="center" wrapText="1"/>
    </xf>
    <xf numFmtId="0" fontId="109" fillId="0" borderId="84" xfId="0" quotePrefix="1" applyFont="1" applyBorder="1" applyAlignment="1">
      <alignment horizontal="center" vertical="center" shrinkToFit="1"/>
    </xf>
    <xf numFmtId="195" fontId="13" fillId="0" borderId="38" xfId="51" applyNumberFormat="1" applyFont="1" applyBorder="1" applyAlignment="1">
      <alignment horizontal="right" vertical="center"/>
    </xf>
    <xf numFmtId="195" fontId="13" fillId="0" borderId="126" xfId="51" applyNumberFormat="1" applyFont="1" applyBorder="1" applyAlignment="1">
      <alignment horizontal="right" vertical="center"/>
    </xf>
    <xf numFmtId="195" fontId="13" fillId="0" borderId="125" xfId="51" applyNumberFormat="1" applyFont="1" applyBorder="1" applyAlignment="1">
      <alignment horizontal="right" vertical="center"/>
    </xf>
    <xf numFmtId="43" fontId="128" fillId="0" borderId="149" xfId="0" quotePrefix="1" applyNumberFormat="1" applyFont="1" applyBorder="1" applyAlignment="1">
      <alignment horizontal="center" vertical="center" wrapText="1"/>
    </xf>
    <xf numFmtId="14" fontId="3" fillId="0" borderId="147" xfId="0" quotePrefix="1" applyNumberFormat="1" applyFont="1" applyBorder="1" applyAlignment="1">
      <alignment horizontal="center" vertical="center" wrapText="1"/>
    </xf>
    <xf numFmtId="49" fontId="96" fillId="0" borderId="36" xfId="43" quotePrefix="1" applyNumberFormat="1" applyFont="1" applyFill="1" applyBorder="1" applyAlignment="1">
      <alignment horizontal="left" vertical="center" wrapText="1"/>
    </xf>
    <xf numFmtId="0" fontId="136" fillId="0" borderId="132" xfId="0" applyFont="1" applyBorder="1" applyAlignment="1">
      <alignment vertical="center"/>
    </xf>
    <xf numFmtId="43" fontId="86" fillId="0" borderId="85" xfId="43" applyFont="1" applyFill="1" applyBorder="1" applyAlignment="1">
      <alignment horizontal="center" vertical="center" wrapText="1"/>
    </xf>
    <xf numFmtId="0" fontId="136" fillId="0" borderId="140" xfId="0" applyFont="1" applyBorder="1" applyAlignment="1">
      <alignment vertical="center"/>
    </xf>
    <xf numFmtId="192" fontId="87" fillId="0" borderId="87" xfId="86" applyNumberFormat="1" applyFont="1" applyFill="1" applyBorder="1" applyAlignment="1" applyProtection="1">
      <alignment horizontal="center" vertical="center" wrapText="1"/>
    </xf>
    <xf numFmtId="43" fontId="86" fillId="0" borderId="84" xfId="43" applyFont="1" applyFill="1" applyBorder="1" applyAlignment="1">
      <alignment horizontal="center" vertical="center" wrapText="1"/>
    </xf>
    <xf numFmtId="43" fontId="86" fillId="0" borderId="88" xfId="43" applyFont="1" applyFill="1" applyBorder="1" applyAlignment="1">
      <alignment horizontal="right" vertical="center" wrapText="1"/>
    </xf>
    <xf numFmtId="43" fontId="86" fillId="0" borderId="0" xfId="43" applyFont="1" applyFill="1" applyBorder="1" applyAlignment="1">
      <alignment horizontal="center" vertical="center" wrapText="1"/>
    </xf>
    <xf numFmtId="43" fontId="86" fillId="0" borderId="87" xfId="43" applyFont="1" applyFill="1" applyBorder="1" applyAlignment="1">
      <alignment horizontal="right" vertical="center" wrapText="1"/>
    </xf>
    <xf numFmtId="0" fontId="137" fillId="0" borderId="88" xfId="0" applyFont="1" applyBorder="1" applyAlignment="1">
      <alignment horizontal="left" vertical="center" wrapText="1"/>
    </xf>
    <xf numFmtId="0" fontId="136" fillId="0" borderId="0" xfId="0" applyFont="1" applyAlignment="1">
      <alignment vertical="center"/>
    </xf>
    <xf numFmtId="0" fontId="138" fillId="0" borderId="87" xfId="0" applyFont="1" applyBorder="1" applyAlignment="1">
      <alignment horizontal="center" vertical="center"/>
    </xf>
    <xf numFmtId="0" fontId="138" fillId="0" borderId="84" xfId="0" applyFont="1" applyBorder="1" applyAlignment="1">
      <alignment vertical="center" wrapText="1"/>
    </xf>
    <xf numFmtId="0" fontId="138" fillId="0" borderId="146" xfId="0" applyFont="1" applyBorder="1" applyAlignment="1">
      <alignment horizontal="center" vertical="center" wrapText="1"/>
    </xf>
    <xf numFmtId="0" fontId="138" fillId="0" borderId="147" xfId="0" quotePrefix="1" applyFont="1" applyBorder="1" applyAlignment="1">
      <alignment horizontal="center" vertical="center" wrapText="1"/>
    </xf>
    <xf numFmtId="14" fontId="138" fillId="0" borderId="147" xfId="0" applyNumberFormat="1" applyFont="1" applyBorder="1" applyAlignment="1">
      <alignment horizontal="center" vertical="center" wrapText="1"/>
    </xf>
    <xf numFmtId="0" fontId="139" fillId="0" borderId="148" xfId="86" applyFont="1" applyFill="1" applyBorder="1" applyAlignment="1" applyProtection="1">
      <alignment horizontal="center" vertical="center" wrapText="1"/>
    </xf>
    <xf numFmtId="14" fontId="138" fillId="0" borderId="149" xfId="0" applyNumberFormat="1" applyFont="1" applyBorder="1" applyAlignment="1">
      <alignment horizontal="center" vertical="center" wrapText="1"/>
    </xf>
    <xf numFmtId="14" fontId="138" fillId="0" borderId="84" xfId="0" applyNumberFormat="1" applyFont="1" applyBorder="1" applyAlignment="1">
      <alignment horizontal="center" vertical="center" wrapText="1"/>
    </xf>
    <xf numFmtId="0" fontId="138" fillId="0" borderId="88" xfId="0" applyFont="1" applyBorder="1" applyAlignment="1">
      <alignment horizontal="center" vertical="center" wrapText="1"/>
    </xf>
    <xf numFmtId="43" fontId="138" fillId="0" borderId="113" xfId="43" applyFont="1" applyFill="1" applyBorder="1" applyAlignment="1">
      <alignment horizontal="center" vertical="center" wrapText="1"/>
    </xf>
    <xf numFmtId="0" fontId="138" fillId="0" borderId="150" xfId="0" applyFont="1" applyBorder="1" applyAlignment="1">
      <alignment horizontal="center" vertical="center" wrapText="1"/>
    </xf>
    <xf numFmtId="0" fontId="138" fillId="0" borderId="148" xfId="0" applyFont="1" applyBorder="1" applyAlignment="1">
      <alignment horizontal="left" vertical="center" wrapText="1"/>
    </xf>
    <xf numFmtId="0" fontId="138" fillId="0" borderId="151" xfId="0" applyFont="1" applyBorder="1" applyAlignment="1">
      <alignment horizontal="left" vertical="center" wrapText="1"/>
    </xf>
    <xf numFmtId="14" fontId="138" fillId="0" borderId="146" xfId="0" quotePrefix="1" applyNumberFormat="1" applyFont="1" applyBorder="1" applyAlignment="1">
      <alignment horizontal="center" vertical="center" wrapText="1"/>
    </xf>
    <xf numFmtId="14" fontId="138" fillId="0" borderId="148" xfId="0" quotePrefix="1" applyNumberFormat="1" applyFont="1" applyBorder="1" applyAlignment="1">
      <alignment horizontal="center" vertical="center" wrapText="1"/>
    </xf>
    <xf numFmtId="43" fontId="138" fillId="0" borderId="149" xfId="0" quotePrefix="1" applyNumberFormat="1" applyFont="1" applyBorder="1" applyAlignment="1">
      <alignment horizontal="right" vertical="center" wrapText="1"/>
    </xf>
    <xf numFmtId="9" fontId="138" fillId="0" borderId="84" xfId="0" quotePrefix="1" applyNumberFormat="1" applyFont="1" applyBorder="1" applyAlignment="1">
      <alignment horizontal="center" vertical="center" wrapText="1"/>
    </xf>
    <xf numFmtId="43" fontId="138" fillId="0" borderId="129" xfId="43" applyFont="1" applyFill="1" applyBorder="1" applyAlignment="1">
      <alignment horizontal="center" vertical="center" wrapText="1"/>
    </xf>
    <xf numFmtId="43" fontId="138" fillId="0" borderId="149" xfId="0" quotePrefix="1" applyNumberFormat="1" applyFont="1" applyBorder="1" applyAlignment="1">
      <alignment horizontal="center" vertical="center" wrapText="1"/>
    </xf>
    <xf numFmtId="14" fontId="138" fillId="0" borderId="147" xfId="0" quotePrefix="1" applyNumberFormat="1" applyFont="1" applyBorder="1" applyAlignment="1">
      <alignment horizontal="center" vertical="center" wrapText="1"/>
    </xf>
    <xf numFmtId="0" fontId="64" fillId="0" borderId="148" xfId="86" applyFont="1" applyFill="1" applyBorder="1" applyAlignment="1" applyProtection="1">
      <alignment horizontal="center" vertical="center" wrapText="1"/>
    </xf>
    <xf numFmtId="14" fontId="3" fillId="0" borderId="84" xfId="0" applyNumberFormat="1" applyFont="1" applyBorder="1" applyAlignment="1">
      <alignment horizontal="center" vertical="center" wrapText="1"/>
    </xf>
    <xf numFmtId="0" fontId="79" fillId="0" borderId="33" xfId="124" applyFont="1" applyBorder="1" applyAlignment="1">
      <alignment horizontal="center" vertical="center" wrapText="1"/>
    </xf>
    <xf numFmtId="49" fontId="0" fillId="0" borderId="36" xfId="47" quotePrefix="1" applyNumberFormat="1" applyFont="1" applyFill="1" applyBorder="1" applyAlignment="1">
      <alignment horizontal="left" vertical="center" wrapText="1"/>
    </xf>
    <xf numFmtId="9" fontId="109" fillId="0" borderId="154" xfId="0" applyNumberFormat="1" applyFont="1" applyBorder="1" applyAlignment="1">
      <alignment horizontal="center" vertical="center"/>
    </xf>
    <xf numFmtId="2" fontId="112" fillId="0" borderId="141" xfId="0" applyNumberFormat="1" applyFont="1" applyBorder="1" applyAlignment="1">
      <alignment horizontal="center" vertical="center"/>
    </xf>
    <xf numFmtId="0" fontId="3" fillId="0" borderId="137" xfId="0" applyFont="1" applyBorder="1" applyAlignment="1">
      <alignment horizontal="center" vertical="center"/>
    </xf>
    <xf numFmtId="0" fontId="138" fillId="0" borderId="146" xfId="0" quotePrefix="1" applyFont="1" applyBorder="1" applyAlignment="1">
      <alignment horizontal="center" vertical="center" wrapText="1"/>
    </xf>
    <xf numFmtId="14" fontId="100" fillId="26" borderId="155" xfId="0" applyNumberFormat="1" applyFont="1" applyFill="1" applyBorder="1" applyAlignment="1">
      <alignment horizontal="center" vertical="center" wrapText="1"/>
    </xf>
    <xf numFmtId="43" fontId="3" fillId="0" borderId="136" xfId="0" quotePrefix="1" applyNumberFormat="1" applyFont="1" applyBorder="1" applyAlignment="1">
      <alignment horizontal="center" vertical="center" wrapText="1"/>
    </xf>
    <xf numFmtId="43" fontId="138" fillId="0" borderId="136" xfId="0" quotePrefix="1" applyNumberFormat="1" applyFont="1" applyBorder="1" applyAlignment="1">
      <alignment horizontal="center" vertical="center" wrapText="1"/>
    </xf>
    <xf numFmtId="43" fontId="99" fillId="29" borderId="156" xfId="43" applyFont="1" applyFill="1" applyBorder="1" applyAlignment="1">
      <alignment horizontal="center" vertical="center" wrapText="1"/>
    </xf>
    <xf numFmtId="43" fontId="125" fillId="0" borderId="136" xfId="0" quotePrefix="1" applyNumberFormat="1" applyFont="1" applyBorder="1" applyAlignment="1">
      <alignment horizontal="center" vertical="center" wrapText="1"/>
    </xf>
    <xf numFmtId="43" fontId="128" fillId="0" borderId="136" xfId="0" quotePrefix="1" applyNumberFormat="1" applyFont="1" applyBorder="1" applyAlignment="1">
      <alignment horizontal="center" vertical="center" wrapText="1"/>
    </xf>
    <xf numFmtId="9" fontId="79" fillId="0" borderId="117" xfId="140" applyFont="1" applyFill="1" applyBorder="1" applyAlignment="1">
      <alignment horizontal="center" vertical="center" wrapText="1"/>
    </xf>
    <xf numFmtId="0" fontId="3" fillId="0" borderId="84" xfId="110" applyBorder="1"/>
    <xf numFmtId="4" fontId="3" fillId="0" borderId="84" xfId="110" applyNumberFormat="1" applyBorder="1"/>
    <xf numFmtId="0" fontId="3" fillId="0" borderId="84" xfId="110" applyBorder="1" applyAlignment="1">
      <alignment horizontal="center" vertical="center"/>
    </xf>
    <xf numFmtId="0" fontId="3" fillId="0" borderId="84" xfId="110" applyBorder="1" applyAlignment="1">
      <alignment horizontal="center"/>
    </xf>
    <xf numFmtId="0" fontId="92" fillId="0" borderId="84" xfId="110" applyFont="1" applyBorder="1" applyAlignment="1">
      <alignment horizontal="center" vertical="center" wrapText="1"/>
    </xf>
    <xf numFmtId="4" fontId="3" fillId="0" borderId="84" xfId="110" applyNumberFormat="1" applyBorder="1" applyAlignment="1">
      <alignment horizontal="center" vertical="center"/>
    </xf>
    <xf numFmtId="4" fontId="3" fillId="0" borderId="84" xfId="110" applyNumberFormat="1" applyBorder="1" applyAlignment="1">
      <alignment horizontal="right" vertical="center"/>
    </xf>
    <xf numFmtId="4" fontId="3" fillId="0" borderId="38" xfId="110" applyNumberFormat="1" applyBorder="1" applyAlignment="1">
      <alignment wrapText="1"/>
    </xf>
    <xf numFmtId="0" fontId="140" fillId="0" borderId="38" xfId="110" applyFont="1" applyBorder="1" applyAlignment="1">
      <alignment vertical="center" wrapText="1"/>
    </xf>
    <xf numFmtId="0" fontId="3" fillId="0" borderId="38" xfId="110" quotePrefix="1" applyBorder="1" applyAlignment="1">
      <alignment horizontal="right" vertical="center"/>
    </xf>
    <xf numFmtId="4" fontId="125" fillId="0" borderId="38" xfId="110" applyNumberFormat="1" applyFont="1" applyBorder="1" applyAlignment="1">
      <alignment horizontal="center" vertical="center"/>
    </xf>
    <xf numFmtId="4" fontId="3" fillId="0" borderId="38" xfId="110" quotePrefix="1" applyNumberFormat="1" applyBorder="1" applyAlignment="1">
      <alignment horizontal="right" vertical="center"/>
    </xf>
    <xf numFmtId="4" fontId="58" fillId="0" borderId="3" xfId="52" applyNumberFormat="1" applyFont="1" applyFill="1" applyBorder="1" applyAlignment="1">
      <alignment horizontal="center" vertical="center" wrapText="1"/>
    </xf>
    <xf numFmtId="40" fontId="58" fillId="0" borderId="3" xfId="52" applyNumberFormat="1" applyFont="1" applyFill="1" applyBorder="1" applyAlignment="1">
      <alignment horizontal="center" vertical="center" wrapText="1"/>
    </xf>
    <xf numFmtId="0" fontId="3" fillId="0" borderId="3" xfId="124" quotePrefix="1" applyFont="1" applyBorder="1" applyAlignment="1">
      <alignment horizontal="center" vertical="center"/>
    </xf>
    <xf numFmtId="0" fontId="58" fillId="0" borderId="3" xfId="124" applyFont="1" applyBorder="1" applyAlignment="1">
      <alignment horizontal="left" vertical="center"/>
    </xf>
    <xf numFmtId="180" fontId="89" fillId="0" borderId="5" xfId="52" applyNumberFormat="1" applyFont="1" applyFill="1" applyBorder="1" applyAlignment="1">
      <alignment horizontal="center" vertical="center" wrapText="1"/>
    </xf>
    <xf numFmtId="180" fontId="89" fillId="0" borderId="5" xfId="52" applyNumberFormat="1" applyFont="1" applyFill="1" applyBorder="1" applyAlignment="1">
      <alignment horizontal="left" vertical="center" wrapText="1"/>
    </xf>
    <xf numFmtId="0" fontId="58" fillId="0" borderId="3" xfId="124" applyFont="1" applyBorder="1" applyAlignment="1">
      <alignment horizontal="left" vertical="center" wrapText="1"/>
    </xf>
    <xf numFmtId="180" fontId="89" fillId="0" borderId="39" xfId="52" applyNumberFormat="1" applyFont="1" applyFill="1" applyBorder="1" applyAlignment="1">
      <alignment horizontal="left" vertical="center" wrapText="1"/>
    </xf>
    <xf numFmtId="0" fontId="115" fillId="0" borderId="115" xfId="110" applyFont="1" applyBorder="1"/>
    <xf numFmtId="10" fontId="58" fillId="0" borderId="3" xfId="129" applyNumberFormat="1" applyFont="1" applyFill="1" applyBorder="1" applyAlignment="1">
      <alignment horizontal="center" vertical="center" wrapText="1"/>
    </xf>
    <xf numFmtId="0" fontId="109" fillId="0" borderId="3" xfId="0" applyFont="1" applyBorder="1" applyAlignment="1">
      <alignment horizontal="center" vertical="center"/>
    </xf>
    <xf numFmtId="0" fontId="141" fillId="0" borderId="135" xfId="0" quotePrefix="1" applyFont="1" applyBorder="1" applyAlignment="1">
      <alignment horizontal="center" vertical="center"/>
    </xf>
    <xf numFmtId="0" fontId="79" fillId="0" borderId="112" xfId="124" applyFont="1" applyBorder="1" applyAlignment="1">
      <alignment horizontal="center" vertical="center" wrapText="1"/>
    </xf>
    <xf numFmtId="0" fontId="79" fillId="0" borderId="39" xfId="124" applyFont="1" applyBorder="1" applyAlignment="1">
      <alignment horizontal="center" vertical="center" wrapText="1"/>
    </xf>
    <xf numFmtId="3" fontId="109" fillId="29" borderId="84" xfId="0" applyNumberFormat="1" applyFont="1" applyFill="1" applyBorder="1" applyAlignment="1">
      <alignment horizontal="center" vertical="center"/>
    </xf>
    <xf numFmtId="0" fontId="109" fillId="29" borderId="84" xfId="0" applyFont="1" applyFill="1" applyBorder="1" applyAlignment="1">
      <alignment horizontal="center" vertical="center"/>
    </xf>
    <xf numFmtId="0" fontId="109" fillId="29" borderId="84" xfId="0" applyFont="1" applyFill="1" applyBorder="1" applyAlignment="1">
      <alignment horizontal="center"/>
    </xf>
    <xf numFmtId="0" fontId="142" fillId="0" borderId="38" xfId="110" applyFont="1" applyBorder="1" applyAlignment="1">
      <alignment vertical="center" wrapText="1"/>
    </xf>
    <xf numFmtId="4" fontId="143" fillId="0" borderId="38" xfId="110" applyNumberFormat="1" applyFont="1" applyBorder="1" applyAlignment="1">
      <alignment horizontal="center" vertical="center"/>
    </xf>
    <xf numFmtId="4" fontId="3" fillId="0" borderId="117" xfId="110" applyNumberFormat="1" applyBorder="1" applyAlignment="1">
      <alignment vertical="center"/>
    </xf>
    <xf numFmtId="0" fontId="58" fillId="0" borderId="0" xfId="110" applyFont="1" applyAlignment="1">
      <alignment horizontal="left" vertical="center"/>
    </xf>
    <xf numFmtId="0" fontId="58" fillId="0" borderId="0" xfId="110" applyFont="1"/>
    <xf numFmtId="4" fontId="3" fillId="0" borderId="117" xfId="110" quotePrefix="1" applyNumberFormat="1" applyBorder="1" applyAlignment="1">
      <alignment horizontal="right" vertical="center"/>
    </xf>
    <xf numFmtId="10" fontId="112" fillId="32" borderId="61" xfId="129" applyNumberFormat="1" applyFont="1" applyFill="1" applyBorder="1" applyAlignment="1">
      <alignment vertical="center"/>
    </xf>
    <xf numFmtId="0" fontId="131" fillId="0" borderId="128" xfId="110" applyFont="1" applyBorder="1"/>
    <xf numFmtId="0" fontId="131" fillId="0" borderId="0" xfId="110" applyFont="1"/>
    <xf numFmtId="0" fontId="131" fillId="0" borderId="63" xfId="110" applyFont="1" applyBorder="1"/>
    <xf numFmtId="0" fontId="3" fillId="0" borderId="117" xfId="110" quotePrefix="1" applyBorder="1" applyAlignment="1">
      <alignment horizontal="center" vertical="center"/>
    </xf>
    <xf numFmtId="0" fontId="99" fillId="0" borderId="38" xfId="110" applyFont="1" applyBorder="1" applyAlignment="1">
      <alignment vertical="center" wrapText="1"/>
    </xf>
    <xf numFmtId="0" fontId="102" fillId="0" borderId="117" xfId="110" applyFont="1" applyBorder="1" applyAlignment="1">
      <alignment horizontal="left" vertical="center" wrapText="1"/>
    </xf>
    <xf numFmtId="4" fontId="76" fillId="0" borderId="117" xfId="110" applyNumberFormat="1" applyFont="1" applyBorder="1" applyAlignment="1">
      <alignment horizontal="center" vertical="center"/>
    </xf>
    <xf numFmtId="4" fontId="3" fillId="0" borderId="117" xfId="110" applyNumberFormat="1" applyBorder="1" applyAlignment="1">
      <alignment horizontal="center" vertical="center"/>
    </xf>
    <xf numFmtId="4" fontId="3" fillId="0" borderId="117" xfId="110" applyNumberFormat="1" applyBorder="1" applyAlignment="1">
      <alignment horizontal="right" vertical="center"/>
    </xf>
    <xf numFmtId="0" fontId="102" fillId="0" borderId="38" xfId="110" applyFont="1" applyBorder="1" applyAlignment="1">
      <alignment vertical="center" wrapText="1"/>
    </xf>
    <xf numFmtId="0" fontId="102" fillId="0" borderId="38" xfId="110" applyFont="1" applyBorder="1" applyAlignment="1">
      <alignment horizontal="center" vertical="center" wrapText="1"/>
    </xf>
    <xf numFmtId="2" fontId="102" fillId="0" borderId="38" xfId="110" applyNumberFormat="1" applyFont="1" applyBorder="1" applyAlignment="1">
      <alignment horizontal="center" vertical="center" wrapText="1"/>
    </xf>
    <xf numFmtId="0" fontId="102" fillId="0" borderId="38" xfId="110" applyFont="1" applyBorder="1" applyAlignment="1">
      <alignment horizontal="left" vertical="center" wrapText="1"/>
    </xf>
    <xf numFmtId="4" fontId="128" fillId="0" borderId="82" xfId="110" applyNumberFormat="1" applyFont="1" applyBorder="1"/>
    <xf numFmtId="4" fontId="3" fillId="0" borderId="82" xfId="110" applyNumberFormat="1" applyBorder="1" applyAlignment="1">
      <alignment vertical="center"/>
    </xf>
    <xf numFmtId="0" fontId="58" fillId="32" borderId="61" xfId="110" applyFont="1" applyFill="1" applyBorder="1" applyAlignment="1">
      <alignment vertical="center" wrapText="1"/>
    </xf>
    <xf numFmtId="4" fontId="58" fillId="32" borderId="61" xfId="110" applyNumberFormat="1" applyFont="1" applyFill="1" applyBorder="1" applyAlignment="1">
      <alignment vertical="center"/>
    </xf>
    <xf numFmtId="0" fontId="58" fillId="32" borderId="61" xfId="110" applyFont="1" applyFill="1" applyBorder="1" applyAlignment="1">
      <alignment horizontal="center" vertical="center"/>
    </xf>
    <xf numFmtId="4" fontId="58" fillId="32" borderId="61" xfId="110" applyNumberFormat="1" applyFont="1" applyFill="1" applyBorder="1" applyAlignment="1">
      <alignment vertical="center" wrapText="1"/>
    </xf>
    <xf numFmtId="9" fontId="58" fillId="32" borderId="61" xfId="129" applyFont="1" applyFill="1" applyBorder="1" applyAlignment="1">
      <alignment vertical="center"/>
    </xf>
    <xf numFmtId="188" fontId="102" fillId="0" borderId="38" xfId="110" applyNumberFormat="1" applyFont="1" applyBorder="1" applyAlignment="1">
      <alignment horizontal="center" vertical="center" wrapText="1"/>
    </xf>
    <xf numFmtId="0" fontId="3" fillId="0" borderId="0" xfId="110" applyAlignment="1">
      <alignment vertical="center" wrapText="1"/>
    </xf>
    <xf numFmtId="4" fontId="3" fillId="0" borderId="0" xfId="110" applyNumberFormat="1" applyAlignment="1">
      <alignment horizontal="left" vertical="center"/>
    </xf>
    <xf numFmtId="40" fontId="96" fillId="32" borderId="61" xfId="110" applyNumberFormat="1" applyFont="1" applyFill="1" applyBorder="1" applyAlignment="1">
      <alignment vertical="center"/>
    </xf>
    <xf numFmtId="10" fontId="58" fillId="32" borderId="61" xfId="129" applyNumberFormat="1" applyFont="1" applyFill="1" applyBorder="1" applyAlignment="1">
      <alignment vertical="center"/>
    </xf>
    <xf numFmtId="4" fontId="3" fillId="29" borderId="38" xfId="110" applyNumberFormat="1" applyFill="1" applyBorder="1" applyAlignment="1">
      <alignment horizontal="right" vertical="center"/>
    </xf>
    <xf numFmtId="4" fontId="3" fillId="29" borderId="117" xfId="110" applyNumberFormat="1" applyFill="1" applyBorder="1" applyAlignment="1">
      <alignment horizontal="right" vertical="center"/>
    </xf>
    <xf numFmtId="4" fontId="3" fillId="29" borderId="38" xfId="110" applyNumberFormat="1" applyFill="1" applyBorder="1" applyAlignment="1">
      <alignment vertical="center"/>
    </xf>
    <xf numFmtId="0" fontId="103" fillId="0" borderId="133" xfId="0" quotePrefix="1" applyFont="1" applyBorder="1" applyAlignment="1">
      <alignment horizontal="center" vertical="center"/>
    </xf>
    <xf numFmtId="49" fontId="3" fillId="29" borderId="36" xfId="47" quotePrefix="1" applyNumberFormat="1" applyFont="1" applyFill="1" applyBorder="1" applyAlignment="1">
      <alignment horizontal="left" vertical="center" wrapText="1"/>
    </xf>
    <xf numFmtId="9" fontId="3" fillId="26" borderId="84" xfId="0" quotePrefix="1" applyNumberFormat="1" applyFont="1" applyFill="1" applyBorder="1" applyAlignment="1">
      <alignment horizontal="center" vertical="center" wrapText="1"/>
    </xf>
    <xf numFmtId="43" fontId="3" fillId="0" borderId="113" xfId="47" applyFont="1" applyFill="1" applyBorder="1" applyAlignment="1">
      <alignment horizontal="center" vertical="center" wrapText="1"/>
    </xf>
    <xf numFmtId="0" fontId="3" fillId="29" borderId="148" xfId="0" applyFont="1" applyFill="1" applyBorder="1" applyAlignment="1">
      <alignment horizontal="left" vertical="center" wrapText="1"/>
    </xf>
    <xf numFmtId="43" fontId="3" fillId="0" borderId="129" xfId="47" applyFont="1" applyFill="1" applyBorder="1" applyAlignment="1">
      <alignment horizontal="center" vertical="center" wrapText="1"/>
    </xf>
    <xf numFmtId="43" fontId="3" fillId="0" borderId="85" xfId="47" applyFont="1" applyFill="1" applyBorder="1" applyAlignment="1">
      <alignment horizontal="center" vertical="center" wrapText="1"/>
    </xf>
    <xf numFmtId="43" fontId="3" fillId="0" borderId="84" xfId="47" applyFont="1" applyFill="1" applyBorder="1" applyAlignment="1">
      <alignment horizontal="center" vertical="center" wrapText="1"/>
    </xf>
    <xf numFmtId="43" fontId="3" fillId="0" borderId="88" xfId="47" applyFont="1" applyFill="1" applyBorder="1" applyAlignment="1">
      <alignment horizontal="right" vertical="center" wrapText="1"/>
    </xf>
    <xf numFmtId="43" fontId="3" fillId="0" borderId="0" xfId="47" applyFont="1" applyFill="1" applyBorder="1" applyAlignment="1">
      <alignment horizontal="center" vertical="center" wrapText="1"/>
    </xf>
    <xf numFmtId="43" fontId="3" fillId="0" borderId="87" xfId="47" applyFont="1" applyFill="1" applyBorder="1" applyAlignment="1">
      <alignment horizontal="right" vertical="center" wrapText="1"/>
    </xf>
    <xf numFmtId="49" fontId="3" fillId="0" borderId="36" xfId="47" quotePrefix="1" applyNumberFormat="1" applyFont="1" applyFill="1" applyBorder="1" applyAlignment="1">
      <alignment horizontal="left" vertical="center" wrapText="1"/>
    </xf>
    <xf numFmtId="10" fontId="112" fillId="32" borderId="61" xfId="132" applyNumberFormat="1" applyFont="1" applyFill="1" applyBorder="1" applyAlignment="1">
      <alignment vertical="center"/>
    </xf>
    <xf numFmtId="0" fontId="92" fillId="26" borderId="38" xfId="110" applyFont="1" applyFill="1" applyBorder="1" applyAlignment="1">
      <alignment vertical="center" wrapText="1"/>
    </xf>
    <xf numFmtId="10" fontId="58" fillId="32" borderId="61" xfId="132" applyNumberFormat="1" applyFont="1" applyFill="1" applyBorder="1" applyAlignment="1">
      <alignment vertical="center"/>
    </xf>
    <xf numFmtId="0" fontId="109" fillId="0" borderId="116" xfId="0" applyFont="1" applyBorder="1" applyAlignment="1">
      <alignment horizontal="center" vertical="center"/>
    </xf>
    <xf numFmtId="0" fontId="109" fillId="0" borderId="40" xfId="0" applyFont="1" applyBorder="1" applyAlignment="1">
      <alignment horizontal="center" vertical="center"/>
    </xf>
    <xf numFmtId="10" fontId="110" fillId="0" borderId="3" xfId="129" applyNumberFormat="1" applyFont="1" applyFill="1" applyBorder="1" applyAlignment="1">
      <alignment vertical="center"/>
    </xf>
    <xf numFmtId="9" fontId="109" fillId="26" borderId="137" xfId="129" applyFont="1" applyFill="1" applyBorder="1" applyAlignment="1">
      <alignment horizontal="center" vertical="center"/>
    </xf>
    <xf numFmtId="4" fontId="3" fillId="26" borderId="38" xfId="110" applyNumberFormat="1" applyFill="1" applyBorder="1" applyAlignment="1">
      <alignment horizontal="right" vertical="center"/>
    </xf>
    <xf numFmtId="10" fontId="3" fillId="26" borderId="38" xfId="129" applyNumberFormat="1" applyFont="1" applyFill="1" applyBorder="1" applyAlignment="1">
      <alignment horizontal="right" vertical="center"/>
    </xf>
    <xf numFmtId="43" fontId="3" fillId="26" borderId="129" xfId="47" applyFont="1" applyFill="1" applyBorder="1" applyAlignment="1">
      <alignment horizontal="center" vertical="center" wrapText="1"/>
    </xf>
    <xf numFmtId="4" fontId="3" fillId="26" borderId="38" xfId="110" applyNumberFormat="1" applyFill="1" applyBorder="1" applyAlignment="1">
      <alignment vertical="center"/>
    </xf>
    <xf numFmtId="10" fontId="3" fillId="26" borderId="38" xfId="129" applyNumberFormat="1" applyFont="1" applyFill="1" applyBorder="1" applyAlignment="1">
      <alignment vertical="center"/>
    </xf>
    <xf numFmtId="10" fontId="133" fillId="26" borderId="38" xfId="110" applyNumberFormat="1" applyFont="1" applyFill="1" applyBorder="1" applyAlignment="1">
      <alignment vertical="center"/>
    </xf>
    <xf numFmtId="0" fontId="132" fillId="35" borderId="116" xfId="110" applyFont="1" applyFill="1" applyBorder="1" applyAlignment="1">
      <alignment horizontal="center" vertical="center"/>
    </xf>
    <xf numFmtId="0" fontId="132" fillId="35" borderId="155" xfId="110" applyFont="1" applyFill="1" applyBorder="1" applyAlignment="1">
      <alignment horizontal="center" vertical="center"/>
    </xf>
    <xf numFmtId="0" fontId="60" fillId="0" borderId="61" xfId="110" applyFont="1" applyBorder="1" applyAlignment="1">
      <alignment horizontal="center" vertical="center"/>
    </xf>
    <xf numFmtId="0" fontId="3" fillId="0" borderId="0" xfId="110" applyAlignment="1">
      <alignment horizontal="left" vertical="center"/>
    </xf>
    <xf numFmtId="0" fontId="129" fillId="0" borderId="0" xfId="110" applyFont="1" applyAlignment="1">
      <alignment horizontal="left" vertical="center"/>
    </xf>
    <xf numFmtId="0" fontId="110" fillId="0" borderId="116" xfId="0" applyFont="1" applyBorder="1" applyAlignment="1">
      <alignment horizontal="center" vertical="center" wrapText="1"/>
    </xf>
    <xf numFmtId="0" fontId="110" fillId="0" borderId="155" xfId="0" applyFont="1" applyBorder="1" applyAlignment="1">
      <alignment horizontal="center" vertical="center" wrapText="1"/>
    </xf>
    <xf numFmtId="0" fontId="110" fillId="0" borderId="5" xfId="0" applyFont="1" applyBorder="1" applyAlignment="1">
      <alignment horizontal="center" vertical="center" wrapText="1"/>
    </xf>
    <xf numFmtId="0" fontId="109" fillId="35" borderId="117" xfId="0" applyFont="1" applyFill="1" applyBorder="1" applyAlignment="1">
      <alignment horizontal="center" vertical="center" wrapText="1"/>
    </xf>
    <xf numFmtId="0" fontId="109" fillId="35" borderId="39" xfId="0" applyFont="1" applyFill="1" applyBorder="1" applyAlignment="1">
      <alignment horizontal="center" vertical="center" wrapText="1"/>
    </xf>
    <xf numFmtId="0" fontId="109" fillId="35" borderId="84" xfId="0" applyFont="1" applyFill="1" applyBorder="1" applyAlignment="1">
      <alignment horizontal="center" vertical="center" wrapText="1"/>
    </xf>
    <xf numFmtId="0" fontId="112" fillId="0" borderId="116" xfId="0" applyFont="1" applyBorder="1" applyAlignment="1">
      <alignment horizontal="center"/>
    </xf>
    <xf numFmtId="0" fontId="112" fillId="0" borderId="5" xfId="0" applyFont="1" applyBorder="1" applyAlignment="1">
      <alignment horizontal="center"/>
    </xf>
    <xf numFmtId="0" fontId="112" fillId="0" borderId="155" xfId="0" applyFont="1" applyBorder="1" applyAlignment="1">
      <alignment horizontal="center"/>
    </xf>
    <xf numFmtId="0" fontId="109" fillId="35" borderId="117" xfId="0" applyFont="1" applyFill="1" applyBorder="1" applyAlignment="1">
      <alignment horizontal="center" wrapText="1"/>
    </xf>
    <xf numFmtId="0" fontId="109" fillId="35" borderId="84" xfId="0" applyFont="1" applyFill="1" applyBorder="1" applyAlignment="1">
      <alignment horizontal="center" wrapText="1"/>
    </xf>
    <xf numFmtId="0" fontId="109" fillId="0" borderId="115" xfId="0" applyFont="1" applyBorder="1" applyAlignment="1">
      <alignment horizontal="center"/>
    </xf>
    <xf numFmtId="2" fontId="110" fillId="0" borderId="116" xfId="0" applyNumberFormat="1" applyFont="1" applyBorder="1" applyAlignment="1">
      <alignment horizontal="center" vertical="center" wrapText="1"/>
    </xf>
    <xf numFmtId="2" fontId="110" fillId="0" borderId="155" xfId="0" applyNumberFormat="1" applyFont="1" applyBorder="1" applyAlignment="1">
      <alignment horizontal="center" vertical="center" wrapText="1"/>
    </xf>
    <xf numFmtId="0" fontId="109" fillId="35" borderId="38" xfId="0" applyFont="1" applyFill="1" applyBorder="1" applyAlignment="1">
      <alignment horizontal="center" vertical="center" wrapText="1"/>
    </xf>
    <xf numFmtId="0" fontId="58" fillId="0" borderId="157" xfId="0" applyFont="1" applyBorder="1" applyAlignment="1">
      <alignment horizontal="center" vertical="center"/>
    </xf>
    <xf numFmtId="0" fontId="58" fillId="0" borderId="49" xfId="0" applyFont="1" applyBorder="1" applyAlignment="1">
      <alignment horizontal="center" vertical="center"/>
    </xf>
    <xf numFmtId="0" fontId="58" fillId="0" borderId="158" xfId="0" applyFont="1" applyBorder="1" applyAlignment="1">
      <alignment horizontal="center" vertical="center"/>
    </xf>
    <xf numFmtId="0" fontId="58" fillId="0" borderId="159" xfId="0" applyFont="1" applyBorder="1" applyAlignment="1">
      <alignment horizontal="center" vertical="center"/>
    </xf>
    <xf numFmtId="0" fontId="58" fillId="0" borderId="160" xfId="0" applyFont="1" applyBorder="1" applyAlignment="1">
      <alignment horizontal="center" vertical="center"/>
    </xf>
    <xf numFmtId="0" fontId="58" fillId="0" borderId="161" xfId="0" applyFont="1" applyBorder="1" applyAlignment="1">
      <alignment horizontal="center" vertical="center"/>
    </xf>
    <xf numFmtId="0" fontId="58" fillId="0" borderId="162" xfId="0" applyFont="1" applyBorder="1" applyAlignment="1">
      <alignment horizontal="center" vertical="center"/>
    </xf>
    <xf numFmtId="0" fontId="58" fillId="0" borderId="163" xfId="0" applyFont="1" applyBorder="1" applyAlignment="1">
      <alignment horizontal="center" vertical="center"/>
    </xf>
    <xf numFmtId="0" fontId="94" fillId="0" borderId="0" xfId="0" applyFont="1" applyAlignment="1">
      <alignment horizontal="left" vertical="center"/>
    </xf>
    <xf numFmtId="0" fontId="93"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0" fillId="0" borderId="162" xfId="0" applyBorder="1" applyAlignment="1">
      <alignment horizontal="center" vertical="center"/>
    </xf>
    <xf numFmtId="0" fontId="0" fillId="0" borderId="163" xfId="0" applyBorder="1" applyAlignment="1">
      <alignment horizontal="center" vertical="center"/>
    </xf>
    <xf numFmtId="0" fontId="58" fillId="0" borderId="157" xfId="0" applyFont="1" applyBorder="1" applyAlignment="1">
      <alignment horizontal="center" vertical="center" wrapText="1"/>
    </xf>
    <xf numFmtId="0" fontId="58" fillId="0" borderId="49" xfId="0" applyFont="1" applyBorder="1" applyAlignment="1">
      <alignment horizontal="center" vertical="center" wrapText="1"/>
    </xf>
    <xf numFmtId="181" fontId="81" fillId="0" borderId="116" xfId="52" applyFont="1" applyFill="1" applyBorder="1" applyAlignment="1">
      <alignment horizontal="center" vertical="center"/>
    </xf>
    <xf numFmtId="181" fontId="81" fillId="0" borderId="5" xfId="52" applyFont="1" applyFill="1" applyBorder="1" applyAlignment="1">
      <alignment horizontal="center" vertical="center"/>
    </xf>
    <xf numFmtId="181" fontId="81" fillId="0" borderId="155" xfId="52" applyFont="1" applyFill="1" applyBorder="1" applyAlignment="1">
      <alignment horizontal="center" vertical="center"/>
    </xf>
    <xf numFmtId="181" fontId="82" fillId="0" borderId="40" xfId="52" applyFont="1" applyFill="1" applyBorder="1" applyAlignment="1">
      <alignment horizontal="center" vertical="center"/>
    </xf>
    <xf numFmtId="0" fontId="79" fillId="0" borderId="39" xfId="0" applyFont="1" applyBorder="1" applyAlignment="1">
      <alignment horizontal="center" vertical="center"/>
    </xf>
    <xf numFmtId="0" fontId="79" fillId="0" borderId="61" xfId="0" applyFont="1" applyBorder="1" applyAlignment="1">
      <alignment horizontal="center" vertical="center"/>
    </xf>
    <xf numFmtId="181" fontId="82" fillId="0" borderId="40" xfId="52" applyFont="1" applyFill="1" applyBorder="1" applyAlignment="1">
      <alignment horizontal="center" vertical="center" wrapText="1"/>
    </xf>
    <xf numFmtId="0" fontId="79" fillId="0" borderId="39" xfId="0" applyFont="1" applyBorder="1" applyAlignment="1">
      <alignment horizontal="center" vertical="center" wrapText="1"/>
    </xf>
    <xf numFmtId="0" fontId="79" fillId="0" borderId="61" xfId="0" applyFont="1" applyBorder="1" applyAlignment="1">
      <alignment horizontal="center" vertical="center" wrapText="1"/>
    </xf>
    <xf numFmtId="0" fontId="82" fillId="0" borderId="40" xfId="0" applyFont="1" applyBorder="1" applyAlignment="1">
      <alignment horizontal="center" vertical="center"/>
    </xf>
    <xf numFmtId="0" fontId="82" fillId="0" borderId="39" xfId="0" applyFont="1" applyBorder="1" applyAlignment="1">
      <alignment horizontal="center" vertical="center"/>
    </xf>
    <xf numFmtId="0" fontId="82" fillId="0" borderId="61" xfId="0" applyFont="1" applyBorder="1" applyAlignment="1">
      <alignment horizontal="center" vertical="center"/>
    </xf>
    <xf numFmtId="0" fontId="82" fillId="0" borderId="40" xfId="0" applyFont="1" applyBorder="1" applyAlignment="1">
      <alignment horizontal="center" vertical="center" wrapText="1"/>
    </xf>
    <xf numFmtId="3" fontId="82" fillId="0" borderId="40" xfId="52" applyNumberFormat="1" applyFont="1" applyFill="1" applyBorder="1" applyAlignment="1">
      <alignment horizontal="center" vertical="center" wrapText="1"/>
    </xf>
    <xf numFmtId="3" fontId="82" fillId="0" borderId="39" xfId="52" applyNumberFormat="1" applyFont="1" applyFill="1" applyBorder="1" applyAlignment="1">
      <alignment horizontal="center" vertical="center" wrapText="1"/>
    </xf>
    <xf numFmtId="3" fontId="82" fillId="0" borderId="61" xfId="52" applyNumberFormat="1" applyFont="1" applyFill="1" applyBorder="1" applyAlignment="1">
      <alignment horizontal="center" vertical="center" wrapText="1"/>
    </xf>
    <xf numFmtId="0" fontId="70" fillId="0" borderId="116" xfId="110" applyFont="1" applyBorder="1" applyAlignment="1">
      <alignment horizontal="center"/>
    </xf>
    <xf numFmtId="0" fontId="70" fillId="0" borderId="5" xfId="110" applyFont="1" applyBorder="1" applyAlignment="1">
      <alignment horizontal="center"/>
    </xf>
    <xf numFmtId="0" fontId="70" fillId="0" borderId="155" xfId="110" applyFont="1" applyBorder="1" applyAlignment="1">
      <alignment horizontal="center"/>
    </xf>
    <xf numFmtId="43" fontId="99" fillId="26" borderId="158" xfId="43" applyFont="1" applyFill="1" applyBorder="1" applyAlignment="1">
      <alignment horizontal="center" vertical="center" wrapText="1"/>
    </xf>
    <xf numFmtId="43" fontId="99" fillId="26" borderId="98" xfId="43" applyFont="1" applyFill="1" applyBorder="1" applyAlignment="1">
      <alignment horizontal="center" vertical="center" wrapText="1"/>
    </xf>
    <xf numFmtId="43" fontId="99" fillId="26" borderId="162" xfId="43" applyFont="1" applyFill="1" applyBorder="1" applyAlignment="1">
      <alignment horizontal="center" vertical="center" wrapText="1"/>
    </xf>
    <xf numFmtId="43" fontId="99" fillId="26" borderId="123" xfId="43" applyFont="1" applyFill="1" applyBorder="1" applyAlignment="1">
      <alignment horizontal="center" vertical="center" wrapText="1"/>
    </xf>
    <xf numFmtId="0" fontId="99" fillId="26" borderId="158" xfId="0" applyFont="1" applyFill="1" applyBorder="1" applyAlignment="1">
      <alignment horizontal="center" vertical="center" wrapText="1"/>
    </xf>
    <xf numFmtId="0" fontId="99" fillId="26" borderId="98" xfId="0" applyFont="1" applyFill="1" applyBorder="1" applyAlignment="1">
      <alignment horizontal="center" vertical="center" wrapText="1"/>
    </xf>
    <xf numFmtId="0" fontId="99" fillId="26" borderId="162" xfId="0" applyFont="1" applyFill="1" applyBorder="1" applyAlignment="1">
      <alignment horizontal="center" vertical="center" wrapText="1"/>
    </xf>
    <xf numFmtId="0" fontId="99" fillId="26" borderId="123" xfId="0" applyFont="1" applyFill="1" applyBorder="1" applyAlignment="1">
      <alignment horizontal="center" vertical="center" wrapText="1"/>
    </xf>
    <xf numFmtId="0" fontId="99" fillId="26" borderId="157" xfId="0" applyFont="1" applyFill="1" applyBorder="1" applyAlignment="1">
      <alignment horizontal="center" vertical="center" wrapText="1"/>
    </xf>
    <xf numFmtId="0" fontId="99" fillId="26" borderId="61" xfId="0" applyFont="1" applyFill="1" applyBorder="1" applyAlignment="1">
      <alignment horizontal="center" vertical="center" wrapText="1"/>
    </xf>
    <xf numFmtId="0" fontId="99" fillId="26" borderId="164" xfId="0" applyFont="1" applyFill="1" applyBorder="1" applyAlignment="1">
      <alignment horizontal="center" vertical="center" wrapText="1"/>
    </xf>
    <xf numFmtId="0" fontId="144" fillId="26" borderId="157" xfId="0" applyFont="1" applyFill="1" applyBorder="1" applyAlignment="1">
      <alignment horizontal="center" vertical="center" wrapText="1"/>
    </xf>
    <xf numFmtId="0" fontId="144" fillId="26" borderId="61" xfId="0" applyFont="1" applyFill="1" applyBorder="1" applyAlignment="1">
      <alignment horizontal="center" vertical="center" wrapText="1"/>
    </xf>
    <xf numFmtId="0" fontId="99" fillId="26" borderId="165" xfId="0" applyFont="1" applyFill="1" applyBorder="1" applyAlignment="1">
      <alignment horizontal="center" vertical="center" wrapText="1"/>
    </xf>
    <xf numFmtId="0" fontId="99" fillId="26" borderId="166" xfId="0" applyFont="1" applyFill="1" applyBorder="1" applyAlignment="1">
      <alignment horizontal="center" vertical="center" wrapText="1"/>
    </xf>
    <xf numFmtId="0" fontId="99" fillId="26" borderId="167" xfId="0" applyFont="1" applyFill="1" applyBorder="1" applyAlignment="1">
      <alignment horizontal="center" vertical="center" wrapText="1"/>
    </xf>
    <xf numFmtId="0" fontId="99" fillId="26" borderId="168" xfId="0" applyFont="1" applyFill="1" applyBorder="1" applyAlignment="1">
      <alignment horizontal="center" vertical="center" wrapText="1"/>
    </xf>
    <xf numFmtId="4" fontId="58" fillId="0" borderId="116" xfId="0" applyNumberFormat="1" applyFont="1" applyBorder="1" applyAlignment="1">
      <alignment horizontal="center" vertical="center"/>
    </xf>
    <xf numFmtId="4" fontId="58" fillId="0" borderId="155" xfId="0" applyNumberFormat="1" applyFont="1" applyBorder="1" applyAlignment="1">
      <alignment horizontal="center" vertical="center"/>
    </xf>
    <xf numFmtId="4" fontId="58" fillId="0" borderId="116" xfId="110" applyNumberFormat="1" applyFont="1" applyBorder="1" applyAlignment="1">
      <alignment horizontal="center"/>
    </xf>
    <xf numFmtId="4" fontId="58" fillId="0" borderId="155" xfId="110" applyNumberFormat="1" applyFont="1" applyBorder="1" applyAlignment="1">
      <alignment horizontal="center"/>
    </xf>
    <xf numFmtId="4" fontId="3" fillId="0" borderId="117" xfId="110" applyNumberFormat="1" applyBorder="1" applyAlignment="1">
      <alignment horizontal="left" vertical="center" wrapText="1"/>
    </xf>
    <xf numFmtId="4" fontId="3" fillId="0" borderId="39" xfId="110" applyNumberFormat="1" applyBorder="1" applyAlignment="1">
      <alignment horizontal="left" vertical="center" wrapText="1"/>
    </xf>
    <xf numFmtId="4" fontId="3" fillId="0" borderId="84" xfId="110" applyNumberFormat="1" applyBorder="1" applyAlignment="1">
      <alignment horizontal="left" vertical="center" wrapText="1"/>
    </xf>
    <xf numFmtId="0" fontId="3" fillId="0" borderId="0" xfId="110" applyAlignment="1">
      <alignment horizontal="left" vertical="center" wrapText="1"/>
    </xf>
    <xf numFmtId="40" fontId="58" fillId="0" borderId="44" xfId="45" applyFont="1" applyBorder="1" applyAlignment="1">
      <alignment horizontal="right" vertical="center"/>
    </xf>
    <xf numFmtId="40" fontId="58" fillId="0" borderId="50" xfId="45" applyFont="1" applyBorder="1" applyAlignment="1">
      <alignment horizontal="right" vertical="center"/>
    </xf>
    <xf numFmtId="0" fontId="13" fillId="0" borderId="70" xfId="122" applyFont="1" applyBorder="1" applyAlignment="1">
      <alignment horizontal="left" vertical="center"/>
    </xf>
    <xf numFmtId="0" fontId="13" fillId="0" borderId="48" xfId="122" applyFont="1" applyBorder="1" applyAlignment="1">
      <alignment horizontal="left" vertical="center"/>
    </xf>
    <xf numFmtId="0" fontId="58" fillId="28" borderId="169" xfId="122" applyFont="1" applyFill="1" applyBorder="1" applyAlignment="1">
      <alignment horizontal="center" vertical="center" wrapText="1"/>
    </xf>
    <xf numFmtId="0" fontId="58" fillId="28" borderId="170" xfId="122" applyFont="1" applyFill="1" applyBorder="1" applyAlignment="1">
      <alignment horizontal="center" vertical="center"/>
    </xf>
    <xf numFmtId="0" fontId="58" fillId="28" borderId="171" xfId="122" applyFont="1" applyFill="1" applyBorder="1" applyAlignment="1">
      <alignment horizontal="center" vertical="center"/>
    </xf>
    <xf numFmtId="0" fontId="58" fillId="0" borderId="172" xfId="122" applyFont="1" applyBorder="1" applyAlignment="1">
      <alignment horizontal="center" vertical="center"/>
    </xf>
    <xf numFmtId="0" fontId="58" fillId="0" borderId="173" xfId="122" applyFont="1" applyBorder="1" applyAlignment="1">
      <alignment horizontal="center" vertical="center"/>
    </xf>
    <xf numFmtId="0" fontId="58" fillId="28" borderId="174" xfId="122" applyFont="1" applyFill="1" applyBorder="1" applyAlignment="1">
      <alignment horizontal="center" vertical="center" wrapText="1"/>
    </xf>
    <xf numFmtId="0" fontId="3" fillId="28" borderId="50" xfId="122" applyFont="1" applyFill="1" applyBorder="1" applyAlignment="1">
      <alignment horizontal="center" vertical="center" wrapText="1"/>
    </xf>
    <xf numFmtId="4" fontId="58" fillId="0" borderId="40" xfId="122" applyNumberFormat="1" applyFont="1" applyBorder="1" applyAlignment="1">
      <alignment horizontal="center" vertical="center"/>
    </xf>
    <xf numFmtId="4" fontId="58" fillId="0" borderId="61" xfId="122" applyNumberFormat="1" applyFont="1" applyBorder="1" applyAlignment="1">
      <alignment horizontal="center" vertical="center"/>
    </xf>
    <xf numFmtId="0" fontId="3" fillId="0" borderId="40" xfId="122" applyFont="1" applyBorder="1" applyAlignment="1">
      <alignment horizontal="center" vertical="center"/>
    </xf>
    <xf numFmtId="0" fontId="3" fillId="0" borderId="175" xfId="122" applyFont="1" applyBorder="1" applyAlignment="1">
      <alignment horizontal="center" vertical="center"/>
    </xf>
    <xf numFmtId="0" fontId="3" fillId="0" borderId="176" xfId="122" applyFont="1" applyBorder="1" applyAlignment="1">
      <alignment horizontal="center" vertical="center"/>
    </xf>
    <xf numFmtId="0" fontId="3" fillId="0" borderId="177" xfId="122" applyFont="1" applyBorder="1" applyAlignment="1">
      <alignment horizontal="center" vertical="center"/>
    </xf>
    <xf numFmtId="0" fontId="58" fillId="28" borderId="158" xfId="122" applyFont="1" applyFill="1" applyBorder="1" applyAlignment="1">
      <alignment horizontal="center" vertical="center" wrapText="1"/>
    </xf>
    <xf numFmtId="0" fontId="58" fillId="28" borderId="159" xfId="122" applyFont="1" applyFill="1" applyBorder="1" applyAlignment="1">
      <alignment horizontal="center" vertical="center" wrapText="1"/>
    </xf>
    <xf numFmtId="0" fontId="58" fillId="28" borderId="162" xfId="122" applyFont="1" applyFill="1" applyBorder="1" applyAlignment="1">
      <alignment horizontal="center" vertical="center" wrapText="1"/>
    </xf>
    <xf numFmtId="0" fontId="3" fillId="28" borderId="163" xfId="122" applyFont="1" applyFill="1" applyBorder="1" applyAlignment="1">
      <alignment horizontal="center" vertical="center" wrapText="1"/>
    </xf>
    <xf numFmtId="9" fontId="58" fillId="0" borderId="40" xfId="129" applyFont="1" applyBorder="1" applyAlignment="1">
      <alignment horizontal="center" vertical="center"/>
    </xf>
    <xf numFmtId="9" fontId="58" fillId="0" borderId="61" xfId="129" applyFont="1" applyBorder="1" applyAlignment="1">
      <alignment horizontal="center" vertical="center"/>
    </xf>
    <xf numFmtId="0" fontId="3" fillId="28" borderId="159" xfId="122" applyFont="1" applyFill="1" applyBorder="1" applyAlignment="1">
      <alignment horizontal="center" vertical="center" wrapText="1"/>
    </xf>
    <xf numFmtId="40" fontId="58" fillId="0" borderId="45" xfId="45" applyFont="1" applyBorder="1" applyAlignment="1">
      <alignment horizontal="center" vertical="center" wrapText="1"/>
    </xf>
    <xf numFmtId="40" fontId="58" fillId="0" borderId="128" xfId="45" applyFont="1" applyBorder="1" applyAlignment="1">
      <alignment horizontal="center" vertical="center"/>
    </xf>
    <xf numFmtId="40" fontId="58" fillId="0" borderId="178" xfId="45" applyFont="1" applyBorder="1" applyAlignment="1">
      <alignment horizontal="center" vertical="center"/>
    </xf>
    <xf numFmtId="40" fontId="58" fillId="0" borderId="57" xfId="45" applyFont="1" applyBorder="1" applyAlignment="1">
      <alignment horizontal="center" vertical="center"/>
    </xf>
    <xf numFmtId="40" fontId="58" fillId="0" borderId="42" xfId="45" applyFont="1" applyBorder="1" applyAlignment="1">
      <alignment horizontal="right" vertical="center"/>
    </xf>
    <xf numFmtId="0" fontId="58" fillId="28" borderId="179" xfId="122" applyFont="1" applyFill="1" applyBorder="1" applyAlignment="1">
      <alignment horizontal="center" vertical="center" wrapText="1"/>
    </xf>
    <xf numFmtId="0" fontId="3" fillId="28" borderId="51" xfId="122" applyFont="1" applyFill="1" applyBorder="1" applyAlignment="1">
      <alignment vertical="center" wrapText="1"/>
    </xf>
    <xf numFmtId="0" fontId="58" fillId="28" borderId="180" xfId="122" applyFont="1" applyFill="1" applyBorder="1" applyAlignment="1">
      <alignment horizontal="center" vertical="center" wrapText="1"/>
    </xf>
    <xf numFmtId="0" fontId="3" fillId="28" borderId="181" xfId="122" applyFont="1" applyFill="1" applyBorder="1" applyAlignment="1">
      <alignment vertical="center" wrapText="1"/>
    </xf>
    <xf numFmtId="0" fontId="58" fillId="28" borderId="182" xfId="122" applyFont="1" applyFill="1" applyBorder="1" applyAlignment="1">
      <alignment horizontal="center" vertical="center" wrapText="1"/>
    </xf>
    <xf numFmtId="0" fontId="58" fillId="28" borderId="49" xfId="122" applyFont="1" applyFill="1" applyBorder="1" applyAlignment="1">
      <alignment horizontal="center" vertical="center" wrapText="1"/>
    </xf>
    <xf numFmtId="0" fontId="58" fillId="0" borderId="183" xfId="122" applyFont="1" applyBorder="1" applyAlignment="1">
      <alignment horizontal="center" vertical="center" wrapText="1"/>
    </xf>
    <xf numFmtId="0" fontId="58" fillId="0" borderId="180" xfId="122" applyFont="1" applyBorder="1" applyAlignment="1">
      <alignment horizontal="center" vertical="center"/>
    </xf>
    <xf numFmtId="0" fontId="58" fillId="0" borderId="63" xfId="122" applyFont="1" applyBorder="1" applyAlignment="1">
      <alignment horizontal="center" vertical="center"/>
    </xf>
    <xf numFmtId="0" fontId="58" fillId="0" borderId="65" xfId="122" applyFont="1" applyBorder="1" applyAlignment="1">
      <alignment horizontal="center" vertical="center"/>
    </xf>
    <xf numFmtId="9" fontId="58" fillId="0" borderId="174" xfId="122" applyNumberFormat="1" applyFont="1" applyBorder="1" applyAlignment="1">
      <alignment horizontal="right" vertical="center"/>
    </xf>
    <xf numFmtId="9" fontId="58" fillId="0" borderId="62" xfId="122" applyNumberFormat="1" applyFont="1" applyBorder="1" applyAlignment="1">
      <alignment horizontal="right" vertical="center"/>
    </xf>
    <xf numFmtId="0" fontId="145" fillId="28" borderId="157" xfId="122" applyFont="1" applyFill="1" applyBorder="1" applyAlignment="1">
      <alignment horizontal="center" vertical="center" wrapText="1"/>
    </xf>
    <xf numFmtId="0" fontId="105" fillId="28" borderId="49" xfId="122" applyFont="1" applyFill="1" applyBorder="1" applyAlignment="1">
      <alignment horizontal="center" vertical="center" wrapText="1"/>
    </xf>
    <xf numFmtId="40" fontId="58" fillId="0" borderId="55" xfId="45" applyFont="1" applyBorder="1" applyAlignment="1">
      <alignment horizontal="center" vertical="center"/>
    </xf>
    <xf numFmtId="40" fontId="58" fillId="0" borderId="0" xfId="45" applyFont="1" applyBorder="1" applyAlignment="1">
      <alignment horizontal="center" vertical="center"/>
    </xf>
    <xf numFmtId="40" fontId="58" fillId="0" borderId="131" xfId="45" applyFont="1" applyBorder="1" applyAlignment="1">
      <alignment horizontal="center" vertical="center"/>
    </xf>
    <xf numFmtId="40" fontId="58" fillId="0" borderId="56" xfId="45" applyFont="1" applyBorder="1" applyAlignment="1">
      <alignment horizontal="center" vertical="center"/>
    </xf>
    <xf numFmtId="40" fontId="58" fillId="0" borderId="181" xfId="45" applyFont="1" applyBorder="1" applyAlignment="1">
      <alignment horizontal="center" vertical="center"/>
    </xf>
    <xf numFmtId="0" fontId="146" fillId="28" borderId="162" xfId="122" applyFont="1" applyFill="1" applyBorder="1" applyAlignment="1">
      <alignment horizontal="center" vertical="center" wrapText="1"/>
    </xf>
    <xf numFmtId="0" fontId="147" fillId="28" borderId="163" xfId="122" applyFont="1" applyFill="1" applyBorder="1" applyAlignment="1">
      <alignment horizontal="center" vertical="center" wrapText="1"/>
    </xf>
    <xf numFmtId="0" fontId="61" fillId="0" borderId="0" xfId="122" applyFont="1" applyAlignment="1">
      <alignment horizontal="center"/>
    </xf>
    <xf numFmtId="0" fontId="58" fillId="28" borderId="184" xfId="122" applyFont="1" applyFill="1" applyBorder="1" applyAlignment="1">
      <alignment horizontal="center" vertical="center" wrapText="1"/>
    </xf>
    <xf numFmtId="0" fontId="58" fillId="28" borderId="48" xfId="122" applyFont="1" applyFill="1" applyBorder="1" applyAlignment="1">
      <alignment horizontal="center" vertical="center"/>
    </xf>
    <xf numFmtId="0" fontId="58" fillId="28" borderId="48" xfId="122" applyFont="1" applyFill="1" applyBorder="1" applyAlignment="1">
      <alignment horizontal="center" vertical="center" wrapText="1"/>
    </xf>
    <xf numFmtId="49" fontId="58" fillId="28" borderId="179" xfId="122" applyNumberFormat="1" applyFont="1" applyFill="1" applyBorder="1" applyAlignment="1">
      <alignment horizontal="center" vertical="center" wrapText="1"/>
    </xf>
    <xf numFmtId="49" fontId="58" fillId="28" borderId="51" xfId="122" applyNumberFormat="1" applyFont="1" applyFill="1" applyBorder="1" applyAlignment="1">
      <alignment horizontal="center" vertical="center"/>
    </xf>
    <xf numFmtId="0" fontId="58" fillId="28" borderId="182" xfId="122" applyFont="1" applyFill="1" applyBorder="1" applyAlignment="1">
      <alignment horizontal="center" vertical="center"/>
    </xf>
    <xf numFmtId="0" fontId="58" fillId="28" borderId="49" xfId="122" applyFont="1" applyFill="1" applyBorder="1" applyAlignment="1">
      <alignment horizontal="center" vertical="center"/>
    </xf>
    <xf numFmtId="0" fontId="58" fillId="28" borderId="174" xfId="122" applyFont="1" applyFill="1" applyBorder="1" applyAlignment="1">
      <alignment horizontal="center" vertical="center"/>
    </xf>
    <xf numFmtId="0" fontId="58" fillId="28" borderId="50" xfId="122" applyFont="1" applyFill="1" applyBorder="1" applyAlignment="1">
      <alignment horizontal="center" vertical="center"/>
    </xf>
    <xf numFmtId="0" fontId="58" fillId="0" borderId="116" xfId="110" applyFont="1" applyBorder="1" applyAlignment="1">
      <alignment horizontal="center"/>
    </xf>
    <xf numFmtId="0" fontId="58" fillId="0" borderId="155" xfId="110" applyFont="1" applyBorder="1" applyAlignment="1">
      <alignment horizontal="center"/>
    </xf>
    <xf numFmtId="4" fontId="3" fillId="0" borderId="0" xfId="110" applyNumberFormat="1" applyAlignment="1">
      <alignment vertical="center"/>
    </xf>
  </cellXfs>
  <cellStyles count="198">
    <cellStyle name="??&amp;O?&amp;H?_x0008__x000f__x0007_?_x0007__x0001__x0001_" xfId="1" xr:uid="{00000000-0005-0000-0000-000000000000}"/>
    <cellStyle name="0,0_x000d__x000a_NA_x000d__x000a_" xfId="2" xr:uid="{00000000-0005-0000-0000-000001000000}"/>
    <cellStyle name="20% - Accent1" xfId="3" builtinId="30" customBuiltin="1"/>
    <cellStyle name="20% - Accent2" xfId="4" builtinId="34" customBuiltin="1"/>
    <cellStyle name="20% - Accent3" xfId="5" builtinId="38" customBuiltin="1"/>
    <cellStyle name="20% - Accent4" xfId="6" builtinId="42" customBuiltin="1"/>
    <cellStyle name="20% - Accent5" xfId="7" builtinId="46" customBuiltin="1"/>
    <cellStyle name="20% - Accent6" xfId="8" builtinId="50" customBuiltin="1"/>
    <cellStyle name="40% - Accent1" xfId="9" builtinId="31" customBuiltin="1"/>
    <cellStyle name="40% - Accent2" xfId="10" builtinId="35" customBuiltin="1"/>
    <cellStyle name="40% - Accent3" xfId="11" builtinId="39" customBuiltin="1"/>
    <cellStyle name="40% - Accent4" xfId="12" builtinId="43" customBuiltin="1"/>
    <cellStyle name="40% - Accent5" xfId="13" builtinId="47" customBuiltin="1"/>
    <cellStyle name="40% - Accent6" xfId="14" builtinId="51" customBuiltin="1"/>
    <cellStyle name="60% - Accent1" xfId="15" builtinId="32" customBuiltin="1"/>
    <cellStyle name="60% - Accent2" xfId="16" builtinId="36" customBuiltin="1"/>
    <cellStyle name="60% - Accent3" xfId="17" builtinId="40" customBuiltin="1"/>
    <cellStyle name="60% - Accent4" xfId="18" builtinId="44" customBuiltin="1"/>
    <cellStyle name="60% - Accent5" xfId="19" builtinId="48" customBuiltin="1"/>
    <cellStyle name="60% - Accent6" xfId="20" builtinId="52" customBuiltin="1"/>
    <cellStyle name="Accent1" xfId="21" builtinId="29" customBuiltin="1"/>
    <cellStyle name="Accent2" xfId="22" builtinId="33" customBuiltin="1"/>
    <cellStyle name="Accent3" xfId="23" builtinId="37" customBuiltin="1"/>
    <cellStyle name="Accent4" xfId="24" builtinId="41" customBuiltin="1"/>
    <cellStyle name="Accent5" xfId="25" builtinId="45" customBuiltin="1"/>
    <cellStyle name="Accent6" xfId="26" builtinId="49" customBuiltin="1"/>
    <cellStyle name="Bad" xfId="27" builtinId="27" customBuiltin="1"/>
    <cellStyle name="Calc Currency (0)" xfId="28" xr:uid="{00000000-0005-0000-0000-00001B000000}"/>
    <cellStyle name="Calc Currency (2)" xfId="29" xr:uid="{00000000-0005-0000-0000-00001C000000}"/>
    <cellStyle name="Calc Percent (0)" xfId="30" xr:uid="{00000000-0005-0000-0000-00001D000000}"/>
    <cellStyle name="Calc Percent (1)" xfId="31" xr:uid="{00000000-0005-0000-0000-00001E000000}"/>
    <cellStyle name="Calc Percent (2)" xfId="32" xr:uid="{00000000-0005-0000-0000-00001F000000}"/>
    <cellStyle name="Calc Units (0)" xfId="33" xr:uid="{00000000-0005-0000-0000-000020000000}"/>
    <cellStyle name="Calc Units (1)" xfId="34" xr:uid="{00000000-0005-0000-0000-000021000000}"/>
    <cellStyle name="Calc Units (2)" xfId="35" xr:uid="{00000000-0005-0000-0000-000022000000}"/>
    <cellStyle name="Calculation" xfId="36" builtinId="22" customBuiltin="1"/>
    <cellStyle name="Check Cell" xfId="37" builtinId="23" customBuiltin="1"/>
    <cellStyle name="Comma [00]" xfId="38" xr:uid="{00000000-0005-0000-0000-000025000000}"/>
    <cellStyle name="Comma 2" xfId="39" xr:uid="{00000000-0005-0000-0000-000026000000}"/>
    <cellStyle name="Comma 2 17" xfId="40" xr:uid="{00000000-0005-0000-0000-000027000000}"/>
    <cellStyle name="Comma 2 2" xfId="41" xr:uid="{00000000-0005-0000-0000-000028000000}"/>
    <cellStyle name="Comma 2 3" xfId="42" xr:uid="{00000000-0005-0000-0000-000029000000}"/>
    <cellStyle name="Comma 3" xfId="43" xr:uid="{00000000-0005-0000-0000-00002A000000}"/>
    <cellStyle name="Comma 3 2" xfId="44" xr:uid="{00000000-0005-0000-0000-00002B000000}"/>
    <cellStyle name="Comma 3 22" xfId="45" xr:uid="{00000000-0005-0000-0000-00002C000000}"/>
    <cellStyle name="Comma 3 22 2" xfId="46" xr:uid="{00000000-0005-0000-0000-00002D000000}"/>
    <cellStyle name="Comma 3 3" xfId="47" xr:uid="{00000000-0005-0000-0000-00002E000000}"/>
    <cellStyle name="Comma 4" xfId="48" xr:uid="{00000000-0005-0000-0000-00002F000000}"/>
    <cellStyle name="Comma 4 2" xfId="49" xr:uid="{00000000-0005-0000-0000-000030000000}"/>
    <cellStyle name="Comma 5" xfId="50" xr:uid="{00000000-0005-0000-0000-000031000000}"/>
    <cellStyle name="Comma 83" xfId="51" xr:uid="{00000000-0005-0000-0000-000032000000}"/>
    <cellStyle name="Comma_Jeddah-Fins" xfId="52" xr:uid="{00000000-0005-0000-0000-000033000000}"/>
    <cellStyle name="Comma0 - Modelo1" xfId="53" xr:uid="{00000000-0005-0000-0000-000034000000}"/>
    <cellStyle name="Comma0 - Style1" xfId="54" xr:uid="{00000000-0005-0000-0000-000035000000}"/>
    <cellStyle name="Comma1 - Modelo2" xfId="55" xr:uid="{00000000-0005-0000-0000-000036000000}"/>
    <cellStyle name="Comma1 - Style2" xfId="56" xr:uid="{00000000-0005-0000-0000-000037000000}"/>
    <cellStyle name="Currency (0.00)" xfId="57" xr:uid="{00000000-0005-0000-0000-000038000000}"/>
    <cellStyle name="Currency [00]" xfId="58" xr:uid="{00000000-0005-0000-0000-000039000000}"/>
    <cellStyle name="Date Short" xfId="59" xr:uid="{00000000-0005-0000-0000-00003A000000}"/>
    <cellStyle name="Dia" xfId="60" xr:uid="{00000000-0005-0000-0000-00003B000000}"/>
    <cellStyle name="Encabez1" xfId="61" xr:uid="{00000000-0005-0000-0000-00003C000000}"/>
    <cellStyle name="Encabez2" xfId="62" xr:uid="{00000000-0005-0000-0000-00003D000000}"/>
    <cellStyle name="Enter Currency (0)" xfId="63" xr:uid="{00000000-0005-0000-0000-00003E000000}"/>
    <cellStyle name="Enter Currency (2)" xfId="64" xr:uid="{00000000-0005-0000-0000-00003F000000}"/>
    <cellStyle name="Enter Units (0)" xfId="65" xr:uid="{00000000-0005-0000-0000-000040000000}"/>
    <cellStyle name="Enter Units (1)" xfId="66" xr:uid="{00000000-0005-0000-0000-000041000000}"/>
    <cellStyle name="Enter Units (2)" xfId="67" xr:uid="{00000000-0005-0000-0000-000042000000}"/>
    <cellStyle name="Euro" xfId="68" xr:uid="{00000000-0005-0000-0000-000043000000}"/>
    <cellStyle name="Explanatory Text" xfId="69" builtinId="53" customBuiltin="1"/>
    <cellStyle name="F2" xfId="70" xr:uid="{00000000-0005-0000-0000-000045000000}"/>
    <cellStyle name="F3" xfId="71" xr:uid="{00000000-0005-0000-0000-000046000000}"/>
    <cellStyle name="F4" xfId="72" xr:uid="{00000000-0005-0000-0000-000047000000}"/>
    <cellStyle name="F5" xfId="73" xr:uid="{00000000-0005-0000-0000-000048000000}"/>
    <cellStyle name="F6" xfId="74" xr:uid="{00000000-0005-0000-0000-000049000000}"/>
    <cellStyle name="F7" xfId="75" xr:uid="{00000000-0005-0000-0000-00004A000000}"/>
    <cellStyle name="F8" xfId="76" xr:uid="{00000000-0005-0000-0000-00004B000000}"/>
    <cellStyle name="Fijo" xfId="77" xr:uid="{00000000-0005-0000-0000-00004C000000}"/>
    <cellStyle name="Financiero" xfId="78" xr:uid="{00000000-0005-0000-0000-00004D000000}"/>
    <cellStyle name="Good" xfId="79" builtinId="26" customBuiltin="1"/>
    <cellStyle name="Header1" xfId="80" xr:uid="{00000000-0005-0000-0000-00004F000000}"/>
    <cellStyle name="Header2" xfId="81" xr:uid="{00000000-0005-0000-0000-000050000000}"/>
    <cellStyle name="Heading 1" xfId="82" builtinId="16" customBuiltin="1"/>
    <cellStyle name="Heading 2" xfId="83" builtinId="17" customBuiltin="1"/>
    <cellStyle name="Heading 3" xfId="84" builtinId="18" customBuiltin="1"/>
    <cellStyle name="Heading 4" xfId="85" builtinId="19" customBuiltin="1"/>
    <cellStyle name="Hyperlink" xfId="86" builtinId="8"/>
    <cellStyle name="Input" xfId="87" builtinId="20" customBuiltin="1"/>
    <cellStyle name="Link Currency (0)" xfId="88" xr:uid="{00000000-0005-0000-0000-000057000000}"/>
    <cellStyle name="Link Currency (2)" xfId="89" xr:uid="{00000000-0005-0000-0000-000058000000}"/>
    <cellStyle name="Link Units (0)" xfId="90" xr:uid="{00000000-0005-0000-0000-000059000000}"/>
    <cellStyle name="Link Units (1)" xfId="91" xr:uid="{00000000-0005-0000-0000-00005A000000}"/>
    <cellStyle name="Link Units (2)" xfId="92" xr:uid="{00000000-0005-0000-0000-00005B000000}"/>
    <cellStyle name="Linked Cell" xfId="93" builtinId="24" customBuiltin="1"/>
    <cellStyle name="Millares [0]_10 AVERIAS MASIVAS + ANT" xfId="94" xr:uid="{00000000-0005-0000-0000-00005D000000}"/>
    <cellStyle name="Millares_10 AVERIAS MASIVAS + ANT" xfId="95" xr:uid="{00000000-0005-0000-0000-00005E000000}"/>
    <cellStyle name="Moneda [0]_10 AVERIAS MASIVAS + ANT" xfId="96" xr:uid="{00000000-0005-0000-0000-00005F000000}"/>
    <cellStyle name="Moneda_10 AVERIAS MASIVAS + ANT" xfId="97" xr:uid="{00000000-0005-0000-0000-000060000000}"/>
    <cellStyle name="Monetario" xfId="98" xr:uid="{00000000-0005-0000-0000-000061000000}"/>
    <cellStyle name="MS_Arabic" xfId="99" xr:uid="{00000000-0005-0000-0000-000062000000}"/>
    <cellStyle name="Neutral" xfId="100" builtinId="28" customBuiltin="1"/>
    <cellStyle name="no dec" xfId="101" xr:uid="{00000000-0005-0000-0000-000064000000}"/>
    <cellStyle name="Normal" xfId="0" builtinId="0"/>
    <cellStyle name="Normal - Style1" xfId="102" xr:uid="{00000000-0005-0000-0000-000066000000}"/>
    <cellStyle name="Normal - Style2" xfId="103" xr:uid="{00000000-0005-0000-0000-000067000000}"/>
    <cellStyle name="Normal - Style3" xfId="104" xr:uid="{00000000-0005-0000-0000-000068000000}"/>
    <cellStyle name="Normal - Style4" xfId="105" xr:uid="{00000000-0005-0000-0000-000069000000}"/>
    <cellStyle name="Normal - Style5" xfId="106" xr:uid="{00000000-0005-0000-0000-00006A000000}"/>
    <cellStyle name="Normal - Style6" xfId="107" xr:uid="{00000000-0005-0000-0000-00006B000000}"/>
    <cellStyle name="Normal - Style7" xfId="108" xr:uid="{00000000-0005-0000-0000-00006C000000}"/>
    <cellStyle name="Normal - Style8" xfId="109" xr:uid="{00000000-0005-0000-0000-00006D000000}"/>
    <cellStyle name="Normal 10" xfId="110" xr:uid="{00000000-0005-0000-0000-00006E000000}"/>
    <cellStyle name="Normal 177" xfId="111" xr:uid="{00000000-0005-0000-0000-00006F000000}"/>
    <cellStyle name="Normal 2" xfId="112" xr:uid="{00000000-0005-0000-0000-000070000000}"/>
    <cellStyle name="Normal 2 150" xfId="113" xr:uid="{00000000-0005-0000-0000-000071000000}"/>
    <cellStyle name="Normal 2 2" xfId="114" xr:uid="{00000000-0005-0000-0000-000072000000}"/>
    <cellStyle name="Normal 2 2 19" xfId="115" xr:uid="{00000000-0005-0000-0000-000073000000}"/>
    <cellStyle name="Normal 2 3" xfId="116" xr:uid="{00000000-0005-0000-0000-000074000000}"/>
    <cellStyle name="Normal 3" xfId="117" xr:uid="{00000000-0005-0000-0000-000075000000}"/>
    <cellStyle name="Normal 3 2" xfId="118" xr:uid="{00000000-0005-0000-0000-000076000000}"/>
    <cellStyle name="Normal 4" xfId="119" xr:uid="{00000000-0005-0000-0000-000077000000}"/>
    <cellStyle name="Normal 5" xfId="120" xr:uid="{00000000-0005-0000-0000-000078000000}"/>
    <cellStyle name="Normal 6" xfId="121" xr:uid="{00000000-0005-0000-0000-000079000000}"/>
    <cellStyle name="Normal 6 2 8" xfId="122" xr:uid="{00000000-0005-0000-0000-00007A000000}"/>
    <cellStyle name="Normal 6 2 8 2" xfId="123" xr:uid="{00000000-0005-0000-0000-00007B000000}"/>
    <cellStyle name="Normal_Jeddah-Fins" xfId="124" xr:uid="{00000000-0005-0000-0000-00007C000000}"/>
    <cellStyle name="Normal_Sheet1" xfId="125" xr:uid="{00000000-0005-0000-0000-00007D000000}"/>
    <cellStyle name="Normal_Sheet2" xfId="126" xr:uid="{00000000-0005-0000-0000-00007E000000}"/>
    <cellStyle name="Note" xfId="127" builtinId="10" customBuiltin="1"/>
    <cellStyle name="Output" xfId="128" builtinId="21" customBuiltin="1"/>
    <cellStyle name="Percent" xfId="129" builtinId="5"/>
    <cellStyle name="Percent [0]" xfId="130" xr:uid="{00000000-0005-0000-0000-000082000000}"/>
    <cellStyle name="Percent [00]" xfId="131" xr:uid="{00000000-0005-0000-0000-000083000000}"/>
    <cellStyle name="Percent 2" xfId="132" xr:uid="{00000000-0005-0000-0000-000084000000}"/>
    <cellStyle name="Percent 2 2" xfId="133" xr:uid="{00000000-0005-0000-0000-000085000000}"/>
    <cellStyle name="Percent 3" xfId="134" xr:uid="{00000000-0005-0000-0000-000086000000}"/>
    <cellStyle name="Percent 3 2" xfId="135" xr:uid="{00000000-0005-0000-0000-000087000000}"/>
    <cellStyle name="Percent 4" xfId="136" xr:uid="{00000000-0005-0000-0000-000088000000}"/>
    <cellStyle name="Percent 5" xfId="137" xr:uid="{00000000-0005-0000-0000-000089000000}"/>
    <cellStyle name="Percent 6" xfId="138" xr:uid="{00000000-0005-0000-0000-00008A000000}"/>
    <cellStyle name="Percent 7" xfId="139" xr:uid="{00000000-0005-0000-0000-00008B000000}"/>
    <cellStyle name="Percent 8" xfId="140" xr:uid="{00000000-0005-0000-0000-00008C000000}"/>
    <cellStyle name="Percent 9" xfId="141" xr:uid="{00000000-0005-0000-0000-00008D000000}"/>
    <cellStyle name="Porcentaje" xfId="142" xr:uid="{00000000-0005-0000-0000-00008E000000}"/>
    <cellStyle name="PrePop Currency (0)" xfId="143" xr:uid="{00000000-0005-0000-0000-00008F000000}"/>
    <cellStyle name="PrePop Currency (2)" xfId="144" xr:uid="{00000000-0005-0000-0000-000090000000}"/>
    <cellStyle name="PrePop Units (0)" xfId="145" xr:uid="{00000000-0005-0000-0000-000091000000}"/>
    <cellStyle name="PrePop Units (1)" xfId="146" xr:uid="{00000000-0005-0000-0000-000092000000}"/>
    <cellStyle name="PrePop Units (2)" xfId="147" xr:uid="{00000000-0005-0000-0000-000093000000}"/>
    <cellStyle name="PSChar" xfId="148" xr:uid="{00000000-0005-0000-0000-000094000000}"/>
    <cellStyle name="PSHeading" xfId="149" xr:uid="{00000000-0005-0000-0000-000095000000}"/>
    <cellStyle name="RISKbigPercent" xfId="150" xr:uid="{00000000-0005-0000-0000-000096000000}"/>
    <cellStyle name="RISKblandrEdge" xfId="151" xr:uid="{00000000-0005-0000-0000-000097000000}"/>
    <cellStyle name="RISKblCorner" xfId="152" xr:uid="{00000000-0005-0000-0000-000098000000}"/>
    <cellStyle name="RISKbottomEdge" xfId="153" xr:uid="{00000000-0005-0000-0000-000099000000}"/>
    <cellStyle name="RISKbrCorner" xfId="154" xr:uid="{00000000-0005-0000-0000-00009A000000}"/>
    <cellStyle name="RISKdarkBoxed" xfId="155" xr:uid="{00000000-0005-0000-0000-00009B000000}"/>
    <cellStyle name="RISKdarkShade" xfId="156" xr:uid="{00000000-0005-0000-0000-00009C000000}"/>
    <cellStyle name="RISKdbottomEdge" xfId="157" xr:uid="{00000000-0005-0000-0000-00009D000000}"/>
    <cellStyle name="RISKdrightEdge" xfId="158" xr:uid="{00000000-0005-0000-0000-00009E000000}"/>
    <cellStyle name="RISKdurationTime" xfId="159" xr:uid="{00000000-0005-0000-0000-00009F000000}"/>
    <cellStyle name="RISKinNumber" xfId="160" xr:uid="{00000000-0005-0000-0000-0000A0000000}"/>
    <cellStyle name="RISKlandrEdge" xfId="161" xr:uid="{00000000-0005-0000-0000-0000A1000000}"/>
    <cellStyle name="RISKleftEdge" xfId="162" xr:uid="{00000000-0005-0000-0000-0000A2000000}"/>
    <cellStyle name="RISKlightBoxed" xfId="163" xr:uid="{00000000-0005-0000-0000-0000A3000000}"/>
    <cellStyle name="RISKltandbEdge" xfId="164" xr:uid="{00000000-0005-0000-0000-0000A4000000}"/>
    <cellStyle name="RISKnormBoxed" xfId="165" xr:uid="{00000000-0005-0000-0000-0000A5000000}"/>
    <cellStyle name="RISKnormCenter" xfId="166" xr:uid="{00000000-0005-0000-0000-0000A6000000}"/>
    <cellStyle name="RISKnormHeading" xfId="167" xr:uid="{00000000-0005-0000-0000-0000A7000000}"/>
    <cellStyle name="RISKnormItal" xfId="168" xr:uid="{00000000-0005-0000-0000-0000A8000000}"/>
    <cellStyle name="RISKnormLabel" xfId="169" xr:uid="{00000000-0005-0000-0000-0000A9000000}"/>
    <cellStyle name="RISKnormShade" xfId="170" xr:uid="{00000000-0005-0000-0000-0000AA000000}"/>
    <cellStyle name="RISKnormTitle" xfId="171" xr:uid="{00000000-0005-0000-0000-0000AB000000}"/>
    <cellStyle name="RISKoutNumber" xfId="172" xr:uid="{00000000-0005-0000-0000-0000AC000000}"/>
    <cellStyle name="RISKrightEdge" xfId="173" xr:uid="{00000000-0005-0000-0000-0000AD000000}"/>
    <cellStyle name="RISKrtandbEdge" xfId="174" xr:uid="{00000000-0005-0000-0000-0000AE000000}"/>
    <cellStyle name="RISKssTime" xfId="175" xr:uid="{00000000-0005-0000-0000-0000AF000000}"/>
    <cellStyle name="RISKtandbEdge" xfId="176" xr:uid="{00000000-0005-0000-0000-0000B0000000}"/>
    <cellStyle name="RISKtlandrEdge" xfId="177" xr:uid="{00000000-0005-0000-0000-0000B1000000}"/>
    <cellStyle name="RISKtlCorner" xfId="178" xr:uid="{00000000-0005-0000-0000-0000B2000000}"/>
    <cellStyle name="RISKtopEdge" xfId="179" xr:uid="{00000000-0005-0000-0000-0000B3000000}"/>
    <cellStyle name="RISKtrCorner" xfId="180" xr:uid="{00000000-0005-0000-0000-0000B4000000}"/>
    <cellStyle name="RM" xfId="181" xr:uid="{00000000-0005-0000-0000-0000B5000000}"/>
    <cellStyle name="sbt2" xfId="182" xr:uid="{00000000-0005-0000-0000-0000B6000000}"/>
    <cellStyle name="Standard_LOT1-2501-1600DiCoDhauliganga" xfId="183" xr:uid="{00000000-0005-0000-0000-0000B7000000}"/>
    <cellStyle name="Style 1" xfId="184" xr:uid="{00000000-0005-0000-0000-0000B8000000}"/>
    <cellStyle name="subt1" xfId="185" xr:uid="{00000000-0005-0000-0000-0000B9000000}"/>
    <cellStyle name="Text Indent A" xfId="186" xr:uid="{00000000-0005-0000-0000-0000BA000000}"/>
    <cellStyle name="Text Indent B" xfId="187" xr:uid="{00000000-0005-0000-0000-0000BB000000}"/>
    <cellStyle name="Text Indent C" xfId="188" xr:uid="{00000000-0005-0000-0000-0000BC000000}"/>
    <cellStyle name="Title" xfId="189" builtinId="15" customBuiltin="1"/>
    <cellStyle name="Total" xfId="190" builtinId="25" customBuiltin="1"/>
    <cellStyle name="Warning Text" xfId="191" builtinId="11" customBuiltin="1"/>
    <cellStyle name="쉼표 [0]_1116 Civil N Arch Cost BoQ with Variation(1)" xfId="192" xr:uid="{00000000-0005-0000-0000-0000C0000000}"/>
    <cellStyle name="쉼표_B-9A-1-1" xfId="193" xr:uid="{00000000-0005-0000-0000-0000C1000000}"/>
    <cellStyle name="콤마 [0]_관리항목_업종별 " xfId="194" xr:uid="{00000000-0005-0000-0000-0000C2000000}"/>
    <cellStyle name="콤마_31_SUM OF W. D.17(25.03)" xfId="195" xr:uid="{00000000-0005-0000-0000-0000C3000000}"/>
    <cellStyle name="통화_40" xfId="196" xr:uid="{00000000-0005-0000-0000-0000C4000000}"/>
    <cellStyle name="표준_1116 Civil N Arch Cost BoQ with Variation(1)" xfId="197" xr:uid="{00000000-0005-0000-0000-0000C5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pl-prj07\local%20c\AMANA%20Project\Al%20Ankary\2000\2049%20Generator%20Bldg%20at%20Batha%20Borders\BANK4\Enquiries\BANK\SUPPLI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pl-prj05\Dubai%20Mall\AMANA%20Project\Al%20Ankary\2000\2049%20Generator%20Bldg%20at%20Batha%20Borders\BANK4\Enquiries\BANK\SUPPLI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pl-prj03\Sharing%20Folder\Project%20Files\IKEA%20Hypermarket-41673\Ikea%20Hypermarket-PPC%20%23%2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20Files/IKEA%20Hypermarket-41673/Ikea%20Hypermarket-PPC%20%23%2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Alaa.APL/LOCALS~1/Temp/Al%20Muttawa%20Villa-PPC%20%23%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pl-prj05\project%20files\Project%20Files\IKEA%20Hypermarket-41673\Ikea%20Hypermarket-PPC%20%23%2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pl-prj05\Dubai%20Mall\KC-A-HAIBACKUP\MonthlyPayments\Valuations\B-226-4%20Bill%2003%20Struct.%20to%20Level%20%20+179%20-%20Civi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R-2"/>
      <sheetName val="Basis"/>
      <sheetName val="S"/>
      <sheetName val="Bill 3 - Site Works"/>
      <sheetName val="기계내역서"/>
      <sheetName val="Bldg"/>
      <sheetName val="Cash2"/>
      <sheetName val="Z"/>
      <sheetName val="train cash"/>
      <sheetName val="accom cash"/>
      <sheetName val="Summary"/>
      <sheetName val="PriceSummary"/>
      <sheetName val="Initial Data"/>
      <sheetName val="Package Status"/>
      <sheetName val="Assumptions"/>
      <sheetName val="@risk rents and incentives"/>
      <sheetName val="Car park lease"/>
      <sheetName val="Net rent analysis"/>
      <sheetName val="Raw Data"/>
      <sheetName val="EI 27-0010C BACKUP"/>
      <sheetName val="gap-makrana"/>
      <sheetName val="C3"/>
      <sheetName val="Intro"/>
      <sheetName val="Indirect"/>
      <sheetName val="AN"/>
      <sheetName val="P-2002"/>
      <sheetName val="Detail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R-2"/>
      <sheetName val="Bill No. 3"/>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PC # 6"/>
      <sheetName val="Materials Delivered"/>
      <sheetName val="Mat'l Delivered"/>
      <sheetName val="Kalbau"/>
      <sheetName val="Cost of IKEa for Client"/>
      <sheetName val="Materials Installed"/>
      <sheetName val="Materials Delivered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PC # 6"/>
      <sheetName val="Materials Delivered"/>
      <sheetName val="Mat'l Delivered"/>
      <sheetName val="Kalbau"/>
      <sheetName val="Cost of IKEa for Client"/>
      <sheetName val="Materials Installed"/>
      <sheetName val="Materials Delivered (2)"/>
      <sheetName val="LTR-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PC # 1"/>
      <sheetName val="Materials Delivered"/>
      <sheetName val="boq"/>
      <sheetName val="Take-off"/>
      <sheetName val="Take-off (2)"/>
      <sheetName val="Take-off (3)"/>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PC # 6"/>
      <sheetName val="Materials Delivered"/>
      <sheetName val="Mat'l Delivered"/>
      <sheetName val="Kalbau"/>
      <sheetName val="Cost of IKEa for Client"/>
      <sheetName val="Materials Installed"/>
      <sheetName val="Materials Delivered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5"/>
      <sheetName val="7"/>
      <sheetName val="10"/>
      <sheetName val="S"/>
      <sheetName val="Cover"/>
    </sheetNames>
    <sheetDataSet>
      <sheetData sheetId="0" refreshError="1"/>
      <sheetData sheetId="1">
        <row r="1">
          <cell r="AN1">
            <v>1</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1"/>
  <sheetViews>
    <sheetView showGridLines="0" tabSelected="1" view="pageBreakPreview" topLeftCell="A4" zoomScale="85" zoomScaleNormal="100" zoomScaleSheetLayoutView="85" workbookViewId="0">
      <pane xSplit="3" ySplit="5" topLeftCell="D24" activePane="bottomRight" state="frozen"/>
      <selection activeCell="A4" sqref="A4"/>
      <selection pane="topRight" activeCell="D4" sqref="D4"/>
      <selection pane="bottomLeft" activeCell="A9" sqref="A9"/>
      <selection pane="bottomRight" activeCell="D9" sqref="D9"/>
    </sheetView>
  </sheetViews>
  <sheetFormatPr defaultColWidth="9.109375" defaultRowHeight="13.2" outlineLevelCol="1"/>
  <cols>
    <col min="1" max="1" width="14" style="661" customWidth="1"/>
    <col min="2" max="2" width="58" style="661" customWidth="1"/>
    <col min="3" max="3" width="23.109375" style="661" customWidth="1"/>
    <col min="4" max="4" width="18.109375" style="661" customWidth="1"/>
    <col min="5" max="5" width="19.33203125" style="661" customWidth="1"/>
    <col min="6" max="6" width="21.88671875" style="661" customWidth="1"/>
    <col min="7" max="7" width="2.6640625" style="661" customWidth="1" outlineLevel="1"/>
    <col min="8" max="8" width="10.33203125" style="661" bestFit="1" customWidth="1"/>
    <col min="9" max="9" width="11.5546875" style="661" customWidth="1"/>
    <col min="10" max="13" width="9.109375" style="661"/>
    <col min="14" max="14" width="16.33203125" style="661" customWidth="1"/>
    <col min="15" max="16384" width="9.109375" style="661"/>
  </cols>
  <sheetData>
    <row r="1" spans="1:11" ht="18">
      <c r="A1" s="1"/>
      <c r="B1" s="2"/>
      <c r="C1" s="30"/>
      <c r="D1" s="31"/>
      <c r="E1" s="30"/>
      <c r="F1" s="31"/>
    </row>
    <row r="2" spans="1:11" ht="18">
      <c r="A2" s="1" t="e">
        <f>#REF!</f>
        <v>#REF!</v>
      </c>
      <c r="B2" s="2"/>
      <c r="C2" s="25"/>
      <c r="D2" s="25"/>
      <c r="E2" s="25"/>
      <c r="F2" s="25"/>
    </row>
    <row r="3" spans="1:11" ht="18">
      <c r="A3" s="1"/>
      <c r="B3" s="2"/>
      <c r="C3" s="32"/>
      <c r="D3" s="32"/>
      <c r="F3" s="30"/>
    </row>
    <row r="4" spans="1:11" ht="18">
      <c r="A4" s="1"/>
      <c r="B4" s="2"/>
      <c r="C4" s="3"/>
      <c r="D4" s="3"/>
      <c r="E4" s="3"/>
      <c r="F4" s="3"/>
    </row>
    <row r="5" spans="1:11" ht="18">
      <c r="A5" s="27" t="s">
        <v>29</v>
      </c>
      <c r="B5" s="28"/>
      <c r="C5" s="29"/>
      <c r="D5" s="29"/>
      <c r="E5" s="29"/>
      <c r="F5" s="29"/>
    </row>
    <row r="6" spans="1:11" ht="18.600000000000001" thickBot="1">
      <c r="A6" s="27"/>
      <c r="B6" s="28"/>
      <c r="C6" s="29"/>
      <c r="D6" s="29"/>
      <c r="E6" s="29"/>
      <c r="F6" s="29"/>
    </row>
    <row r="7" spans="1:11" ht="18.600000000000001" thickBot="1">
      <c r="A7" s="5"/>
      <c r="B7" s="6"/>
      <c r="C7" s="7"/>
      <c r="D7" s="33" t="s">
        <v>3658</v>
      </c>
      <c r="E7" s="34"/>
      <c r="F7" s="35"/>
    </row>
    <row r="8" spans="1:11" ht="51.75" customHeight="1" thickBot="1">
      <c r="A8" s="8" t="s">
        <v>9</v>
      </c>
      <c r="B8" s="9" t="s">
        <v>10</v>
      </c>
      <c r="C8" s="10" t="s">
        <v>13</v>
      </c>
      <c r="D8" s="36" t="s">
        <v>14</v>
      </c>
      <c r="E8" s="36" t="s">
        <v>15</v>
      </c>
      <c r="F8" s="36" t="s">
        <v>16</v>
      </c>
    </row>
    <row r="9" spans="1:11" ht="24.9" customHeight="1">
      <c r="A9" s="11"/>
      <c r="B9" s="12"/>
      <c r="C9" s="13"/>
      <c r="D9" s="37"/>
      <c r="E9" s="37"/>
      <c r="F9" s="37"/>
    </row>
    <row r="10" spans="1:11" ht="18">
      <c r="A10" s="14"/>
      <c r="B10" s="50" t="s">
        <v>54</v>
      </c>
      <c r="C10" s="16"/>
      <c r="D10" s="38"/>
      <c r="E10" s="38"/>
      <c r="F10" s="38"/>
    </row>
    <row r="11" spans="1:11" ht="36">
      <c r="A11" s="14"/>
      <c r="B11" s="124" t="s">
        <v>2968</v>
      </c>
      <c r="C11" s="16"/>
      <c r="D11" s="38"/>
      <c r="E11" s="38"/>
      <c r="F11" s="38"/>
    </row>
    <row r="12" spans="1:11" ht="18">
      <c r="A12" s="44">
        <v>1</v>
      </c>
      <c r="B12" s="51" t="s">
        <v>2969</v>
      </c>
      <c r="C12" s="19">
        <v>460467</v>
      </c>
      <c r="D12" s="40">
        <f>SUM('BOQ (KCE)'!P12:P33)</f>
        <v>63204</v>
      </c>
      <c r="E12" s="40">
        <v>62200</v>
      </c>
      <c r="F12" s="40">
        <f t="shared" ref="F12:F19" si="0">D12-E12</f>
        <v>1004</v>
      </c>
      <c r="K12" s="662">
        <f>D12/C12</f>
        <v>0.13726065060036877</v>
      </c>
    </row>
    <row r="13" spans="1:11" ht="37.5" customHeight="1">
      <c r="A13" s="44">
        <v>2</v>
      </c>
      <c r="B13" s="51" t="s">
        <v>74</v>
      </c>
      <c r="C13" s="19">
        <v>145549</v>
      </c>
      <c r="D13" s="40">
        <f>SUM('BOQ (KCE)'!P37:P40)</f>
        <v>29767</v>
      </c>
      <c r="E13" s="40">
        <v>29767</v>
      </c>
      <c r="F13" s="40">
        <f t="shared" si="0"/>
        <v>0</v>
      </c>
      <c r="K13" s="662">
        <f t="shared" ref="K13:K21" si="1">D13/C13</f>
        <v>0.20451531786546112</v>
      </c>
    </row>
    <row r="14" spans="1:11" ht="37.5" customHeight="1">
      <c r="A14" s="44">
        <v>3</v>
      </c>
      <c r="B14" s="51" t="s">
        <v>88</v>
      </c>
      <c r="C14" s="19">
        <v>154264</v>
      </c>
      <c r="D14" s="40">
        <f>SUM('BOQ (KCE)'!P44)</f>
        <v>21174</v>
      </c>
      <c r="E14" s="40">
        <v>20838</v>
      </c>
      <c r="F14" s="40">
        <f t="shared" si="0"/>
        <v>336</v>
      </c>
      <c r="K14" s="662">
        <f t="shared" si="1"/>
        <v>0.13725820671057409</v>
      </c>
    </row>
    <row r="15" spans="1:11" ht="37.5" customHeight="1">
      <c r="A15" s="44">
        <v>4</v>
      </c>
      <c r="B15" s="51" t="s">
        <v>81</v>
      </c>
      <c r="C15" s="19">
        <v>28083</v>
      </c>
      <c r="D15" s="40">
        <f>SUM('BOQ (KCE)'!P47)</f>
        <v>3855</v>
      </c>
      <c r="E15" s="40">
        <v>3793</v>
      </c>
      <c r="F15" s="40">
        <f t="shared" si="0"/>
        <v>62</v>
      </c>
      <c r="K15" s="662">
        <f t="shared" si="1"/>
        <v>0.13727165901078944</v>
      </c>
    </row>
    <row r="16" spans="1:11" ht="37.5" customHeight="1">
      <c r="A16" s="44">
        <v>5</v>
      </c>
      <c r="B16" s="51" t="s">
        <v>83</v>
      </c>
      <c r="C16" s="19">
        <v>207278</v>
      </c>
      <c r="D16" s="40">
        <f>SUM('BOQ (KCE)'!P49)</f>
        <v>31025</v>
      </c>
      <c r="E16" s="40">
        <v>30656</v>
      </c>
      <c r="F16" s="40">
        <f t="shared" si="0"/>
        <v>369</v>
      </c>
      <c r="K16" s="662">
        <f t="shared" si="1"/>
        <v>0.14967820994027345</v>
      </c>
    </row>
    <row r="17" spans="1:11" ht="37.5" customHeight="1">
      <c r="A17" s="44">
        <v>6</v>
      </c>
      <c r="B17" s="51" t="s">
        <v>3483</v>
      </c>
      <c r="C17" s="19">
        <v>1440824</v>
      </c>
      <c r="D17" s="40">
        <f>SUM('BOQ (KCE)'!P58:P72)</f>
        <v>694099</v>
      </c>
      <c r="E17" s="40">
        <v>420190</v>
      </c>
      <c r="F17" s="40">
        <f t="shared" si="0"/>
        <v>273909</v>
      </c>
      <c r="K17" s="662">
        <f t="shared" si="1"/>
        <v>0.48173753352248433</v>
      </c>
    </row>
    <row r="18" spans="1:11" ht="37.5" customHeight="1">
      <c r="A18" s="44">
        <v>7</v>
      </c>
      <c r="B18" s="51" t="s">
        <v>3484</v>
      </c>
      <c r="C18" s="19">
        <v>234190</v>
      </c>
      <c r="D18" s="40">
        <f>SUM('BOQ (KCE)'!P75:P78)</f>
        <v>14347</v>
      </c>
      <c r="E18" s="40">
        <v>14347</v>
      </c>
      <c r="F18" s="40">
        <f t="shared" si="0"/>
        <v>0</v>
      </c>
      <c r="K18" s="662">
        <f t="shared" si="1"/>
        <v>6.1262222981339938E-2</v>
      </c>
    </row>
    <row r="19" spans="1:11" ht="18">
      <c r="A19" s="44">
        <v>8</v>
      </c>
      <c r="B19" s="51" t="s">
        <v>3485</v>
      </c>
      <c r="C19" s="19">
        <v>1485000</v>
      </c>
      <c r="D19" s="40">
        <f>SUM('BOQ (KCE)'!P81)</f>
        <v>1155000</v>
      </c>
      <c r="E19" s="40">
        <v>1155000</v>
      </c>
      <c r="F19" s="40">
        <f t="shared" si="0"/>
        <v>0</v>
      </c>
      <c r="K19" s="662">
        <f t="shared" si="1"/>
        <v>0.77777777777777779</v>
      </c>
    </row>
    <row r="20" spans="1:11" ht="9.9" customHeight="1">
      <c r="A20" s="43"/>
      <c r="B20" s="15"/>
      <c r="C20" s="16"/>
      <c r="D20" s="38"/>
      <c r="E20" s="38"/>
      <c r="F20" s="38"/>
      <c r="K20" s="662"/>
    </row>
    <row r="21" spans="1:11" ht="24.9" customHeight="1">
      <c r="A21" s="14"/>
      <c r="B21" s="14" t="s">
        <v>32</v>
      </c>
      <c r="C21" s="16">
        <f>SUM(C12:C20)</f>
        <v>4155655</v>
      </c>
      <c r="D21" s="38">
        <f>ROUND(SUM(D12:D20),0)</f>
        <v>2012471</v>
      </c>
      <c r="E21" s="38">
        <f>ROUND(SUM(E12:E20),0)</f>
        <v>1736791</v>
      </c>
      <c r="F21" s="38">
        <f>ROUND(SUM(F12:F20),0)</f>
        <v>275680</v>
      </c>
      <c r="K21" s="662">
        <f t="shared" si="1"/>
        <v>0.48427287635763794</v>
      </c>
    </row>
    <row r="22" spans="1:11" ht="24.9" customHeight="1">
      <c r="A22" s="17"/>
      <c r="B22" s="17"/>
      <c r="C22" s="18"/>
      <c r="D22" s="39"/>
      <c r="E22" s="39"/>
      <c r="F22" s="39"/>
    </row>
    <row r="23" spans="1:11" ht="24.9" customHeight="1">
      <c r="A23" s="475">
        <v>6</v>
      </c>
      <c r="B23" s="51" t="s">
        <v>2967</v>
      </c>
      <c r="C23" s="21"/>
      <c r="D23" s="40">
        <f>VO!U44</f>
        <v>253613.61</v>
      </c>
      <c r="E23" s="40">
        <v>160731.69999999998</v>
      </c>
      <c r="F23" s="40">
        <f>D23-E23</f>
        <v>92881.91</v>
      </c>
    </row>
    <row r="24" spans="1:11" ht="24.9" customHeight="1">
      <c r="A24" s="475">
        <v>7</v>
      </c>
      <c r="B24" s="476" t="s">
        <v>35</v>
      </c>
      <c r="C24" s="21"/>
      <c r="D24" s="477">
        <v>0</v>
      </c>
      <c r="E24" s="477">
        <v>0</v>
      </c>
      <c r="F24" s="40">
        <v>0</v>
      </c>
    </row>
    <row r="25" spans="1:11" ht="24.9" customHeight="1" thickBot="1">
      <c r="A25" s="20"/>
      <c r="B25" s="20"/>
      <c r="C25" s="21"/>
      <c r="D25" s="41"/>
      <c r="E25" s="41"/>
      <c r="F25" s="41"/>
    </row>
    <row r="26" spans="1:11" ht="30" customHeight="1" thickBot="1">
      <c r="A26" s="22"/>
      <c r="B26" s="23" t="s">
        <v>12</v>
      </c>
      <c r="C26" s="24">
        <f>C21+C23+C24</f>
        <v>4155655</v>
      </c>
      <c r="D26" s="42">
        <f>D21+D23+D24</f>
        <v>2266084.61</v>
      </c>
      <c r="E26" s="42">
        <f>E21+E23+E24</f>
        <v>1897522.7</v>
      </c>
      <c r="F26" s="42">
        <f>F21+F23+F24</f>
        <v>368561.91000000003</v>
      </c>
      <c r="H26" s="1158"/>
      <c r="I26" s="1158"/>
      <c r="K26" s="662">
        <f>D26/C26</f>
        <v>0.54530142901660505</v>
      </c>
    </row>
    <row r="28" spans="1:11">
      <c r="E28" s="1158">
        <f>F23</f>
        <v>92881.91</v>
      </c>
    </row>
    <row r="29" spans="1:11">
      <c r="E29" s="1158">
        <f>E26-E28</f>
        <v>1804640.79</v>
      </c>
    </row>
    <row r="30" spans="1:11">
      <c r="E30" s="1158">
        <f>F21</f>
        <v>275680</v>
      </c>
    </row>
    <row r="31" spans="1:11">
      <c r="E31" s="1158">
        <f>SUM(E28:E30)</f>
        <v>2173202.7000000002</v>
      </c>
    </row>
  </sheetData>
  <printOptions horizontalCentered="1"/>
  <pageMargins left="0.75" right="0.2" top="0.81" bottom="0.63" header="0.34" footer="0.3"/>
  <pageSetup paperSize="9" scale="61" orientation="portrait" r:id="rId1"/>
  <headerFooter alignWithMargins="0">
    <oddFooter>&amp;C&amp;P of &amp;N</oddFooter>
  </headerFooter>
  <colBreaks count="1" manualBreakCount="1">
    <brk id="6" max="20"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N42"/>
  <sheetViews>
    <sheetView showGridLines="0" view="pageBreakPreview" topLeftCell="A22" zoomScaleNormal="100" zoomScaleSheetLayoutView="100" workbookViewId="0">
      <selection activeCell="K5" sqref="K5:M5"/>
    </sheetView>
  </sheetViews>
  <sheetFormatPr defaultColWidth="9.109375" defaultRowHeight="13.2"/>
  <cols>
    <col min="1" max="1" width="8.6640625" style="494" customWidth="1"/>
    <col min="2" max="2" width="34.88671875" style="494" customWidth="1"/>
    <col min="3" max="3" width="3.88671875" style="494" bestFit="1" customWidth="1"/>
    <col min="4" max="5" width="8.6640625" style="494" hidden="1" customWidth="1"/>
    <col min="6" max="8" width="8.6640625" style="494" customWidth="1"/>
    <col min="9" max="9" width="12.5546875" style="497" customWidth="1"/>
    <col min="10" max="10" width="1.6640625" style="494" customWidth="1"/>
    <col min="11" max="12" width="8.6640625" style="494" customWidth="1"/>
    <col min="13" max="13" width="12.5546875" style="497" customWidth="1"/>
    <col min="14" max="14" width="15.109375" style="497" customWidth="1"/>
    <col min="15" max="17" width="9.109375" style="494"/>
    <col min="18" max="18" width="11.33203125" style="494" bestFit="1" customWidth="1"/>
    <col min="19" max="20" width="9.44140625" style="494" bestFit="1" customWidth="1"/>
    <col min="21" max="16384" width="9.109375" style="494"/>
  </cols>
  <sheetData>
    <row r="1" spans="1:14" ht="14.4">
      <c r="A1" s="494" t="s">
        <v>2604</v>
      </c>
      <c r="B1" s="496" t="s">
        <v>2625</v>
      </c>
      <c r="C1" s="496"/>
      <c r="D1" s="496"/>
      <c r="E1" s="496"/>
    </row>
    <row r="2" spans="1:14" ht="14.4">
      <c r="A2" s="494" t="s">
        <v>2606</v>
      </c>
      <c r="B2" s="496" t="s">
        <v>3776</v>
      </c>
      <c r="C2" s="496"/>
      <c r="D2" s="496"/>
      <c r="E2" s="496"/>
    </row>
    <row r="3" spans="1:14" ht="14.4">
      <c r="B3" s="496"/>
      <c r="C3" s="496"/>
      <c r="D3" s="496"/>
      <c r="E3" s="496"/>
    </row>
    <row r="4" spans="1:14" ht="14.4">
      <c r="A4" s="947"/>
      <c r="B4" s="500"/>
      <c r="C4" s="500"/>
      <c r="D4" s="500"/>
      <c r="E4" s="500"/>
      <c r="F4" s="500"/>
      <c r="G4" s="500"/>
      <c r="H4" s="500"/>
      <c r="I4" s="501"/>
      <c r="K4" s="1068" t="s">
        <v>3793</v>
      </c>
      <c r="L4" s="1069"/>
      <c r="M4" s="1070"/>
      <c r="N4" s="501"/>
    </row>
    <row r="5" spans="1:14" ht="39.6">
      <c r="A5" s="566" t="s">
        <v>2608</v>
      </c>
      <c r="B5" s="567" t="s">
        <v>2609</v>
      </c>
      <c r="C5" s="567" t="s">
        <v>3120</v>
      </c>
      <c r="D5" s="566" t="s">
        <v>3777</v>
      </c>
      <c r="E5" s="567" t="s">
        <v>377</v>
      </c>
      <c r="F5" s="566" t="s">
        <v>380</v>
      </c>
      <c r="G5" s="567" t="s">
        <v>41</v>
      </c>
      <c r="H5" s="566" t="s">
        <v>2626</v>
      </c>
      <c r="I5" s="565" t="s">
        <v>2627</v>
      </c>
      <c r="K5" s="566" t="s">
        <v>380</v>
      </c>
      <c r="L5" s="566" t="s">
        <v>30</v>
      </c>
      <c r="M5" s="565" t="s">
        <v>2627</v>
      </c>
      <c r="N5" s="568" t="s">
        <v>43</v>
      </c>
    </row>
    <row r="6" spans="1:14">
      <c r="A6" s="503"/>
      <c r="B6" s="504"/>
      <c r="C6" s="504"/>
      <c r="D6" s="504"/>
      <c r="E6" s="504"/>
      <c r="F6" s="504"/>
      <c r="G6" s="504"/>
      <c r="H6" s="504"/>
      <c r="I6" s="505"/>
      <c r="K6" s="504"/>
      <c r="L6" s="504"/>
      <c r="M6" s="505"/>
      <c r="N6" s="505"/>
    </row>
    <row r="7" spans="1:14" ht="57.6">
      <c r="A7" s="506">
        <v>1.1000000000000001</v>
      </c>
      <c r="B7" s="507" t="s">
        <v>3778</v>
      </c>
      <c r="C7" s="927"/>
      <c r="D7" s="927"/>
      <c r="E7" s="927"/>
      <c r="F7" s="927"/>
      <c r="G7" s="927"/>
      <c r="H7" s="927"/>
      <c r="I7" s="928"/>
      <c r="K7" s="927"/>
      <c r="L7" s="927"/>
      <c r="M7" s="928"/>
      <c r="N7" s="928"/>
    </row>
    <row r="8" spans="1:14" ht="14.4">
      <c r="A8" s="929"/>
      <c r="B8" s="512" t="s">
        <v>3779</v>
      </c>
      <c r="C8" s="554">
        <v>1</v>
      </c>
      <c r="D8" s="930">
        <f>ROUND((6000-10-3160-10-1670-15)/1000,2)</f>
        <v>1.1399999999999999</v>
      </c>
      <c r="E8" s="930">
        <v>3.24</v>
      </c>
      <c r="F8" s="508">
        <f>C8*D8*E8</f>
        <v>3.6936</v>
      </c>
      <c r="G8" s="506" t="s">
        <v>71</v>
      </c>
      <c r="H8" s="508">
        <v>49</v>
      </c>
      <c r="I8" s="513">
        <f>ROUND(F8*H8,0)</f>
        <v>181</v>
      </c>
      <c r="K8" s="508">
        <f>F8</f>
        <v>3.6936</v>
      </c>
      <c r="L8" s="523">
        <v>1</v>
      </c>
      <c r="M8" s="513">
        <f>K8*H8*L8</f>
        <v>180.9864</v>
      </c>
      <c r="N8" s="928"/>
    </row>
    <row r="9" spans="1:14" ht="14.4">
      <c r="A9" s="929"/>
      <c r="B9" s="512" t="s">
        <v>3780</v>
      </c>
      <c r="C9" s="554">
        <v>2</v>
      </c>
      <c r="D9" s="930">
        <v>6</v>
      </c>
      <c r="E9" s="930">
        <v>1.4</v>
      </c>
      <c r="F9" s="508">
        <f>C9*D9*E9</f>
        <v>16.799999999999997</v>
      </c>
      <c r="G9" s="506" t="s">
        <v>71</v>
      </c>
      <c r="H9" s="508">
        <v>49</v>
      </c>
      <c r="I9" s="513">
        <f>ROUND(F9*H9,0)</f>
        <v>823</v>
      </c>
      <c r="K9" s="508">
        <f>F9</f>
        <v>16.799999999999997</v>
      </c>
      <c r="L9" s="523">
        <v>1</v>
      </c>
      <c r="M9" s="513">
        <f>K9*H9*L9</f>
        <v>823.19999999999982</v>
      </c>
      <c r="N9" s="928"/>
    </row>
    <row r="10" spans="1:14" ht="14.4">
      <c r="A10" s="929"/>
      <c r="B10" s="512"/>
      <c r="C10" s="931"/>
      <c r="D10" s="930"/>
      <c r="E10" s="930"/>
      <c r="F10" s="932"/>
      <c r="G10" s="929"/>
      <c r="H10" s="932"/>
      <c r="I10" s="933"/>
      <c r="K10" s="932"/>
      <c r="L10" s="932"/>
      <c r="M10" s="933"/>
      <c r="N10" s="928"/>
    </row>
    <row r="11" spans="1:14" ht="43.2">
      <c r="A11" s="506">
        <v>1.2</v>
      </c>
      <c r="B11" s="507" t="s">
        <v>3781</v>
      </c>
      <c r="C11" s="927"/>
      <c r="D11" s="927"/>
      <c r="E11" s="927"/>
      <c r="F11" s="927"/>
      <c r="G11" s="927"/>
      <c r="H11" s="927"/>
      <c r="I11" s="928"/>
      <c r="K11" s="927"/>
      <c r="L11" s="927"/>
      <c r="M11" s="928"/>
      <c r="N11" s="928"/>
    </row>
    <row r="12" spans="1:14" ht="14.4">
      <c r="A12" s="929"/>
      <c r="B12" s="512" t="s">
        <v>3782</v>
      </c>
      <c r="C12" s="554">
        <v>1</v>
      </c>
      <c r="D12" s="555">
        <v>3.4</v>
      </c>
      <c r="E12" s="555">
        <v>18</v>
      </c>
      <c r="F12" s="508">
        <f>C12*D12*E12</f>
        <v>61.199999999999996</v>
      </c>
      <c r="G12" s="506" t="s">
        <v>71</v>
      </c>
      <c r="H12" s="508">
        <v>49</v>
      </c>
      <c r="I12" s="513">
        <f>ROUND(F12*H12,0)</f>
        <v>2999</v>
      </c>
      <c r="K12" s="508">
        <f>F12</f>
        <v>61.199999999999996</v>
      </c>
      <c r="L12" s="523">
        <v>1</v>
      </c>
      <c r="M12" s="513">
        <f>K12*H12*L12</f>
        <v>2998.7999999999997</v>
      </c>
      <c r="N12" s="928"/>
    </row>
    <row r="13" spans="1:14" ht="14.4">
      <c r="A13" s="929"/>
      <c r="B13" s="512"/>
      <c r="C13" s="931"/>
      <c r="D13" s="930"/>
      <c r="E13" s="930"/>
      <c r="F13" s="932"/>
      <c r="G13" s="929"/>
      <c r="H13" s="932"/>
      <c r="I13" s="933"/>
      <c r="K13" s="932"/>
      <c r="L13" s="932"/>
      <c r="M13" s="933"/>
      <c r="N13" s="928"/>
    </row>
    <row r="14" spans="1:14" ht="43.2">
      <c r="A14" s="929">
        <v>1.3</v>
      </c>
      <c r="B14" s="507" t="s">
        <v>3783</v>
      </c>
      <c r="C14" s="927"/>
      <c r="D14" s="927"/>
      <c r="E14" s="927"/>
      <c r="F14" s="927"/>
      <c r="G14" s="927"/>
      <c r="H14" s="927"/>
      <c r="I14" s="928"/>
      <c r="K14" s="927"/>
      <c r="L14" s="927"/>
      <c r="M14" s="928"/>
      <c r="N14" s="928"/>
    </row>
    <row r="15" spans="1:14" ht="14.4">
      <c r="A15" s="929"/>
      <c r="B15" s="512" t="s">
        <v>3784</v>
      </c>
      <c r="C15" s="554">
        <v>1</v>
      </c>
      <c r="D15" s="555">
        <v>3.4</v>
      </c>
      <c r="E15" s="555">
        <v>30</v>
      </c>
      <c r="F15" s="508">
        <f>C15*D15*E15</f>
        <v>102</v>
      </c>
      <c r="G15" s="506" t="s">
        <v>71</v>
      </c>
      <c r="H15" s="508">
        <v>49</v>
      </c>
      <c r="I15" s="513">
        <f>ROUND(F15*H15,0)</f>
        <v>4998</v>
      </c>
      <c r="K15" s="508">
        <f>F15</f>
        <v>102</v>
      </c>
      <c r="L15" s="523">
        <v>1</v>
      </c>
      <c r="M15" s="513">
        <f>K15*H15*L15</f>
        <v>4998</v>
      </c>
      <c r="N15" s="928"/>
    </row>
    <row r="16" spans="1:14">
      <c r="A16" s="929"/>
      <c r="B16" s="927"/>
      <c r="C16" s="927"/>
      <c r="D16" s="927"/>
      <c r="E16" s="927"/>
      <c r="F16" s="927"/>
      <c r="G16" s="927"/>
      <c r="H16" s="927"/>
      <c r="I16" s="928"/>
      <c r="K16" s="927"/>
      <c r="L16" s="927"/>
      <c r="M16" s="928"/>
      <c r="N16" s="928"/>
    </row>
    <row r="17" spans="1:14" ht="43.2">
      <c r="A17" s="506">
        <v>1.4</v>
      </c>
      <c r="B17" s="507" t="s">
        <v>3785</v>
      </c>
      <c r="C17" s="507"/>
      <c r="D17" s="507"/>
      <c r="E17" s="507"/>
      <c r="F17" s="508"/>
      <c r="G17" s="506"/>
      <c r="H17" s="508"/>
      <c r="I17" s="509"/>
      <c r="K17" s="508"/>
      <c r="L17" s="508"/>
      <c r="M17" s="509"/>
      <c r="N17" s="934"/>
    </row>
    <row r="18" spans="1:14" ht="14.4">
      <c r="A18" s="511"/>
      <c r="B18" s="935" t="s">
        <v>3786</v>
      </c>
      <c r="C18" s="512"/>
      <c r="D18" s="512"/>
      <c r="E18" s="512"/>
      <c r="F18" s="508"/>
      <c r="G18" s="506"/>
      <c r="H18" s="508"/>
      <c r="I18" s="513"/>
      <c r="K18" s="508"/>
      <c r="L18" s="508"/>
      <c r="M18" s="513"/>
      <c r="N18" s="510"/>
    </row>
    <row r="19" spans="1:14" ht="14.4">
      <c r="A19" s="936"/>
      <c r="B19" s="512" t="s">
        <v>3787</v>
      </c>
      <c r="C19" s="554">
        <v>1</v>
      </c>
      <c r="D19" s="555">
        <v>3.85</v>
      </c>
      <c r="E19" s="555">
        <f>15.3+3.5</f>
        <v>18.8</v>
      </c>
      <c r="F19" s="508">
        <f>C19*D19*E19</f>
        <v>72.38000000000001</v>
      </c>
      <c r="G19" s="506" t="s">
        <v>71</v>
      </c>
      <c r="H19" s="508">
        <v>75</v>
      </c>
      <c r="I19" s="513">
        <f>ROUND(F19*H19,0)</f>
        <v>5429</v>
      </c>
      <c r="K19" s="508">
        <f>F19</f>
        <v>72.38000000000001</v>
      </c>
      <c r="L19" s="523">
        <v>1</v>
      </c>
      <c r="M19" s="513">
        <f>K19*H19*L19</f>
        <v>5428.5000000000009</v>
      </c>
      <c r="N19" s="509"/>
    </row>
    <row r="20" spans="1:14" ht="14.4">
      <c r="A20" s="936"/>
      <c r="B20" s="512" t="s">
        <v>3788</v>
      </c>
      <c r="C20" s="554">
        <v>-1</v>
      </c>
      <c r="D20" s="555">
        <v>2.5</v>
      </c>
      <c r="E20" s="555">
        <v>1.1200000000000001</v>
      </c>
      <c r="F20" s="508">
        <f>C20*D20*E20</f>
        <v>-2.8000000000000003</v>
      </c>
      <c r="G20" s="506" t="s">
        <v>71</v>
      </c>
      <c r="H20" s="508">
        <v>75</v>
      </c>
      <c r="I20" s="513">
        <f>ROUND(F20*H20,0)</f>
        <v>-210</v>
      </c>
      <c r="K20" s="508">
        <f>F20</f>
        <v>-2.8000000000000003</v>
      </c>
      <c r="L20" s="523">
        <v>1</v>
      </c>
      <c r="M20" s="513">
        <f>K20*H20*L20</f>
        <v>-210.00000000000003</v>
      </c>
      <c r="N20" s="509"/>
    </row>
    <row r="21" spans="1:14" ht="14.4">
      <c r="A21" s="936"/>
      <c r="B21" s="512" t="s">
        <v>3788</v>
      </c>
      <c r="C21" s="554">
        <v>-1</v>
      </c>
      <c r="D21" s="555">
        <v>2.5</v>
      </c>
      <c r="E21" s="555">
        <v>1.5</v>
      </c>
      <c r="F21" s="508">
        <f>C21*D21*E21</f>
        <v>-3.75</v>
      </c>
      <c r="G21" s="506" t="s">
        <v>71</v>
      </c>
      <c r="H21" s="508">
        <v>75</v>
      </c>
      <c r="I21" s="513">
        <f>ROUND(F21*H21,0)</f>
        <v>-281</v>
      </c>
      <c r="K21" s="508">
        <f>F21</f>
        <v>-3.75</v>
      </c>
      <c r="L21" s="523">
        <v>1</v>
      </c>
      <c r="M21" s="513">
        <f>K21*H21*L21</f>
        <v>-281.25</v>
      </c>
      <c r="N21" s="509"/>
    </row>
    <row r="22" spans="1:14" ht="14.4">
      <c r="A22" s="511"/>
      <c r="B22" s="935" t="s">
        <v>3789</v>
      </c>
      <c r="C22" s="512"/>
      <c r="D22" s="512"/>
      <c r="E22" s="512"/>
      <c r="F22" s="508"/>
      <c r="G22" s="506"/>
      <c r="H22" s="508"/>
      <c r="I22" s="513"/>
      <c r="K22" s="508"/>
      <c r="L22" s="508"/>
      <c r="M22" s="513"/>
      <c r="N22" s="510"/>
    </row>
    <row r="23" spans="1:14" ht="14.4">
      <c r="A23" s="936"/>
      <c r="B23" s="512" t="s">
        <v>3787</v>
      </c>
      <c r="C23" s="554">
        <v>1</v>
      </c>
      <c r="D23" s="555">
        <v>3.85</v>
      </c>
      <c r="E23" s="555">
        <v>29.5</v>
      </c>
      <c r="F23" s="508">
        <f>C23*D23*E23</f>
        <v>113.575</v>
      </c>
      <c r="G23" s="506" t="s">
        <v>71</v>
      </c>
      <c r="H23" s="508">
        <v>75</v>
      </c>
      <c r="I23" s="513">
        <f>ROUND(F23*H23,0)</f>
        <v>8518</v>
      </c>
      <c r="K23" s="508">
        <f>F23</f>
        <v>113.575</v>
      </c>
      <c r="L23" s="523">
        <v>1</v>
      </c>
      <c r="M23" s="513">
        <f>K23*H23*L23</f>
        <v>8518.125</v>
      </c>
      <c r="N23" s="509"/>
    </row>
    <row r="24" spans="1:14" ht="14.4">
      <c r="A24" s="936"/>
      <c r="B24" s="512" t="s">
        <v>3788</v>
      </c>
      <c r="C24" s="554">
        <v>-2</v>
      </c>
      <c r="D24" s="555">
        <v>2.5</v>
      </c>
      <c r="E24" s="555">
        <f>1.1</f>
        <v>1.1000000000000001</v>
      </c>
      <c r="F24" s="508">
        <f>C24*D24*E24</f>
        <v>-5.5</v>
      </c>
      <c r="G24" s="506" t="s">
        <v>71</v>
      </c>
      <c r="H24" s="508">
        <v>75</v>
      </c>
      <c r="I24" s="513">
        <f>ROUND(F24*H24,0)</f>
        <v>-413</v>
      </c>
      <c r="K24" s="508">
        <f>F24</f>
        <v>-5.5</v>
      </c>
      <c r="L24" s="523">
        <v>1</v>
      </c>
      <c r="M24" s="513">
        <f>K24*H24*L24</f>
        <v>-412.5</v>
      </c>
      <c r="N24" s="509"/>
    </row>
    <row r="25" spans="1:14" ht="14.4">
      <c r="A25" s="936"/>
      <c r="B25" s="512" t="s">
        <v>3788</v>
      </c>
      <c r="C25" s="554">
        <v>-1</v>
      </c>
      <c r="D25" s="555">
        <v>2.5</v>
      </c>
      <c r="E25" s="555">
        <v>1.0760000000000001</v>
      </c>
      <c r="F25" s="508">
        <f>C25*D25*E25</f>
        <v>-2.6900000000000004</v>
      </c>
      <c r="G25" s="506" t="s">
        <v>71</v>
      </c>
      <c r="H25" s="508">
        <v>75</v>
      </c>
      <c r="I25" s="513">
        <f>ROUND(F25*H25,0)</f>
        <v>-202</v>
      </c>
      <c r="K25" s="508">
        <f>F25</f>
        <v>-2.6900000000000004</v>
      </c>
      <c r="L25" s="523">
        <v>1</v>
      </c>
      <c r="M25" s="513">
        <f>K25*H25*L25</f>
        <v>-201.75000000000003</v>
      </c>
      <c r="N25" s="509"/>
    </row>
    <row r="26" spans="1:14" ht="14.4">
      <c r="A26" s="936"/>
      <c r="B26" s="512" t="s">
        <v>3790</v>
      </c>
      <c r="C26" s="554">
        <v>-2</v>
      </c>
      <c r="D26" s="555">
        <v>1.62</v>
      </c>
      <c r="E26" s="555">
        <v>0.92</v>
      </c>
      <c r="F26" s="508">
        <f>C26*D26*E26</f>
        <v>-2.9808000000000003</v>
      </c>
      <c r="G26" s="506" t="s">
        <v>71</v>
      </c>
      <c r="H26" s="508">
        <v>75</v>
      </c>
      <c r="I26" s="513">
        <f>ROUND(F26*H26,0)</f>
        <v>-224</v>
      </c>
      <c r="K26" s="508">
        <f>F26</f>
        <v>-2.9808000000000003</v>
      </c>
      <c r="L26" s="523">
        <v>1</v>
      </c>
      <c r="M26" s="513">
        <f>K26*H26*L26</f>
        <v>-223.56000000000003</v>
      </c>
      <c r="N26" s="509"/>
    </row>
    <row r="27" spans="1:14" ht="14.4">
      <c r="A27" s="936"/>
      <c r="B27" s="935" t="s">
        <v>3791</v>
      </c>
      <c r="C27" s="554">
        <v>1</v>
      </c>
      <c r="D27" s="555"/>
      <c r="E27" s="555"/>
      <c r="F27" s="508"/>
      <c r="G27" s="506"/>
      <c r="H27" s="508"/>
      <c r="I27" s="513"/>
      <c r="K27" s="508"/>
      <c r="L27" s="508"/>
      <c r="M27" s="513"/>
      <c r="N27" s="509"/>
    </row>
    <row r="28" spans="1:14" ht="14.4">
      <c r="A28" s="936"/>
      <c r="B28" s="512" t="s">
        <v>3787</v>
      </c>
      <c r="C28" s="554">
        <v>1</v>
      </c>
      <c r="D28" s="555">
        <v>3.85</v>
      </c>
      <c r="E28" s="555">
        <f>(2.82+5+2.73+0.97)</f>
        <v>11.520000000000001</v>
      </c>
      <c r="F28" s="508">
        <f>C28*D28*E28</f>
        <v>44.352000000000004</v>
      </c>
      <c r="G28" s="506" t="s">
        <v>71</v>
      </c>
      <c r="H28" s="508">
        <v>75</v>
      </c>
      <c r="I28" s="513">
        <f>ROUND(F28*H28,0)</f>
        <v>3326</v>
      </c>
      <c r="K28" s="508">
        <f>F28</f>
        <v>44.352000000000004</v>
      </c>
      <c r="L28" s="523">
        <v>1</v>
      </c>
      <c r="M28" s="513">
        <f>K28*H28*L28</f>
        <v>3326.4</v>
      </c>
      <c r="N28" s="509"/>
    </row>
    <row r="29" spans="1:14" ht="14.4">
      <c r="A29" s="936"/>
      <c r="B29" s="512" t="s">
        <v>3788</v>
      </c>
      <c r="C29" s="554">
        <v>-1</v>
      </c>
      <c r="D29" s="555">
        <v>2.5</v>
      </c>
      <c r="E29" s="555">
        <v>1.1000000000000001</v>
      </c>
      <c r="F29" s="508">
        <f>C29*D29*E29</f>
        <v>-2.75</v>
      </c>
      <c r="G29" s="506" t="s">
        <v>71</v>
      </c>
      <c r="H29" s="508">
        <v>75</v>
      </c>
      <c r="I29" s="513">
        <f>ROUND(F29*H29,0)</f>
        <v>-206</v>
      </c>
      <c r="K29" s="508">
        <f>F29</f>
        <v>-2.75</v>
      </c>
      <c r="L29" s="523">
        <v>1</v>
      </c>
      <c r="M29" s="513">
        <f>K29*H29*L29</f>
        <v>-206.25</v>
      </c>
      <c r="N29" s="509"/>
    </row>
    <row r="30" spans="1:14" ht="14.4">
      <c r="A30" s="936"/>
      <c r="B30" s="512"/>
      <c r="C30" s="554"/>
      <c r="D30" s="555"/>
      <c r="E30" s="555"/>
      <c r="F30" s="937"/>
      <c r="G30" s="506"/>
      <c r="H30" s="508"/>
      <c r="I30" s="513"/>
      <c r="K30" s="937"/>
      <c r="L30" s="937"/>
      <c r="M30" s="513"/>
      <c r="N30" s="509"/>
    </row>
    <row r="31" spans="1:14" ht="43.2">
      <c r="A31" s="506">
        <v>2</v>
      </c>
      <c r="B31" s="507" t="s">
        <v>3130</v>
      </c>
      <c r="C31" s="514"/>
      <c r="D31" s="514"/>
      <c r="E31" s="514"/>
      <c r="F31" s="508">
        <v>1</v>
      </c>
      <c r="G31" s="506" t="s">
        <v>2619</v>
      </c>
      <c r="H31" s="508">
        <v>3956</v>
      </c>
      <c r="I31" s="513">
        <f>ROUND(F31*H31,0)</f>
        <v>3956</v>
      </c>
      <c r="K31" s="508">
        <v>1</v>
      </c>
      <c r="L31" s="523">
        <v>1</v>
      </c>
      <c r="M31" s="513">
        <f>K31*H31*L31</f>
        <v>3956</v>
      </c>
      <c r="N31" s="509"/>
    </row>
    <row r="32" spans="1:14" ht="14.4">
      <c r="A32" s="506"/>
      <c r="B32" s="507"/>
      <c r="C32" s="514"/>
      <c r="D32" s="514"/>
      <c r="E32" s="514"/>
      <c r="F32" s="508"/>
      <c r="G32" s="506"/>
      <c r="H32" s="508"/>
      <c r="I32" s="513"/>
      <c r="K32" s="508"/>
      <c r="L32" s="508"/>
      <c r="M32" s="513"/>
      <c r="N32" s="509"/>
    </row>
    <row r="33" spans="1:14" ht="14.4">
      <c r="A33" s="506">
        <v>3</v>
      </c>
      <c r="B33" s="512" t="s">
        <v>3131</v>
      </c>
      <c r="C33" s="512"/>
      <c r="D33" s="512"/>
      <c r="E33" s="512"/>
      <c r="F33" s="508"/>
      <c r="G33" s="506"/>
      <c r="H33" s="508"/>
      <c r="I33" s="938" t="s">
        <v>72</v>
      </c>
      <c r="K33" s="508"/>
      <c r="L33" s="508"/>
      <c r="M33" s="938" t="s">
        <v>72</v>
      </c>
      <c r="N33" s="509" t="s">
        <v>3132</v>
      </c>
    </row>
    <row r="34" spans="1:14" ht="14.4">
      <c r="A34" s="515"/>
      <c r="B34" s="516"/>
      <c r="C34" s="516"/>
      <c r="D34" s="516"/>
      <c r="E34" s="516"/>
      <c r="F34" s="516"/>
      <c r="G34" s="516"/>
      <c r="H34" s="516"/>
      <c r="I34" s="517"/>
      <c r="K34" s="516"/>
      <c r="L34" s="516"/>
      <c r="M34" s="517"/>
      <c r="N34" s="518"/>
    </row>
    <row r="35" spans="1:14" ht="25.5" customHeight="1">
      <c r="A35" s="519"/>
      <c r="B35" s="520" t="s">
        <v>2632</v>
      </c>
      <c r="C35" s="520"/>
      <c r="D35" s="520"/>
      <c r="E35" s="520"/>
      <c r="F35" s="522"/>
      <c r="G35" s="521"/>
      <c r="H35" s="522"/>
      <c r="I35" s="522">
        <f>SUM(I7:I34)</f>
        <v>28694</v>
      </c>
      <c r="J35" s="661"/>
      <c r="K35" s="522"/>
      <c r="L35" s="522"/>
      <c r="M35" s="522">
        <f>SUM(M7:M34)</f>
        <v>28694.701400000002</v>
      </c>
      <c r="N35" s="522"/>
    </row>
    <row r="36" spans="1:14">
      <c r="A36" s="491"/>
      <c r="B36" s="491"/>
      <c r="C36" s="491"/>
      <c r="D36" s="491"/>
      <c r="E36" s="491"/>
      <c r="F36" s="491"/>
      <c r="G36" s="491"/>
      <c r="H36" s="491"/>
      <c r="I36" s="492"/>
      <c r="K36" s="491"/>
      <c r="L36" s="491"/>
      <c r="M36" s="492"/>
      <c r="N36" s="492"/>
    </row>
    <row r="37" spans="1:14" s="48" customFormat="1">
      <c r="A37" s="941"/>
      <c r="B37" s="942" t="s">
        <v>3792</v>
      </c>
      <c r="C37" s="943"/>
      <c r="D37" s="944"/>
      <c r="E37" s="944"/>
      <c r="F37" s="944"/>
      <c r="G37" s="944"/>
      <c r="H37" s="944"/>
      <c r="I37" s="939">
        <f>I13+I35</f>
        <v>28694</v>
      </c>
      <c r="J37" s="946"/>
      <c r="K37" s="944"/>
      <c r="L37" s="944"/>
      <c r="M37" s="939">
        <f>M13+M35</f>
        <v>28694.701400000002</v>
      </c>
      <c r="N37" s="939"/>
    </row>
    <row r="38" spans="1:14" s="48" customFormat="1">
      <c r="A38" s="941"/>
      <c r="B38" s="942"/>
      <c r="C38" s="943"/>
      <c r="D38" s="944"/>
      <c r="E38" s="944"/>
      <c r="F38" s="944"/>
      <c r="G38" s="944"/>
      <c r="H38" s="944"/>
      <c r="I38" s="939"/>
      <c r="J38" s="946"/>
      <c r="K38" s="944"/>
      <c r="L38" s="944"/>
      <c r="M38" s="939"/>
      <c r="N38" s="939"/>
    </row>
    <row r="39" spans="1:14" s="48" customFormat="1" ht="26.4">
      <c r="A39" s="941"/>
      <c r="B39" s="945" t="s">
        <v>3592</v>
      </c>
      <c r="C39" s="943"/>
      <c r="D39" s="944"/>
      <c r="E39" s="944"/>
      <c r="F39" s="944"/>
      <c r="G39" s="944"/>
      <c r="H39" s="944"/>
      <c r="I39" s="939">
        <v>28694</v>
      </c>
      <c r="J39" s="946"/>
      <c r="K39" s="944"/>
      <c r="L39" s="944"/>
      <c r="M39" s="939">
        <v>28694</v>
      </c>
      <c r="N39" s="939"/>
    </row>
    <row r="40" spans="1:14" s="48" customFormat="1">
      <c r="A40" s="941"/>
      <c r="B40" s="942"/>
      <c r="C40" s="943"/>
      <c r="D40" s="944"/>
      <c r="E40" s="944"/>
      <c r="F40" s="944"/>
      <c r="G40" s="944"/>
      <c r="H40" s="944"/>
      <c r="I40" s="939"/>
      <c r="J40" s="946"/>
      <c r="K40" s="944"/>
      <c r="L40" s="944"/>
      <c r="M40" s="939"/>
      <c r="N40" s="939"/>
    </row>
    <row r="41" spans="1:14" s="48" customFormat="1" ht="26.4">
      <c r="A41" s="941"/>
      <c r="B41" s="945" t="s">
        <v>3593</v>
      </c>
      <c r="C41" s="943"/>
      <c r="D41" s="944"/>
      <c r="E41" s="944"/>
      <c r="F41" s="944"/>
      <c r="G41" s="944"/>
      <c r="H41" s="944"/>
      <c r="I41" s="940">
        <v>-14347</v>
      </c>
      <c r="J41" s="946"/>
      <c r="K41" s="944"/>
      <c r="L41" s="944"/>
      <c r="M41" s="940">
        <v>-14347</v>
      </c>
      <c r="N41" s="940"/>
    </row>
    <row r="42" spans="1:14" s="48" customFormat="1" ht="26.4">
      <c r="A42" s="941"/>
      <c r="B42" s="945" t="s">
        <v>3594</v>
      </c>
      <c r="C42" s="943"/>
      <c r="D42" s="944"/>
      <c r="E42" s="944"/>
      <c r="F42" s="944"/>
      <c r="G42" s="944"/>
      <c r="H42" s="944"/>
      <c r="I42" s="939">
        <f>I39+I41</f>
        <v>14347</v>
      </c>
      <c r="J42" s="946"/>
      <c r="K42" s="944"/>
      <c r="L42" s="944"/>
      <c r="M42" s="939">
        <f>M39+M41</f>
        <v>14347</v>
      </c>
      <c r="N42" s="948">
        <f>M42/I42</f>
        <v>1</v>
      </c>
    </row>
  </sheetData>
  <mergeCells count="1">
    <mergeCell ref="K4:M4"/>
  </mergeCells>
  <pageMargins left="0.7" right="0.2"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A2:N18"/>
  <sheetViews>
    <sheetView showGridLines="0" view="pageBreakPreview" topLeftCell="A4" zoomScaleNormal="100" zoomScaleSheetLayoutView="100" workbookViewId="0">
      <selection activeCell="J10" sqref="J10"/>
    </sheetView>
  </sheetViews>
  <sheetFormatPr defaultColWidth="9.109375" defaultRowHeight="13.2"/>
  <cols>
    <col min="1" max="1" width="8.5546875" style="494" customWidth="1"/>
    <col min="2" max="2" width="33.6640625" style="494" customWidth="1"/>
    <col min="3" max="3" width="4.44140625" style="494" bestFit="1" customWidth="1"/>
    <col min="4" max="5" width="8.6640625" style="494" customWidth="1"/>
    <col min="6" max="6" width="9.109375" style="494" customWidth="1"/>
    <col min="7" max="7" width="9.109375" style="494"/>
    <col min="8" max="8" width="12.33203125" style="494" customWidth="1"/>
    <col min="9" max="11" width="12.5546875" style="497" customWidth="1"/>
    <col min="12" max="12" width="12.6640625" style="497" customWidth="1"/>
    <col min="13" max="13" width="9.109375" style="494"/>
    <col min="14" max="14" width="50.6640625" style="494" customWidth="1"/>
    <col min="15" max="16384" width="9.109375" style="494"/>
  </cols>
  <sheetData>
    <row r="2" spans="1:14" ht="13.8">
      <c r="A2" s="489" t="s">
        <v>2604</v>
      </c>
      <c r="B2" s="963" t="s">
        <v>2625</v>
      </c>
      <c r="C2" s="963"/>
      <c r="D2" s="963"/>
      <c r="E2" s="963"/>
      <c r="F2" s="491"/>
      <c r="G2" s="491"/>
      <c r="H2" s="491"/>
      <c r="I2" s="492"/>
      <c r="J2" s="492"/>
      <c r="K2" s="492"/>
      <c r="L2" s="493"/>
    </row>
    <row r="3" spans="1:14" ht="13.8">
      <c r="A3" s="495" t="s">
        <v>2606</v>
      </c>
      <c r="B3" s="964" t="s">
        <v>3847</v>
      </c>
      <c r="C3" s="964"/>
      <c r="D3" s="964"/>
      <c r="E3" s="964"/>
      <c r="L3" s="498"/>
    </row>
    <row r="4" spans="1:14" ht="13.8">
      <c r="A4" s="495"/>
      <c r="B4" s="964"/>
      <c r="C4" s="964"/>
      <c r="D4" s="964"/>
      <c r="E4" s="964"/>
      <c r="L4" s="498"/>
    </row>
    <row r="5" spans="1:14" ht="13.8">
      <c r="A5" s="965"/>
      <c r="B5" s="500"/>
      <c r="C5" s="500"/>
      <c r="D5" s="500"/>
      <c r="E5" s="500"/>
      <c r="F5" s="500"/>
      <c r="G5" s="500"/>
      <c r="H5" s="500"/>
      <c r="I5" s="501"/>
      <c r="J5" s="1068" t="s">
        <v>3</v>
      </c>
      <c r="K5" s="1070"/>
      <c r="L5" s="502"/>
    </row>
    <row r="6" spans="1:14" ht="39.6">
      <c r="A6" s="566" t="s">
        <v>3832</v>
      </c>
      <c r="B6" s="567" t="s">
        <v>2609</v>
      </c>
      <c r="C6" s="567" t="s">
        <v>3120</v>
      </c>
      <c r="D6" s="567" t="s">
        <v>3833</v>
      </c>
      <c r="E6" s="567" t="s">
        <v>177</v>
      </c>
      <c r="F6" s="566" t="s">
        <v>380</v>
      </c>
      <c r="G6" s="567" t="s">
        <v>41</v>
      </c>
      <c r="H6" s="566" t="s">
        <v>2626</v>
      </c>
      <c r="I6" s="565" t="s">
        <v>2627</v>
      </c>
      <c r="J6" s="566" t="s">
        <v>380</v>
      </c>
      <c r="K6" s="565" t="s">
        <v>2627</v>
      </c>
      <c r="L6" s="568" t="s">
        <v>43</v>
      </c>
    </row>
    <row r="7" spans="1:14">
      <c r="A7" s="503"/>
      <c r="B7" s="504"/>
      <c r="C7" s="504"/>
      <c r="D7" s="504"/>
      <c r="E7" s="504"/>
      <c r="F7" s="504"/>
      <c r="G7" s="504"/>
      <c r="H7" s="504"/>
      <c r="I7" s="505"/>
      <c r="J7" s="505"/>
      <c r="K7" s="505"/>
      <c r="L7" s="505"/>
    </row>
    <row r="8" spans="1:14" ht="39.6">
      <c r="A8" s="506">
        <v>1</v>
      </c>
      <c r="B8" s="967" t="s">
        <v>3848</v>
      </c>
      <c r="C8" s="967"/>
      <c r="D8" s="967"/>
      <c r="E8" s="967"/>
      <c r="F8" s="508"/>
      <c r="G8" s="506"/>
      <c r="H8" s="508"/>
      <c r="I8" s="509"/>
      <c r="J8" s="509"/>
      <c r="K8" s="509"/>
      <c r="L8" s="509"/>
    </row>
    <row r="9" spans="1:14" ht="28.8">
      <c r="A9" s="511">
        <v>1.1000000000000001</v>
      </c>
      <c r="B9" s="972" t="s">
        <v>3849</v>
      </c>
      <c r="C9" s="973">
        <v>1</v>
      </c>
      <c r="D9" s="983">
        <v>3.15</v>
      </c>
      <c r="E9" s="974">
        <v>154.6</v>
      </c>
      <c r="F9" s="974">
        <f>D9*E9</f>
        <v>486.98999999999995</v>
      </c>
      <c r="G9" s="506" t="s">
        <v>71</v>
      </c>
      <c r="H9" s="508">
        <v>717</v>
      </c>
      <c r="I9" s="513">
        <f>ROUND(F9*H9,0)</f>
        <v>349172</v>
      </c>
      <c r="J9" s="1010">
        <f>(F9-(23.16))*0.8</f>
        <v>371.06399999999996</v>
      </c>
      <c r="K9" s="513">
        <f>ROUND(H9*J9,0)</f>
        <v>266053</v>
      </c>
      <c r="L9" s="509" t="s">
        <v>322</v>
      </c>
      <c r="N9" s="984"/>
    </row>
    <row r="10" spans="1:14">
      <c r="A10" s="936" t="s">
        <v>3850</v>
      </c>
      <c r="B10" s="972" t="s">
        <v>3851</v>
      </c>
      <c r="C10" s="973">
        <v>1</v>
      </c>
      <c r="D10" s="974">
        <v>1</v>
      </c>
      <c r="E10" s="974">
        <v>40.200000000000003</v>
      </c>
      <c r="F10" s="508">
        <f>C10*D10*E10</f>
        <v>40.200000000000003</v>
      </c>
      <c r="G10" s="506" t="s">
        <v>71</v>
      </c>
      <c r="H10" s="508">
        <v>717</v>
      </c>
      <c r="I10" s="513">
        <f>ROUND(F10*H10,0)</f>
        <v>28823</v>
      </c>
      <c r="J10" s="1010">
        <v>40.200000000000003</v>
      </c>
      <c r="K10" s="1010">
        <f>ROUND(H10*J10,0)</f>
        <v>28823</v>
      </c>
      <c r="L10" s="509" t="s">
        <v>322</v>
      </c>
    </row>
    <row r="11" spans="1:14" ht="39.6">
      <c r="A11" s="511">
        <v>1.2</v>
      </c>
      <c r="B11" s="975" t="s">
        <v>3130</v>
      </c>
      <c r="C11" s="975"/>
      <c r="D11" s="975"/>
      <c r="E11" s="975"/>
      <c r="F11" s="508">
        <v>1</v>
      </c>
      <c r="G11" s="506" t="s">
        <v>2619</v>
      </c>
      <c r="H11" s="508">
        <f>ROUND(SUM(I9:I10)*15.99%,0)</f>
        <v>60441</v>
      </c>
      <c r="I11" s="513">
        <f>ROUND(SUM(I9:I10)*15.99%,0)</f>
        <v>60441</v>
      </c>
      <c r="J11" s="1011">
        <f>SUM(K9:K10)/SUM(I9:I10)</f>
        <v>0.7801055569518115</v>
      </c>
      <c r="K11" s="1010">
        <f>ROUND(SUM(K9:K10)*15.99%,0)</f>
        <v>47151</v>
      </c>
      <c r="L11" s="509"/>
    </row>
    <row r="12" spans="1:14" ht="39.6">
      <c r="A12" s="511">
        <v>1.3</v>
      </c>
      <c r="B12" s="972" t="s">
        <v>3852</v>
      </c>
      <c r="C12" s="972"/>
      <c r="D12" s="972"/>
      <c r="E12" s="972"/>
      <c r="F12" s="508"/>
      <c r="G12" s="506"/>
      <c r="H12" s="508"/>
      <c r="I12" s="513"/>
      <c r="J12" s="513"/>
      <c r="K12" s="513"/>
      <c r="L12" s="524" t="s">
        <v>3853</v>
      </c>
      <c r="N12" s="985"/>
    </row>
    <row r="13" spans="1:14">
      <c r="A13" s="511">
        <v>1.4</v>
      </c>
      <c r="B13" s="972" t="s">
        <v>3131</v>
      </c>
      <c r="C13" s="972"/>
      <c r="D13" s="972"/>
      <c r="E13" s="972"/>
      <c r="F13" s="508"/>
      <c r="G13" s="506"/>
      <c r="H13" s="508"/>
      <c r="I13" s="938" t="s">
        <v>72</v>
      </c>
      <c r="J13" s="938"/>
      <c r="K13" s="938"/>
      <c r="L13" s="509" t="s">
        <v>3132</v>
      </c>
    </row>
    <row r="14" spans="1:14">
      <c r="A14" s="515"/>
      <c r="B14" s="516"/>
      <c r="C14" s="516"/>
      <c r="D14" s="516"/>
      <c r="E14" s="516"/>
      <c r="F14" s="516"/>
      <c r="G14" s="516"/>
      <c r="H14" s="516"/>
      <c r="I14" s="976"/>
      <c r="J14" s="976"/>
      <c r="K14" s="976"/>
      <c r="L14" s="977"/>
    </row>
    <row r="15" spans="1:14" ht="25.5" customHeight="1">
      <c r="A15" s="519"/>
      <c r="B15" s="978" t="s">
        <v>2632</v>
      </c>
      <c r="C15" s="978"/>
      <c r="D15" s="978"/>
      <c r="E15" s="978"/>
      <c r="F15" s="979"/>
      <c r="G15" s="980"/>
      <c r="H15" s="979"/>
      <c r="I15" s="979">
        <f>SUM(I8:I14)</f>
        <v>438436</v>
      </c>
      <c r="J15" s="987">
        <f>K15/I15</f>
        <v>0.78010701675957261</v>
      </c>
      <c r="K15" s="979">
        <f>SUM(K9:K14)</f>
        <v>342027</v>
      </c>
      <c r="L15" s="979"/>
      <c r="M15" s="661"/>
    </row>
    <row r="16" spans="1:14" ht="25.5" customHeight="1">
      <c r="A16" s="519"/>
      <c r="B16" s="978" t="s">
        <v>3593</v>
      </c>
      <c r="C16" s="978"/>
      <c r="D16" s="978"/>
      <c r="E16" s="978"/>
      <c r="F16" s="979"/>
      <c r="G16" s="980"/>
      <c r="H16" s="979"/>
      <c r="I16" s="986">
        <v>-141181</v>
      </c>
      <c r="J16" s="979"/>
      <c r="K16" s="979"/>
      <c r="L16" s="979"/>
      <c r="M16" s="661"/>
    </row>
    <row r="17" spans="1:13" ht="25.5" customHeight="1">
      <c r="A17" s="519"/>
      <c r="B17" s="978" t="s">
        <v>3594</v>
      </c>
      <c r="C17" s="978"/>
      <c r="D17" s="978"/>
      <c r="E17" s="978"/>
      <c r="F17" s="979"/>
      <c r="G17" s="980"/>
      <c r="H17" s="979"/>
      <c r="I17" s="979">
        <f>SUM(I15:I16)</f>
        <v>297255</v>
      </c>
      <c r="J17" s="979"/>
      <c r="K17" s="979"/>
      <c r="L17" s="979"/>
      <c r="M17" s="661"/>
    </row>
    <row r="18" spans="1:13">
      <c r="A18" s="491"/>
      <c r="B18" s="491"/>
      <c r="C18" s="491"/>
      <c r="D18" s="491"/>
      <c r="E18" s="491"/>
      <c r="F18" s="491"/>
      <c r="G18" s="491"/>
      <c r="H18" s="491"/>
      <c r="I18" s="492"/>
      <c r="J18" s="492"/>
      <c r="K18" s="492"/>
      <c r="L18" s="492"/>
    </row>
  </sheetData>
  <mergeCells count="1">
    <mergeCell ref="J5:K5"/>
  </mergeCells>
  <pageMargins left="0.7" right="0.7" top="0.75" bottom="0.75" header="0.3" footer="0.3"/>
  <pageSetup paperSize="9" scale="61" fitToHeight="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AJ44"/>
  <sheetViews>
    <sheetView showGridLines="0" view="pageBreakPreview" topLeftCell="A36" zoomScale="85" zoomScaleNormal="70" zoomScaleSheetLayoutView="85" workbookViewId="0">
      <selection activeCell="U46" sqref="U46"/>
    </sheetView>
  </sheetViews>
  <sheetFormatPr defaultColWidth="9.109375" defaultRowHeight="13.2" outlineLevelRow="1" outlineLevelCol="1"/>
  <cols>
    <col min="1" max="1" width="5.6640625" style="227" customWidth="1"/>
    <col min="2" max="2" width="30.6640625" style="227" customWidth="1"/>
    <col min="3" max="3" width="12.88671875" style="228" customWidth="1"/>
    <col min="4" max="4" width="8.44140625" style="228" hidden="1" customWidth="1" outlineLevel="1"/>
    <col min="5" max="5" width="10.6640625" style="228" bestFit="1" customWidth="1" collapsed="1"/>
    <col min="6" max="6" width="10.6640625" style="228" hidden="1" customWidth="1" outlineLevel="1"/>
    <col min="7" max="7" width="9.33203125" style="228" hidden="1" customWidth="1" outlineLevel="1"/>
    <col min="8" max="9" width="10.6640625" style="229" hidden="1" customWidth="1" outlineLevel="1"/>
    <col min="10" max="10" width="10.6640625" style="228" hidden="1" customWidth="1" outlineLevel="1"/>
    <col min="11" max="11" width="1.6640625" style="230" customWidth="1" collapsed="1"/>
    <col min="12" max="12" width="9.33203125" style="231" hidden="1" customWidth="1"/>
    <col min="13" max="13" width="26" style="232" customWidth="1"/>
    <col min="14" max="14" width="11.33203125" style="232" customWidth="1"/>
    <col min="15" max="15" width="10.33203125" style="233" customWidth="1"/>
    <col min="16" max="17" width="13.6640625" style="233" hidden="1" customWidth="1" outlineLevel="1"/>
    <col min="18" max="18" width="15.6640625" style="233" bestFit="1" customWidth="1" collapsed="1"/>
    <col min="19" max="19" width="8.88671875" style="233" hidden="1" customWidth="1" outlineLevel="1"/>
    <col min="20" max="20" width="8.88671875" style="233" bestFit="1" customWidth="1" collapsed="1"/>
    <col min="21" max="21" width="13.6640625" style="232" customWidth="1"/>
    <col min="22" max="22" width="1.88671875" style="227" customWidth="1"/>
    <col min="23" max="23" width="15.6640625" style="232" hidden="1" customWidth="1" outlineLevel="1"/>
    <col min="24" max="24" width="1.88671875" style="227" hidden="1" customWidth="1" outlineLevel="1"/>
    <col min="25" max="25" width="13.6640625" style="234" hidden="1" customWidth="1" outlineLevel="1"/>
    <col min="26" max="27" width="13.6640625" style="232" hidden="1" customWidth="1" outlineLevel="1"/>
    <col min="28" max="28" width="1.6640625" style="230" hidden="1" customWidth="1" outlineLevel="1" collapsed="1"/>
    <col min="29" max="29" width="12.6640625" style="232" hidden="1" customWidth="1" outlineLevel="1"/>
    <col min="30" max="30" width="13.6640625" style="235" hidden="1" customWidth="1" outlineLevel="1"/>
    <col min="31" max="31" width="1.6640625" style="227" hidden="1" customWidth="1" outlineLevel="1"/>
    <col min="32" max="32" width="26.44140625" style="232" customWidth="1" collapsed="1"/>
    <col min="33" max="33" width="1.6640625" style="236" customWidth="1"/>
    <col min="34" max="36" width="13.109375" style="581" customWidth="1"/>
    <col min="37" max="16384" width="9.109375" style="227"/>
  </cols>
  <sheetData>
    <row r="1" spans="1:36" s="184" customFormat="1" ht="15.6">
      <c r="A1" s="184" t="s">
        <v>169</v>
      </c>
      <c r="C1" s="185"/>
      <c r="D1" s="185"/>
      <c r="E1" s="185"/>
      <c r="F1" s="185"/>
      <c r="G1" s="185"/>
      <c r="H1" s="186"/>
      <c r="I1" s="186"/>
      <c r="J1" s="185"/>
      <c r="K1" s="187"/>
      <c r="L1" s="188"/>
      <c r="M1" s="189"/>
      <c r="N1" s="189"/>
      <c r="O1" s="190"/>
      <c r="P1" s="190"/>
      <c r="Q1" s="190"/>
      <c r="R1" s="190"/>
      <c r="S1" s="190"/>
      <c r="T1" s="190"/>
      <c r="U1" s="189"/>
      <c r="W1" s="189"/>
      <c r="Y1" s="191"/>
      <c r="Z1" s="189"/>
      <c r="AA1" s="189"/>
      <c r="AB1" s="187"/>
      <c r="AC1" s="189"/>
      <c r="AD1" s="192"/>
      <c r="AF1" s="189"/>
      <c r="AG1" s="193"/>
      <c r="AH1" s="580"/>
      <c r="AI1" s="580"/>
      <c r="AJ1" s="580"/>
    </row>
    <row r="2" spans="1:36" s="184" customFormat="1" ht="15.6">
      <c r="A2" s="184" t="s">
        <v>3516</v>
      </c>
      <c r="C2" s="185"/>
      <c r="D2" s="185"/>
      <c r="E2" s="185"/>
      <c r="F2" s="185"/>
      <c r="G2" s="185"/>
      <c r="H2" s="186"/>
      <c r="I2" s="186"/>
      <c r="J2" s="185"/>
      <c r="K2" s="187"/>
      <c r="L2" s="188"/>
      <c r="M2" s="189"/>
      <c r="N2" s="189"/>
      <c r="O2" s="190"/>
      <c r="P2" s="190"/>
      <c r="Q2" s="190"/>
      <c r="R2" s="190"/>
      <c r="S2" s="190"/>
      <c r="T2" s="190"/>
      <c r="U2" s="189"/>
      <c r="W2" s="189"/>
      <c r="Y2" s="191"/>
      <c r="Z2" s="189"/>
      <c r="AA2" s="189"/>
      <c r="AB2" s="187"/>
      <c r="AC2" s="189"/>
      <c r="AD2" s="194"/>
      <c r="AF2" s="189"/>
      <c r="AG2" s="193"/>
      <c r="AH2" s="580"/>
      <c r="AI2" s="580"/>
      <c r="AJ2" s="580"/>
    </row>
    <row r="3" spans="1:36" s="184" customFormat="1" ht="15.6">
      <c r="A3" s="184" t="s">
        <v>154</v>
      </c>
      <c r="C3" s="185"/>
      <c r="D3" s="185"/>
      <c r="E3" s="185"/>
      <c r="F3" s="185"/>
      <c r="G3" s="185"/>
      <c r="H3" s="186"/>
      <c r="I3" s="186"/>
      <c r="J3" s="185"/>
      <c r="K3" s="187"/>
      <c r="L3" s="188"/>
      <c r="M3" s="189"/>
      <c r="N3" s="189"/>
      <c r="O3" s="190"/>
      <c r="P3" s="190"/>
      <c r="Q3" s="190"/>
      <c r="R3" s="190"/>
      <c r="S3" s="190"/>
      <c r="T3" s="190"/>
      <c r="U3" s="189"/>
      <c r="W3" s="189"/>
      <c r="Y3" s="191"/>
      <c r="Z3" s="189"/>
      <c r="AA3" s="189"/>
      <c r="AB3" s="187"/>
      <c r="AC3" s="189"/>
      <c r="AD3" s="195"/>
      <c r="AF3" s="189"/>
      <c r="AG3" s="193"/>
      <c r="AH3" s="580"/>
      <c r="AI3" s="580"/>
      <c r="AJ3" s="580"/>
    </row>
    <row r="4" spans="1:36" s="184" customFormat="1" ht="16.2" thickBot="1">
      <c r="A4" s="196"/>
      <c r="B4" s="196"/>
      <c r="C4" s="185"/>
      <c r="D4" s="185"/>
      <c r="E4" s="185"/>
      <c r="F4" s="185"/>
      <c r="G4" s="185"/>
      <c r="H4" s="186"/>
      <c r="I4" s="186"/>
      <c r="J4" s="185"/>
      <c r="K4" s="187"/>
      <c r="L4" s="188"/>
      <c r="M4" s="189"/>
      <c r="N4" s="189"/>
      <c r="O4" s="190"/>
      <c r="P4" s="190"/>
      <c r="Q4" s="190"/>
      <c r="R4" s="190"/>
      <c r="S4" s="190"/>
      <c r="T4" s="190"/>
      <c r="U4" s="189"/>
      <c r="W4" s="189"/>
      <c r="Y4" s="191"/>
      <c r="Z4" s="189"/>
      <c r="AA4" s="189"/>
      <c r="AB4" s="187"/>
      <c r="AC4" s="189"/>
      <c r="AD4" s="195"/>
      <c r="AF4" s="189"/>
      <c r="AG4" s="193"/>
      <c r="AH4" s="580"/>
      <c r="AI4" s="580"/>
      <c r="AJ4" s="580"/>
    </row>
    <row r="5" spans="1:36" s="198" customFormat="1" ht="60" customHeight="1" thickBot="1">
      <c r="A5" s="1077" t="s">
        <v>155</v>
      </c>
      <c r="B5" s="1079" t="s">
        <v>156</v>
      </c>
      <c r="C5" s="1081" t="s">
        <v>157</v>
      </c>
      <c r="D5" s="1081"/>
      <c r="E5" s="1081"/>
      <c r="F5" s="1081"/>
      <c r="G5" s="1081"/>
      <c r="H5" s="1081"/>
      <c r="I5" s="1082" t="s">
        <v>3517</v>
      </c>
      <c r="J5" s="197" t="s">
        <v>158</v>
      </c>
      <c r="K5" s="300"/>
      <c r="L5" s="1084" t="s">
        <v>159</v>
      </c>
      <c r="M5" s="1081"/>
      <c r="N5" s="1081"/>
      <c r="O5" s="1081"/>
      <c r="P5" s="1081"/>
      <c r="Q5" s="1081"/>
      <c r="R5" s="1085"/>
      <c r="S5" s="1085"/>
      <c r="T5" s="1085"/>
      <c r="U5" s="1085"/>
      <c r="V5" s="604"/>
      <c r="W5" s="644"/>
      <c r="X5" s="645"/>
      <c r="Y5" s="1086" t="s">
        <v>3755</v>
      </c>
      <c r="Z5" s="1087"/>
      <c r="AA5" s="1071" t="s">
        <v>3518</v>
      </c>
      <c r="AC5" s="1073" t="s">
        <v>160</v>
      </c>
      <c r="AD5" s="1075" t="s">
        <v>43</v>
      </c>
      <c r="AG5" s="199"/>
      <c r="AH5" s="199"/>
      <c r="AI5" s="199"/>
      <c r="AJ5" s="199"/>
    </row>
    <row r="6" spans="1:36" s="198" customFormat="1" ht="60" customHeight="1">
      <c r="A6" s="1078"/>
      <c r="B6" s="1080"/>
      <c r="C6" s="200" t="s">
        <v>161</v>
      </c>
      <c r="D6" s="201" t="s">
        <v>162</v>
      </c>
      <c r="E6" s="353" t="s">
        <v>52</v>
      </c>
      <c r="F6" s="201" t="s">
        <v>2306</v>
      </c>
      <c r="G6" s="201" t="s">
        <v>163</v>
      </c>
      <c r="H6" s="202" t="s">
        <v>52</v>
      </c>
      <c r="I6" s="1083"/>
      <c r="J6" s="203" t="s">
        <v>164</v>
      </c>
      <c r="K6" s="301"/>
      <c r="L6" s="205" t="s">
        <v>165</v>
      </c>
      <c r="M6" s="206" t="s">
        <v>166</v>
      </c>
      <c r="N6" s="354" t="s">
        <v>2307</v>
      </c>
      <c r="O6" s="202" t="s">
        <v>3519</v>
      </c>
      <c r="P6" s="207" t="s">
        <v>167</v>
      </c>
      <c r="Q6" s="208" t="s">
        <v>84</v>
      </c>
      <c r="R6" s="237" t="s">
        <v>170</v>
      </c>
      <c r="S6" s="920" t="s">
        <v>3753</v>
      </c>
      <c r="T6" s="239" t="s">
        <v>3467</v>
      </c>
      <c r="U6" s="603" t="s">
        <v>3466</v>
      </c>
      <c r="V6" s="604"/>
      <c r="W6" s="356" t="s">
        <v>3282</v>
      </c>
      <c r="X6" s="645"/>
      <c r="Y6" s="641" t="s">
        <v>3520</v>
      </c>
      <c r="Z6" s="642" t="s">
        <v>2</v>
      </c>
      <c r="AA6" s="1072"/>
      <c r="AB6" s="204"/>
      <c r="AC6" s="1074"/>
      <c r="AD6" s="1076"/>
      <c r="AF6" s="356" t="s">
        <v>43</v>
      </c>
      <c r="AG6" s="199"/>
      <c r="AH6" s="356" t="s">
        <v>3754</v>
      </c>
      <c r="AI6" s="356" t="s">
        <v>3155</v>
      </c>
      <c r="AJ6" s="356" t="s">
        <v>3154</v>
      </c>
    </row>
    <row r="7" spans="1:36" s="578" customFormat="1" ht="79.2">
      <c r="A7" s="775">
        <v>1</v>
      </c>
      <c r="B7" s="776" t="s">
        <v>3514</v>
      </c>
      <c r="C7" s="777" t="s">
        <v>3515</v>
      </c>
      <c r="D7" s="778"/>
      <c r="E7" s="779">
        <v>44749</v>
      </c>
      <c r="F7" s="779"/>
      <c r="G7" s="780"/>
      <c r="H7" s="781"/>
      <c r="I7" s="782"/>
      <c r="J7" s="783"/>
      <c r="K7" s="302"/>
      <c r="L7" s="784"/>
      <c r="M7" s="785" t="s">
        <v>3625</v>
      </c>
      <c r="N7" s="786" t="s">
        <v>3536</v>
      </c>
      <c r="O7" s="781">
        <v>44775</v>
      </c>
      <c r="P7" s="787"/>
      <c r="Q7" s="788"/>
      <c r="R7" s="789">
        <v>3628</v>
      </c>
      <c r="S7" s="921" t="s">
        <v>3743</v>
      </c>
      <c r="T7" s="790">
        <v>1</v>
      </c>
      <c r="U7" s="791">
        <f t="shared" ref="U7:U16" si="0">R7*T7</f>
        <v>3628</v>
      </c>
      <c r="V7" s="605"/>
      <c r="W7" s="792"/>
      <c r="X7" s="646"/>
      <c r="Y7" s="793"/>
      <c r="Z7" s="794"/>
      <c r="AA7" s="795"/>
      <c r="AB7" s="209"/>
      <c r="AC7" s="796"/>
      <c r="AD7" s="797"/>
      <c r="AF7" s="303" t="s">
        <v>3687</v>
      </c>
      <c r="AG7" s="579"/>
      <c r="AH7" s="798"/>
      <c r="AI7" s="798" t="s">
        <v>3685</v>
      </c>
      <c r="AJ7" s="798"/>
    </row>
    <row r="8" spans="1:36" s="578" customFormat="1" ht="54.9" hidden="1" customHeight="1" outlineLevel="1">
      <c r="A8" s="892"/>
      <c r="B8" s="893" t="s">
        <v>3523</v>
      </c>
      <c r="C8" s="894" t="s">
        <v>3521</v>
      </c>
      <c r="D8" s="895"/>
      <c r="E8" s="896">
        <v>44774</v>
      </c>
      <c r="F8" s="896"/>
      <c r="G8" s="897"/>
      <c r="H8" s="898"/>
      <c r="I8" s="899"/>
      <c r="J8" s="900"/>
      <c r="K8" s="901"/>
      <c r="L8" s="902"/>
      <c r="M8" s="903" t="s">
        <v>3522</v>
      </c>
      <c r="N8" s="904" t="s">
        <v>3537</v>
      </c>
      <c r="O8" s="898">
        <v>44783</v>
      </c>
      <c r="P8" s="905"/>
      <c r="Q8" s="906"/>
      <c r="R8" s="907" t="s">
        <v>3662</v>
      </c>
      <c r="S8" s="922" t="s">
        <v>2321</v>
      </c>
      <c r="T8" s="908"/>
      <c r="U8" s="909">
        <f t="shared" si="0"/>
        <v>0</v>
      </c>
      <c r="V8" s="882"/>
      <c r="W8" s="883"/>
      <c r="X8" s="884"/>
      <c r="Y8" s="885"/>
      <c r="Z8" s="886"/>
      <c r="AA8" s="887"/>
      <c r="AB8" s="888"/>
      <c r="AC8" s="889"/>
      <c r="AD8" s="890"/>
      <c r="AE8" s="891"/>
      <c r="AF8" s="881" t="s">
        <v>3665</v>
      </c>
      <c r="AG8" s="579"/>
      <c r="AH8" s="798"/>
      <c r="AI8" s="798"/>
      <c r="AJ8" s="798"/>
    </row>
    <row r="9" spans="1:36" s="578" customFormat="1" ht="79.2" collapsed="1">
      <c r="A9" s="775">
        <v>2</v>
      </c>
      <c r="B9" s="776" t="s">
        <v>3524</v>
      </c>
      <c r="C9" s="777" t="s">
        <v>3525</v>
      </c>
      <c r="D9" s="778"/>
      <c r="E9" s="779">
        <v>44774</v>
      </c>
      <c r="F9" s="779"/>
      <c r="G9" s="780"/>
      <c r="H9" s="781"/>
      <c r="I9" s="782"/>
      <c r="J9" s="783"/>
      <c r="K9" s="302"/>
      <c r="L9" s="784"/>
      <c r="M9" s="785" t="s">
        <v>3526</v>
      </c>
      <c r="N9" s="786" t="s">
        <v>3535</v>
      </c>
      <c r="O9" s="781">
        <v>44784</v>
      </c>
      <c r="P9" s="787"/>
      <c r="Q9" s="788"/>
      <c r="R9" s="789">
        <v>5562</v>
      </c>
      <c r="S9" s="921" t="s">
        <v>3743</v>
      </c>
      <c r="T9" s="790">
        <v>1</v>
      </c>
      <c r="U9" s="791">
        <f t="shared" si="0"/>
        <v>5562</v>
      </c>
      <c r="V9" s="605"/>
      <c r="W9" s="792"/>
      <c r="X9" s="646"/>
      <c r="Y9" s="793"/>
      <c r="Z9" s="794"/>
      <c r="AA9" s="795"/>
      <c r="AB9" s="209"/>
      <c r="AC9" s="796"/>
      <c r="AD9" s="797"/>
      <c r="AF9" s="303" t="s">
        <v>3687</v>
      </c>
      <c r="AG9" s="579"/>
      <c r="AH9" s="798"/>
      <c r="AI9" s="798"/>
      <c r="AJ9" s="798"/>
    </row>
    <row r="10" spans="1:36" s="578" customFormat="1" ht="105.6">
      <c r="A10" s="775">
        <v>3</v>
      </c>
      <c r="B10" s="776" t="s">
        <v>3527</v>
      </c>
      <c r="C10" s="777" t="s">
        <v>3528</v>
      </c>
      <c r="D10" s="778"/>
      <c r="E10" s="779">
        <v>44769</v>
      </c>
      <c r="F10" s="779"/>
      <c r="G10" s="780"/>
      <c r="H10" s="781"/>
      <c r="I10" s="782"/>
      <c r="J10" s="783"/>
      <c r="K10" s="302"/>
      <c r="L10" s="784"/>
      <c r="M10" s="785" t="s">
        <v>3529</v>
      </c>
      <c r="N10" s="786" t="s">
        <v>3534</v>
      </c>
      <c r="O10" s="781">
        <v>44784</v>
      </c>
      <c r="P10" s="787"/>
      <c r="Q10" s="788"/>
      <c r="R10" s="789">
        <v>61851</v>
      </c>
      <c r="S10" s="924" t="s">
        <v>3752</v>
      </c>
      <c r="T10" s="790"/>
      <c r="U10" s="791">
        <f t="shared" si="0"/>
        <v>0</v>
      </c>
      <c r="V10" s="605"/>
      <c r="W10" s="792"/>
      <c r="X10" s="646"/>
      <c r="Y10" s="793"/>
      <c r="Z10" s="794"/>
      <c r="AA10" s="795"/>
      <c r="AB10" s="209"/>
      <c r="AC10" s="796"/>
      <c r="AD10" s="797"/>
      <c r="AF10" s="915" t="s">
        <v>3705</v>
      </c>
      <c r="AG10" s="579"/>
      <c r="AH10" s="798"/>
      <c r="AI10" s="798"/>
      <c r="AJ10" s="798"/>
    </row>
    <row r="11" spans="1:36" s="578" customFormat="1" ht="79.2">
      <c r="A11" s="775">
        <v>4</v>
      </c>
      <c r="B11" s="776" t="s">
        <v>3530</v>
      </c>
      <c r="C11" s="777" t="s">
        <v>3531</v>
      </c>
      <c r="D11" s="778"/>
      <c r="E11" s="779">
        <v>44782</v>
      </c>
      <c r="F11" s="779"/>
      <c r="G11" s="780"/>
      <c r="H11" s="781"/>
      <c r="I11" s="782"/>
      <c r="J11" s="783"/>
      <c r="K11" s="302"/>
      <c r="L11" s="784"/>
      <c r="M11" s="785" t="s">
        <v>3532</v>
      </c>
      <c r="N11" s="786" t="s">
        <v>3533</v>
      </c>
      <c r="O11" s="781">
        <v>44791</v>
      </c>
      <c r="P11" s="787"/>
      <c r="Q11" s="788"/>
      <c r="R11" s="789">
        <v>4491</v>
      </c>
      <c r="S11" s="921" t="s">
        <v>3743</v>
      </c>
      <c r="T11" s="790">
        <v>1</v>
      </c>
      <c r="U11" s="791">
        <f t="shared" si="0"/>
        <v>4491</v>
      </c>
      <c r="V11" s="605"/>
      <c r="W11" s="792"/>
      <c r="X11" s="646"/>
      <c r="Y11" s="793"/>
      <c r="Z11" s="794"/>
      <c r="AA11" s="795"/>
      <c r="AB11" s="209"/>
      <c r="AC11" s="796"/>
      <c r="AD11" s="797"/>
      <c r="AF11" s="303" t="s">
        <v>3687</v>
      </c>
      <c r="AG11" s="579"/>
      <c r="AH11" s="798"/>
      <c r="AI11" s="798"/>
      <c r="AJ11" s="798" t="s">
        <v>3686</v>
      </c>
    </row>
    <row r="12" spans="1:36" s="578" customFormat="1" ht="54.9" customHeight="1">
      <c r="A12" s="775">
        <v>5</v>
      </c>
      <c r="B12" s="776" t="s">
        <v>3659</v>
      </c>
      <c r="C12" s="777" t="s">
        <v>3660</v>
      </c>
      <c r="D12" s="778"/>
      <c r="E12" s="779">
        <v>44814</v>
      </c>
      <c r="F12" s="779"/>
      <c r="G12" s="780"/>
      <c r="H12" s="781"/>
      <c r="I12" s="782"/>
      <c r="J12" s="783"/>
      <c r="K12" s="302"/>
      <c r="L12" s="784"/>
      <c r="M12" s="785" t="s">
        <v>3661</v>
      </c>
      <c r="N12" s="786" t="s">
        <v>3684</v>
      </c>
      <c r="O12" s="781">
        <v>44819</v>
      </c>
      <c r="P12" s="787"/>
      <c r="Q12" s="788"/>
      <c r="R12" s="789">
        <v>52196</v>
      </c>
      <c r="S12" s="921" t="s">
        <v>3751</v>
      </c>
      <c r="T12" s="790">
        <v>1</v>
      </c>
      <c r="U12" s="791">
        <f t="shared" si="0"/>
        <v>52196</v>
      </c>
      <c r="V12" s="605"/>
      <c r="W12" s="792"/>
      <c r="X12" s="646"/>
      <c r="Y12" s="793"/>
      <c r="Z12" s="794"/>
      <c r="AA12" s="795"/>
      <c r="AB12" s="209"/>
      <c r="AC12" s="796"/>
      <c r="AD12" s="797"/>
      <c r="AF12" s="303" t="s">
        <v>3818</v>
      </c>
      <c r="AG12" s="579"/>
      <c r="AH12" s="798"/>
      <c r="AI12" s="798"/>
      <c r="AJ12" s="798"/>
    </row>
    <row r="13" spans="1:36" s="578" customFormat="1" ht="54.9" customHeight="1">
      <c r="A13" s="775">
        <v>6</v>
      </c>
      <c r="B13" s="776" t="s">
        <v>3664</v>
      </c>
      <c r="C13" s="777" t="s">
        <v>3663</v>
      </c>
      <c r="D13" s="778"/>
      <c r="E13" s="779">
        <v>44817</v>
      </c>
      <c r="F13" s="779"/>
      <c r="G13" s="780"/>
      <c r="H13" s="781"/>
      <c r="I13" s="782"/>
      <c r="J13" s="783"/>
      <c r="K13" s="302"/>
      <c r="L13" s="784"/>
      <c r="M13" s="785" t="s">
        <v>3666</v>
      </c>
      <c r="N13" s="786" t="s">
        <v>3683</v>
      </c>
      <c r="O13" s="781">
        <v>44825</v>
      </c>
      <c r="P13" s="787"/>
      <c r="Q13" s="788"/>
      <c r="R13" s="789">
        <v>82509</v>
      </c>
      <c r="S13" s="921" t="s">
        <v>3743</v>
      </c>
      <c r="T13" s="993">
        <v>0.9</v>
      </c>
      <c r="U13" s="1012">
        <f>R13*T13</f>
        <v>74258.100000000006</v>
      </c>
      <c r="V13" s="605"/>
      <c r="W13" s="792"/>
      <c r="X13" s="646"/>
      <c r="Y13" s="793"/>
      <c r="Z13" s="794"/>
      <c r="AA13" s="795"/>
      <c r="AB13" s="209"/>
      <c r="AC13" s="796"/>
      <c r="AD13" s="797"/>
      <c r="AF13" s="303"/>
      <c r="AG13" s="579"/>
      <c r="AH13" s="798"/>
      <c r="AI13" s="798"/>
      <c r="AJ13" s="798"/>
    </row>
    <row r="14" spans="1:36" s="578" customFormat="1" ht="54.9" customHeight="1">
      <c r="A14" s="775">
        <v>7</v>
      </c>
      <c r="B14" s="776" t="s">
        <v>3649</v>
      </c>
      <c r="C14" s="777" t="s">
        <v>3650</v>
      </c>
      <c r="D14" s="778"/>
      <c r="E14" s="779">
        <v>44824</v>
      </c>
      <c r="F14" s="779"/>
      <c r="G14" s="912"/>
      <c r="H14" s="781"/>
      <c r="I14" s="913"/>
      <c r="J14" s="783"/>
      <c r="K14" s="302"/>
      <c r="L14" s="784"/>
      <c r="M14" s="785" t="s">
        <v>3651</v>
      </c>
      <c r="N14" s="786" t="s">
        <v>3682</v>
      </c>
      <c r="O14" s="781">
        <v>44834</v>
      </c>
      <c r="P14" s="787"/>
      <c r="Q14" s="788"/>
      <c r="R14" s="789">
        <v>16239</v>
      </c>
      <c r="S14" s="921" t="s">
        <v>3751</v>
      </c>
      <c r="T14" s="790">
        <v>1</v>
      </c>
      <c r="U14" s="791">
        <f t="shared" si="0"/>
        <v>16239</v>
      </c>
      <c r="V14" s="605"/>
      <c r="W14" s="792"/>
      <c r="X14" s="646"/>
      <c r="Y14" s="793"/>
      <c r="Z14" s="794"/>
      <c r="AA14" s="795"/>
      <c r="AB14" s="209"/>
      <c r="AC14" s="796"/>
      <c r="AD14" s="797"/>
      <c r="AF14" s="303" t="s">
        <v>3797</v>
      </c>
      <c r="AG14" s="579"/>
      <c r="AH14" s="798"/>
      <c r="AI14" s="798"/>
      <c r="AJ14" s="798"/>
    </row>
    <row r="15" spans="1:36" s="578" customFormat="1" ht="54.9" customHeight="1">
      <c r="A15" s="775">
        <v>8</v>
      </c>
      <c r="B15" s="776" t="s">
        <v>3654</v>
      </c>
      <c r="C15" s="777" t="s">
        <v>3653</v>
      </c>
      <c r="D15" s="778"/>
      <c r="E15" s="779">
        <v>44827</v>
      </c>
      <c r="F15" s="779"/>
      <c r="G15" s="780"/>
      <c r="H15" s="781"/>
      <c r="I15" s="782"/>
      <c r="J15" s="783"/>
      <c r="K15" s="302"/>
      <c r="L15" s="784"/>
      <c r="M15" s="785" t="s">
        <v>3652</v>
      </c>
      <c r="N15" s="786" t="s">
        <v>3680</v>
      </c>
      <c r="O15" s="781">
        <v>44834</v>
      </c>
      <c r="P15" s="787"/>
      <c r="Q15" s="788"/>
      <c r="R15" s="879">
        <v>-12124</v>
      </c>
      <c r="S15" s="921" t="s">
        <v>3751</v>
      </c>
      <c r="T15" s="790">
        <v>1</v>
      </c>
      <c r="U15" s="791">
        <f t="shared" si="0"/>
        <v>-12124</v>
      </c>
      <c r="V15" s="605"/>
      <c r="W15" s="792"/>
      <c r="X15" s="646"/>
      <c r="Y15" s="793"/>
      <c r="Z15" s="794"/>
      <c r="AA15" s="795"/>
      <c r="AB15" s="209"/>
      <c r="AC15" s="796"/>
      <c r="AD15" s="797"/>
      <c r="AF15" s="303"/>
      <c r="AG15" s="579"/>
      <c r="AH15" s="798"/>
      <c r="AI15" s="798"/>
      <c r="AJ15" s="798"/>
    </row>
    <row r="16" spans="1:36" s="578" customFormat="1" ht="54.9" customHeight="1">
      <c r="A16" s="775">
        <v>9</v>
      </c>
      <c r="B16" s="776" t="s">
        <v>3655</v>
      </c>
      <c r="C16" s="777" t="s">
        <v>3656</v>
      </c>
      <c r="D16" s="778"/>
      <c r="E16" s="779">
        <v>44830</v>
      </c>
      <c r="F16" s="779"/>
      <c r="G16" s="780"/>
      <c r="H16" s="781"/>
      <c r="I16" s="782"/>
      <c r="J16" s="783"/>
      <c r="K16" s="302"/>
      <c r="L16" s="784"/>
      <c r="M16" s="785" t="s">
        <v>3657</v>
      </c>
      <c r="N16" s="786" t="s">
        <v>3681</v>
      </c>
      <c r="O16" s="781">
        <v>44834</v>
      </c>
      <c r="P16" s="787"/>
      <c r="Q16" s="788"/>
      <c r="R16" s="789">
        <v>59560</v>
      </c>
      <c r="S16" s="921" t="s">
        <v>3751</v>
      </c>
      <c r="T16" s="790"/>
      <c r="U16" s="791">
        <f t="shared" si="0"/>
        <v>0</v>
      </c>
      <c r="V16" s="605"/>
      <c r="W16" s="792"/>
      <c r="X16" s="646"/>
      <c r="Y16" s="793"/>
      <c r="Z16" s="794"/>
      <c r="AA16" s="795"/>
      <c r="AB16" s="209"/>
      <c r="AC16" s="796"/>
      <c r="AD16" s="797"/>
      <c r="AF16" s="303"/>
      <c r="AG16" s="579"/>
      <c r="AH16" s="798"/>
      <c r="AI16" s="798"/>
      <c r="AJ16" s="798"/>
    </row>
    <row r="17" spans="1:36" s="578" customFormat="1" ht="54.9" hidden="1" customHeight="1" outlineLevel="1">
      <c r="A17" s="775"/>
      <c r="B17" s="893" t="s">
        <v>3667</v>
      </c>
      <c r="C17" s="919" t="s">
        <v>3731</v>
      </c>
      <c r="D17" s="895"/>
      <c r="E17" s="911">
        <v>44851</v>
      </c>
      <c r="F17" s="896"/>
      <c r="G17" s="897"/>
      <c r="H17" s="898"/>
      <c r="I17" s="899"/>
      <c r="J17" s="900"/>
      <c r="K17" s="901"/>
      <c r="L17" s="902"/>
      <c r="M17" s="903" t="s">
        <v>3668</v>
      </c>
      <c r="N17" s="904" t="s">
        <v>3679</v>
      </c>
      <c r="O17" s="898">
        <v>44834</v>
      </c>
      <c r="P17" s="905"/>
      <c r="Q17" s="906"/>
      <c r="R17" s="910" t="s">
        <v>3742</v>
      </c>
      <c r="S17" s="922" t="s">
        <v>3743</v>
      </c>
      <c r="T17" s="790"/>
      <c r="U17" s="791"/>
      <c r="V17" s="605"/>
      <c r="W17" s="792"/>
      <c r="X17" s="646"/>
      <c r="Y17" s="793"/>
      <c r="Z17" s="794"/>
      <c r="AA17" s="795"/>
      <c r="AB17" s="209"/>
      <c r="AC17" s="796"/>
      <c r="AD17" s="797"/>
      <c r="AF17" s="881" t="s">
        <v>3724</v>
      </c>
      <c r="AG17" s="579"/>
      <c r="AH17" s="798"/>
      <c r="AI17" s="798"/>
      <c r="AJ17" s="798"/>
    </row>
    <row r="18" spans="1:36" s="578" customFormat="1" ht="54.9" customHeight="1" collapsed="1">
      <c r="A18" s="775">
        <v>10</v>
      </c>
      <c r="B18" s="776" t="s">
        <v>3671</v>
      </c>
      <c r="C18" s="777" t="s">
        <v>3670</v>
      </c>
      <c r="D18" s="778"/>
      <c r="E18" s="880">
        <v>44831</v>
      </c>
      <c r="F18" s="779"/>
      <c r="G18" s="780"/>
      <c r="H18" s="781"/>
      <c r="I18" s="782"/>
      <c r="J18" s="783"/>
      <c r="K18" s="302"/>
      <c r="L18" s="784"/>
      <c r="M18" s="785" t="s">
        <v>3669</v>
      </c>
      <c r="N18" s="786" t="s">
        <v>3678</v>
      </c>
      <c r="O18" s="781">
        <v>44845</v>
      </c>
      <c r="P18" s="787"/>
      <c r="Q18" s="788"/>
      <c r="R18" s="789">
        <v>4528</v>
      </c>
      <c r="S18" s="921" t="s">
        <v>3743</v>
      </c>
      <c r="T18" s="790"/>
      <c r="U18" s="791"/>
      <c r="V18" s="605"/>
      <c r="W18" s="792"/>
      <c r="X18" s="646"/>
      <c r="Y18" s="793"/>
      <c r="Z18" s="794"/>
      <c r="AA18" s="795"/>
      <c r="AB18" s="209"/>
      <c r="AC18" s="796"/>
      <c r="AD18" s="797"/>
      <c r="AF18" s="303"/>
      <c r="AG18" s="579"/>
      <c r="AH18" s="798"/>
      <c r="AI18" s="798"/>
      <c r="AJ18" s="798"/>
    </row>
    <row r="19" spans="1:36" s="578" customFormat="1" ht="54.9" customHeight="1">
      <c r="A19" s="775">
        <v>11</v>
      </c>
      <c r="B19" s="776" t="s">
        <v>3672</v>
      </c>
      <c r="C19" s="777" t="s">
        <v>3673</v>
      </c>
      <c r="D19" s="778"/>
      <c r="E19" s="880">
        <v>44837</v>
      </c>
      <c r="F19" s="779"/>
      <c r="G19" s="780"/>
      <c r="H19" s="781"/>
      <c r="I19" s="782"/>
      <c r="J19" s="783"/>
      <c r="K19" s="302"/>
      <c r="L19" s="784"/>
      <c r="M19" s="785" t="s">
        <v>3674</v>
      </c>
      <c r="N19" s="786" t="s">
        <v>3677</v>
      </c>
      <c r="O19" s="781">
        <v>44845</v>
      </c>
      <c r="P19" s="787"/>
      <c r="Q19" s="788"/>
      <c r="R19" s="789">
        <v>21911</v>
      </c>
      <c r="S19" s="921" t="s">
        <v>3743</v>
      </c>
      <c r="T19" s="790">
        <f>'KCE-SI-278'!J19</f>
        <v>1</v>
      </c>
      <c r="U19" s="791">
        <f>R19*T19</f>
        <v>21911</v>
      </c>
      <c r="V19" s="605"/>
      <c r="W19" s="792"/>
      <c r="X19" s="646"/>
      <c r="Y19" s="793"/>
      <c r="Z19" s="794"/>
      <c r="AA19" s="795"/>
      <c r="AB19" s="209"/>
      <c r="AC19" s="796"/>
      <c r="AD19" s="797"/>
      <c r="AF19" s="303" t="s">
        <v>3820</v>
      </c>
      <c r="AG19" s="579"/>
      <c r="AH19" s="798"/>
      <c r="AI19" s="798"/>
      <c r="AJ19" s="798"/>
    </row>
    <row r="20" spans="1:36" s="578" customFormat="1" ht="54.9" hidden="1" customHeight="1" outlineLevel="1">
      <c r="A20" s="775"/>
      <c r="B20" s="893" t="s">
        <v>3692</v>
      </c>
      <c r="C20" s="894" t="s">
        <v>3675</v>
      </c>
      <c r="D20" s="895"/>
      <c r="E20" s="911">
        <v>44835</v>
      </c>
      <c r="F20" s="779"/>
      <c r="G20" s="780"/>
      <c r="H20" s="781"/>
      <c r="I20" s="782"/>
      <c r="J20" s="783"/>
      <c r="K20" s="302"/>
      <c r="L20" s="784"/>
      <c r="M20" s="903" t="s">
        <v>3676</v>
      </c>
      <c r="N20" s="904" t="s">
        <v>3688</v>
      </c>
      <c r="O20" s="898">
        <v>44846</v>
      </c>
      <c r="P20" s="905"/>
      <c r="Q20" s="906"/>
      <c r="R20" s="910" t="s">
        <v>3741</v>
      </c>
      <c r="S20" s="922" t="s">
        <v>2321</v>
      </c>
      <c r="T20" s="790"/>
      <c r="U20" s="791"/>
      <c r="V20" s="605"/>
      <c r="W20" s="792"/>
      <c r="X20" s="646"/>
      <c r="Y20" s="793"/>
      <c r="Z20" s="794"/>
      <c r="AA20" s="795"/>
      <c r="AB20" s="209"/>
      <c r="AC20" s="796"/>
      <c r="AD20" s="797"/>
      <c r="AF20" s="881" t="s">
        <v>3689</v>
      </c>
      <c r="AG20" s="579"/>
      <c r="AH20" s="798"/>
      <c r="AI20" s="798"/>
      <c r="AJ20" s="798"/>
    </row>
    <row r="21" spans="1:36" s="578" customFormat="1" ht="92.4" collapsed="1">
      <c r="A21" s="775">
        <v>12</v>
      </c>
      <c r="B21" s="776" t="s">
        <v>3693</v>
      </c>
      <c r="C21" s="777" t="s">
        <v>3691</v>
      </c>
      <c r="D21" s="778"/>
      <c r="E21" s="880">
        <v>44840</v>
      </c>
      <c r="F21" s="779"/>
      <c r="G21" s="912"/>
      <c r="H21" s="781"/>
      <c r="I21" s="913"/>
      <c r="J21" s="783"/>
      <c r="K21" s="302"/>
      <c r="L21" s="784"/>
      <c r="M21" s="785" t="s">
        <v>3690</v>
      </c>
      <c r="N21" s="786" t="s">
        <v>3713</v>
      </c>
      <c r="O21" s="781">
        <v>44860</v>
      </c>
      <c r="P21" s="787"/>
      <c r="Q21" s="788"/>
      <c r="R21" s="789">
        <v>3201</v>
      </c>
      <c r="S21" s="921" t="s">
        <v>3751</v>
      </c>
      <c r="T21" s="790">
        <v>1</v>
      </c>
      <c r="U21" s="791">
        <f>R21*T21</f>
        <v>3201</v>
      </c>
      <c r="V21" s="605"/>
      <c r="W21" s="792"/>
      <c r="X21" s="646"/>
      <c r="Y21" s="793"/>
      <c r="Z21" s="794"/>
      <c r="AA21" s="795"/>
      <c r="AB21" s="209"/>
      <c r="AC21" s="796"/>
      <c r="AD21" s="797"/>
      <c r="AF21" s="303" t="s">
        <v>3796</v>
      </c>
      <c r="AG21" s="579"/>
      <c r="AH21" s="798"/>
      <c r="AI21" s="798"/>
      <c r="AJ21" s="798"/>
    </row>
    <row r="22" spans="1:36" s="578" customFormat="1" ht="39.6" hidden="1" outlineLevel="1">
      <c r="A22" s="892"/>
      <c r="B22" s="893" t="s">
        <v>3695</v>
      </c>
      <c r="C22" s="894" t="s">
        <v>3701</v>
      </c>
      <c r="D22" s="895"/>
      <c r="E22" s="911">
        <v>44862</v>
      </c>
      <c r="F22" s="896"/>
      <c r="G22" s="897"/>
      <c r="H22" s="898"/>
      <c r="I22" s="899"/>
      <c r="J22" s="900"/>
      <c r="K22" s="901"/>
      <c r="L22" s="902"/>
      <c r="M22" s="903" t="s">
        <v>3694</v>
      </c>
      <c r="N22" s="904" t="s">
        <v>3715</v>
      </c>
      <c r="O22" s="898">
        <v>44860</v>
      </c>
      <c r="P22" s="905"/>
      <c r="Q22" s="906"/>
      <c r="R22" s="910" t="s">
        <v>3734</v>
      </c>
      <c r="S22" s="922" t="s">
        <v>2321</v>
      </c>
      <c r="T22" s="908"/>
      <c r="U22" s="909">
        <f>R22*T22</f>
        <v>0</v>
      </c>
      <c r="V22" s="605"/>
      <c r="W22" s="792"/>
      <c r="X22" s="646"/>
      <c r="Y22" s="793"/>
      <c r="Z22" s="794"/>
      <c r="AA22" s="795"/>
      <c r="AB22" s="209"/>
      <c r="AC22" s="796"/>
      <c r="AD22" s="797"/>
      <c r="AF22" s="881" t="s">
        <v>3733</v>
      </c>
      <c r="AG22" s="579"/>
      <c r="AH22" s="798"/>
      <c r="AI22" s="798"/>
      <c r="AJ22" s="798"/>
    </row>
    <row r="23" spans="1:36" s="578" customFormat="1" ht="52.8" collapsed="1">
      <c r="A23" s="775">
        <v>13</v>
      </c>
      <c r="B23" s="776" t="s">
        <v>3736</v>
      </c>
      <c r="C23" s="777" t="s">
        <v>3732</v>
      </c>
      <c r="D23" s="778"/>
      <c r="E23" s="880">
        <v>44862</v>
      </c>
      <c r="F23" s="779"/>
      <c r="G23" s="912"/>
      <c r="H23" s="781"/>
      <c r="I23" s="913"/>
      <c r="J23" s="783"/>
      <c r="K23" s="302"/>
      <c r="L23" s="784"/>
      <c r="M23" s="785" t="s">
        <v>3735</v>
      </c>
      <c r="N23" s="786" t="s">
        <v>3750</v>
      </c>
      <c r="O23" s="781">
        <v>44873</v>
      </c>
      <c r="P23" s="787"/>
      <c r="Q23" s="788"/>
      <c r="R23" s="789">
        <v>4781</v>
      </c>
      <c r="S23" s="921" t="s">
        <v>3743</v>
      </c>
      <c r="T23" s="790">
        <v>1</v>
      </c>
      <c r="U23" s="791">
        <f>R23*T23</f>
        <v>4781</v>
      </c>
      <c r="V23" s="605"/>
      <c r="W23" s="792"/>
      <c r="X23" s="646"/>
      <c r="Y23" s="793"/>
      <c r="Z23" s="794"/>
      <c r="AA23" s="795"/>
      <c r="AB23" s="209"/>
      <c r="AC23" s="796"/>
      <c r="AD23" s="797"/>
      <c r="AF23" s="303" t="s">
        <v>3802</v>
      </c>
      <c r="AG23" s="579"/>
      <c r="AH23" s="798"/>
      <c r="AI23" s="798"/>
      <c r="AJ23" s="798"/>
    </row>
    <row r="24" spans="1:36" s="578" customFormat="1" ht="39.6">
      <c r="A24" s="775">
        <v>14</v>
      </c>
      <c r="B24" s="776" t="s">
        <v>3719</v>
      </c>
      <c r="C24" s="777" t="s">
        <v>3718</v>
      </c>
      <c r="D24" s="778"/>
      <c r="E24" s="880">
        <v>44848</v>
      </c>
      <c r="F24" s="779"/>
      <c r="G24" s="912"/>
      <c r="H24" s="781"/>
      <c r="I24" s="913"/>
      <c r="J24" s="783"/>
      <c r="K24" s="302"/>
      <c r="L24" s="784"/>
      <c r="M24" s="785" t="s">
        <v>3723</v>
      </c>
      <c r="N24" s="786" t="s">
        <v>3740</v>
      </c>
      <c r="O24" s="781">
        <v>44866</v>
      </c>
      <c r="P24" s="787"/>
      <c r="Q24" s="788"/>
      <c r="R24" s="789" t="s">
        <v>3717</v>
      </c>
      <c r="S24" s="921" t="s">
        <v>3743</v>
      </c>
      <c r="T24" s="790"/>
      <c r="U24" s="791"/>
      <c r="V24" s="605"/>
      <c r="W24" s="792"/>
      <c r="X24" s="646"/>
      <c r="Y24" s="793"/>
      <c r="Z24" s="794"/>
      <c r="AA24" s="795"/>
      <c r="AB24" s="209"/>
      <c r="AC24" s="796"/>
      <c r="AD24" s="797"/>
      <c r="AF24" s="303"/>
      <c r="AG24" s="579"/>
      <c r="AH24" s="798"/>
      <c r="AI24" s="798"/>
      <c r="AJ24" s="798"/>
    </row>
    <row r="25" spans="1:36" s="578" customFormat="1" ht="79.2">
      <c r="A25" s="775">
        <v>15</v>
      </c>
      <c r="B25" s="776" t="s">
        <v>3697</v>
      </c>
      <c r="C25" s="777" t="s">
        <v>3706</v>
      </c>
      <c r="D25" s="778"/>
      <c r="E25" s="880">
        <v>44858</v>
      </c>
      <c r="F25" s="779"/>
      <c r="G25" s="912"/>
      <c r="H25" s="781"/>
      <c r="I25" s="913"/>
      <c r="J25" s="783"/>
      <c r="K25" s="302"/>
      <c r="L25" s="784"/>
      <c r="M25" s="785" t="s">
        <v>3696</v>
      </c>
      <c r="N25" s="786" t="s">
        <v>3714</v>
      </c>
      <c r="O25" s="781">
        <v>44860</v>
      </c>
      <c r="P25" s="787"/>
      <c r="Q25" s="788"/>
      <c r="R25" s="789">
        <v>58553</v>
      </c>
      <c r="S25" s="921" t="s">
        <v>3743</v>
      </c>
      <c r="T25" s="790">
        <f>'KCE-SI-364'!G18</f>
        <v>7.0841801444844837E-2</v>
      </c>
      <c r="U25" s="791">
        <f t="shared" ref="U25:U35" si="1">R25*T25</f>
        <v>4148</v>
      </c>
      <c r="V25" s="605"/>
      <c r="W25" s="792"/>
      <c r="X25" s="646"/>
      <c r="Y25" s="793"/>
      <c r="Z25" s="794"/>
      <c r="AA25" s="795"/>
      <c r="AB25" s="209"/>
      <c r="AC25" s="796"/>
      <c r="AD25" s="797"/>
      <c r="AF25" s="992" t="s">
        <v>3854</v>
      </c>
      <c r="AG25" s="579"/>
      <c r="AH25" s="798"/>
      <c r="AI25" s="798"/>
      <c r="AJ25" s="798"/>
    </row>
    <row r="26" spans="1:36" s="578" customFormat="1" ht="52.8">
      <c r="A26" s="775">
        <v>16</v>
      </c>
      <c r="B26" s="776" t="s">
        <v>3710</v>
      </c>
      <c r="C26" s="777" t="s">
        <v>3709</v>
      </c>
      <c r="D26" s="778"/>
      <c r="E26" s="880">
        <v>44858</v>
      </c>
      <c r="F26" s="779"/>
      <c r="G26" s="912"/>
      <c r="H26" s="781"/>
      <c r="I26" s="913"/>
      <c r="J26" s="783"/>
      <c r="K26" s="302"/>
      <c r="L26" s="784"/>
      <c r="M26" s="785" t="s">
        <v>3722</v>
      </c>
      <c r="N26" s="786" t="s">
        <v>3738</v>
      </c>
      <c r="O26" s="781">
        <v>44868</v>
      </c>
      <c r="P26" s="787"/>
      <c r="Q26" s="788"/>
      <c r="R26" s="789">
        <v>44886</v>
      </c>
      <c r="S26" s="921" t="s">
        <v>3743</v>
      </c>
      <c r="T26" s="993">
        <v>1</v>
      </c>
      <c r="U26" s="791">
        <f t="shared" si="1"/>
        <v>44886</v>
      </c>
      <c r="V26" s="605"/>
      <c r="W26" s="792"/>
      <c r="X26" s="646"/>
      <c r="Y26" s="793"/>
      <c r="Z26" s="794"/>
      <c r="AA26" s="795"/>
      <c r="AB26" s="209"/>
      <c r="AC26" s="796"/>
      <c r="AD26" s="797"/>
      <c r="AF26" s="992" t="s">
        <v>3855</v>
      </c>
      <c r="AG26" s="579"/>
      <c r="AH26" s="798"/>
      <c r="AI26" s="798"/>
      <c r="AJ26" s="798"/>
    </row>
    <row r="27" spans="1:36" s="578" customFormat="1" ht="52.8">
      <c r="A27" s="775">
        <v>17</v>
      </c>
      <c r="B27" s="776" t="s">
        <v>3698</v>
      </c>
      <c r="C27" s="777" t="s">
        <v>3700</v>
      </c>
      <c r="D27" s="778"/>
      <c r="E27" s="880">
        <v>44860</v>
      </c>
      <c r="F27" s="779"/>
      <c r="G27" s="912"/>
      <c r="H27" s="781"/>
      <c r="I27" s="913"/>
      <c r="J27" s="783"/>
      <c r="K27" s="302"/>
      <c r="L27" s="784"/>
      <c r="M27" s="785" t="s">
        <v>3699</v>
      </c>
      <c r="N27" s="786" t="s">
        <v>3716</v>
      </c>
      <c r="O27" s="781">
        <v>44860</v>
      </c>
      <c r="P27" s="787"/>
      <c r="Q27" s="788"/>
      <c r="R27" s="789">
        <v>7404</v>
      </c>
      <c r="S27" s="921" t="s">
        <v>3743</v>
      </c>
      <c r="T27" s="790"/>
      <c r="U27" s="791">
        <f t="shared" si="1"/>
        <v>0</v>
      </c>
      <c r="V27" s="605"/>
      <c r="W27" s="792"/>
      <c r="X27" s="646"/>
      <c r="Y27" s="793"/>
      <c r="Z27" s="794"/>
      <c r="AA27" s="795"/>
      <c r="AB27" s="209"/>
      <c r="AC27" s="796"/>
      <c r="AD27" s="797"/>
      <c r="AF27" s="303"/>
      <c r="AG27" s="579"/>
      <c r="AH27" s="798"/>
      <c r="AI27" s="798"/>
      <c r="AJ27" s="798"/>
    </row>
    <row r="28" spans="1:36" s="578" customFormat="1" ht="39.6">
      <c r="A28" s="775">
        <v>18</v>
      </c>
      <c r="B28" s="776" t="s">
        <v>3708</v>
      </c>
      <c r="C28" s="777" t="s">
        <v>3707</v>
      </c>
      <c r="D28" s="778"/>
      <c r="E28" s="880">
        <v>44860</v>
      </c>
      <c r="F28" s="779"/>
      <c r="G28" s="912"/>
      <c r="H28" s="781"/>
      <c r="I28" s="913"/>
      <c r="J28" s="783"/>
      <c r="K28" s="302"/>
      <c r="L28" s="784"/>
      <c r="M28" s="785" t="s">
        <v>3721</v>
      </c>
      <c r="N28" s="786" t="s">
        <v>3739</v>
      </c>
      <c r="O28" s="781">
        <v>44868</v>
      </c>
      <c r="P28" s="787"/>
      <c r="Q28" s="788"/>
      <c r="R28" s="789">
        <v>27858</v>
      </c>
      <c r="S28" s="921" t="s">
        <v>3743</v>
      </c>
      <c r="T28" s="790"/>
      <c r="U28" s="791">
        <f t="shared" si="1"/>
        <v>0</v>
      </c>
      <c r="V28" s="605"/>
      <c r="W28" s="792"/>
      <c r="X28" s="646"/>
      <c r="Y28" s="793"/>
      <c r="Z28" s="794"/>
      <c r="AA28" s="795"/>
      <c r="AB28" s="209"/>
      <c r="AC28" s="796"/>
      <c r="AD28" s="797"/>
      <c r="AF28" s="303"/>
      <c r="AG28" s="579"/>
      <c r="AH28" s="798"/>
      <c r="AI28" s="798"/>
      <c r="AJ28" s="798"/>
    </row>
    <row r="29" spans="1:36" s="578" customFormat="1" ht="39.6" hidden="1" outlineLevel="1">
      <c r="A29" s="892"/>
      <c r="B29" s="893" t="s">
        <v>3712</v>
      </c>
      <c r="C29" s="894" t="s">
        <v>3711</v>
      </c>
      <c r="D29" s="895"/>
      <c r="E29" s="911">
        <v>44860</v>
      </c>
      <c r="F29" s="896"/>
      <c r="G29" s="897"/>
      <c r="H29" s="898"/>
      <c r="I29" s="899"/>
      <c r="J29" s="900"/>
      <c r="K29" s="901"/>
      <c r="L29" s="902"/>
      <c r="M29" s="903" t="s">
        <v>3720</v>
      </c>
      <c r="N29" s="904" t="s">
        <v>3737</v>
      </c>
      <c r="O29" s="898">
        <v>44868</v>
      </c>
      <c r="P29" s="905"/>
      <c r="Q29" s="906"/>
      <c r="R29" s="910" t="s">
        <v>3746</v>
      </c>
      <c r="S29" s="922" t="s">
        <v>2321</v>
      </c>
      <c r="T29" s="790"/>
      <c r="U29" s="791">
        <f t="shared" si="1"/>
        <v>0</v>
      </c>
      <c r="V29" s="605"/>
      <c r="W29" s="792"/>
      <c r="X29" s="646"/>
      <c r="Y29" s="793"/>
      <c r="Z29" s="794"/>
      <c r="AA29" s="795"/>
      <c r="AB29" s="209"/>
      <c r="AC29" s="796"/>
      <c r="AD29" s="797"/>
      <c r="AF29" s="881" t="s">
        <v>3749</v>
      </c>
      <c r="AG29" s="579"/>
      <c r="AH29" s="798"/>
      <c r="AI29" s="798"/>
      <c r="AJ29" s="798"/>
    </row>
    <row r="30" spans="1:36" s="578" customFormat="1" ht="66" collapsed="1">
      <c r="A30" s="775">
        <v>19</v>
      </c>
      <c r="B30" s="776" t="s">
        <v>3747</v>
      </c>
      <c r="C30" s="777" t="s">
        <v>3711</v>
      </c>
      <c r="D30" s="778"/>
      <c r="E30" s="880">
        <v>44860</v>
      </c>
      <c r="F30" s="779"/>
      <c r="G30" s="912"/>
      <c r="H30" s="781"/>
      <c r="I30" s="913"/>
      <c r="J30" s="783"/>
      <c r="K30" s="302"/>
      <c r="L30" s="784"/>
      <c r="M30" s="785" t="s">
        <v>3748</v>
      </c>
      <c r="N30" s="786" t="s">
        <v>3737</v>
      </c>
      <c r="O30" s="781">
        <v>44868</v>
      </c>
      <c r="P30" s="787"/>
      <c r="Q30" s="788"/>
      <c r="R30" s="789">
        <v>3796</v>
      </c>
      <c r="S30" s="925" t="s">
        <v>3743</v>
      </c>
      <c r="T30" s="790">
        <v>0.5</v>
      </c>
      <c r="U30" s="791">
        <f>R30*T30</f>
        <v>1898</v>
      </c>
      <c r="V30" s="605"/>
      <c r="W30" s="792"/>
      <c r="X30" s="646"/>
      <c r="Y30" s="793"/>
      <c r="Z30" s="794"/>
      <c r="AA30" s="795"/>
      <c r="AB30" s="209"/>
      <c r="AC30" s="796"/>
      <c r="AD30" s="797"/>
      <c r="AF30" s="303" t="s">
        <v>3799</v>
      </c>
      <c r="AG30" s="579"/>
      <c r="AH30" s="798"/>
      <c r="AI30" s="798"/>
      <c r="AJ30" s="798"/>
    </row>
    <row r="31" spans="1:36" s="578" customFormat="1" ht="39.6">
      <c r="A31" s="775">
        <v>20</v>
      </c>
      <c r="B31" s="776" t="s">
        <v>3726</v>
      </c>
      <c r="C31" s="777" t="s">
        <v>3725</v>
      </c>
      <c r="D31" s="778"/>
      <c r="E31" s="880">
        <v>44867</v>
      </c>
      <c r="F31" s="779"/>
      <c r="G31" s="912"/>
      <c r="H31" s="781"/>
      <c r="I31" s="913"/>
      <c r="J31" s="783"/>
      <c r="K31" s="302"/>
      <c r="L31" s="784"/>
      <c r="M31" s="785" t="s">
        <v>3727</v>
      </c>
      <c r="N31" s="786" t="s">
        <v>3744</v>
      </c>
      <c r="O31" s="781">
        <v>44872</v>
      </c>
      <c r="P31" s="787"/>
      <c r="Q31" s="788"/>
      <c r="R31" s="879">
        <v>143567</v>
      </c>
      <c r="S31" s="921" t="s">
        <v>3743</v>
      </c>
      <c r="T31" s="993">
        <f>'KCE-SI-398 R1'!G36</f>
        <v>0.30646318443653486</v>
      </c>
      <c r="U31" s="791">
        <f t="shared" si="1"/>
        <v>43998</v>
      </c>
      <c r="V31" s="605"/>
      <c r="W31" s="792"/>
      <c r="X31" s="646"/>
      <c r="Y31" s="793"/>
      <c r="Z31" s="794"/>
      <c r="AA31" s="795"/>
      <c r="AB31" s="209"/>
      <c r="AC31" s="796"/>
      <c r="AD31" s="797"/>
      <c r="AF31" s="303"/>
      <c r="AG31" s="579"/>
      <c r="AH31" s="798"/>
      <c r="AI31" s="798"/>
      <c r="AJ31" s="798"/>
    </row>
    <row r="32" spans="1:36" s="578" customFormat="1" ht="66">
      <c r="A32" s="775">
        <v>21</v>
      </c>
      <c r="B32" s="776" t="s">
        <v>3730</v>
      </c>
      <c r="C32" s="777" t="s">
        <v>3728</v>
      </c>
      <c r="D32" s="778"/>
      <c r="E32" s="880">
        <v>44866</v>
      </c>
      <c r="F32" s="779"/>
      <c r="G32" s="912"/>
      <c r="H32" s="781"/>
      <c r="I32" s="913"/>
      <c r="J32" s="783"/>
      <c r="K32" s="302"/>
      <c r="L32" s="784"/>
      <c r="M32" s="785" t="s">
        <v>3729</v>
      </c>
      <c r="N32" s="786" t="s">
        <v>3745</v>
      </c>
      <c r="O32" s="781">
        <v>44873</v>
      </c>
      <c r="P32" s="787"/>
      <c r="Q32" s="788"/>
      <c r="R32" s="789">
        <v>6002</v>
      </c>
      <c r="S32" s="921" t="s">
        <v>3751</v>
      </c>
      <c r="T32" s="790">
        <v>0.5</v>
      </c>
      <c r="U32" s="791">
        <f t="shared" si="1"/>
        <v>3001</v>
      </c>
      <c r="V32" s="605"/>
      <c r="W32" s="792"/>
      <c r="X32" s="646"/>
      <c r="Y32" s="793"/>
      <c r="Z32" s="794"/>
      <c r="AA32" s="795"/>
      <c r="AB32" s="209"/>
      <c r="AC32" s="796"/>
      <c r="AD32" s="797"/>
      <c r="AF32" s="303" t="s">
        <v>3798</v>
      </c>
      <c r="AG32" s="579"/>
      <c r="AH32" s="798"/>
      <c r="AI32" s="798"/>
      <c r="AJ32" s="798"/>
    </row>
    <row r="33" spans="1:36" s="578" customFormat="1" ht="52.8">
      <c r="A33" s="775">
        <v>22</v>
      </c>
      <c r="B33" s="776" t="s">
        <v>3759</v>
      </c>
      <c r="C33" s="777" t="s">
        <v>3758</v>
      </c>
      <c r="D33" s="778"/>
      <c r="E33" s="880">
        <v>44835</v>
      </c>
      <c r="F33" s="779"/>
      <c r="G33" s="912"/>
      <c r="H33" s="781"/>
      <c r="I33" s="913"/>
      <c r="J33" s="783"/>
      <c r="K33" s="302"/>
      <c r="L33" s="784"/>
      <c r="M33" s="785" t="s">
        <v>3763</v>
      </c>
      <c r="N33" s="786" t="s">
        <v>3761</v>
      </c>
      <c r="O33" s="781">
        <v>44890</v>
      </c>
      <c r="P33" s="787"/>
      <c r="Q33" s="788"/>
      <c r="R33" s="789">
        <v>6844</v>
      </c>
      <c r="S33" s="921" t="s">
        <v>3743</v>
      </c>
      <c r="T33" s="790"/>
      <c r="U33" s="791">
        <f t="shared" si="1"/>
        <v>0</v>
      </c>
      <c r="V33" s="605"/>
      <c r="W33" s="792"/>
      <c r="X33" s="646"/>
      <c r="Y33" s="793"/>
      <c r="Z33" s="794"/>
      <c r="AA33" s="795"/>
      <c r="AB33" s="209"/>
      <c r="AC33" s="796"/>
      <c r="AD33" s="797"/>
      <c r="AF33" s="303"/>
      <c r="AG33" s="579"/>
      <c r="AH33" s="798"/>
      <c r="AI33" s="798"/>
      <c r="AJ33" s="798"/>
    </row>
    <row r="34" spans="1:36" s="578" customFormat="1" ht="52.8">
      <c r="A34" s="775">
        <v>22</v>
      </c>
      <c r="B34" s="776" t="s">
        <v>3756</v>
      </c>
      <c r="C34" s="777" t="s">
        <v>3757</v>
      </c>
      <c r="D34" s="778"/>
      <c r="E34" s="880">
        <v>44876</v>
      </c>
      <c r="F34" s="779"/>
      <c r="G34" s="912"/>
      <c r="H34" s="781"/>
      <c r="I34" s="913"/>
      <c r="J34" s="783"/>
      <c r="K34" s="302"/>
      <c r="L34" s="784"/>
      <c r="M34" s="785" t="s">
        <v>3762</v>
      </c>
      <c r="N34" s="786" t="s">
        <v>3760</v>
      </c>
      <c r="O34" s="781">
        <v>44890</v>
      </c>
      <c r="P34" s="787"/>
      <c r="Q34" s="788"/>
      <c r="R34" s="789">
        <v>35256</v>
      </c>
      <c r="S34" s="921" t="s">
        <v>3743</v>
      </c>
      <c r="T34" s="790"/>
      <c r="U34" s="791">
        <f t="shared" si="1"/>
        <v>0</v>
      </c>
      <c r="V34" s="605"/>
      <c r="W34" s="792"/>
      <c r="X34" s="646"/>
      <c r="Y34" s="793"/>
      <c r="Z34" s="794"/>
      <c r="AA34" s="795"/>
      <c r="AB34" s="209"/>
      <c r="AC34" s="796"/>
      <c r="AD34" s="797"/>
      <c r="AF34" s="303"/>
      <c r="AG34" s="579"/>
      <c r="AH34" s="798"/>
      <c r="AI34" s="798"/>
      <c r="AJ34" s="798"/>
    </row>
    <row r="35" spans="1:36" s="578" customFormat="1" ht="66">
      <c r="A35" s="775">
        <v>23</v>
      </c>
      <c r="B35" s="776" t="s">
        <v>3771</v>
      </c>
      <c r="C35" s="777" t="s">
        <v>3772</v>
      </c>
      <c r="D35" s="778"/>
      <c r="E35" s="880">
        <v>44901</v>
      </c>
      <c r="F35" s="779"/>
      <c r="G35" s="912"/>
      <c r="H35" s="781"/>
      <c r="I35" s="913"/>
      <c r="J35" s="783"/>
      <c r="K35" s="302"/>
      <c r="L35" s="784"/>
      <c r="M35" s="785" t="s">
        <v>3773</v>
      </c>
      <c r="N35" s="786" t="s">
        <v>3774</v>
      </c>
      <c r="O35" s="781">
        <v>44907</v>
      </c>
      <c r="P35" s="787"/>
      <c r="Q35" s="788"/>
      <c r="R35" s="789">
        <v>3201</v>
      </c>
      <c r="S35" s="921" t="s">
        <v>3751</v>
      </c>
      <c r="T35" s="790">
        <v>1</v>
      </c>
      <c r="U35" s="791">
        <f t="shared" si="1"/>
        <v>3201</v>
      </c>
      <c r="V35" s="605"/>
      <c r="W35" s="792"/>
      <c r="X35" s="646"/>
      <c r="Y35" s="793"/>
      <c r="Z35" s="794"/>
      <c r="AA35" s="795"/>
      <c r="AB35" s="209"/>
      <c r="AC35" s="796"/>
      <c r="AD35" s="797"/>
      <c r="AF35" s="303" t="s">
        <v>3795</v>
      </c>
      <c r="AG35" s="579"/>
      <c r="AH35" s="798"/>
      <c r="AI35" s="798"/>
      <c r="AJ35" s="798"/>
    </row>
    <row r="36" spans="1:36" s="578" customFormat="1" ht="52.8">
      <c r="A36" s="775">
        <v>24</v>
      </c>
      <c r="B36" s="776" t="s">
        <v>3769</v>
      </c>
      <c r="C36" s="777" t="s">
        <v>3810</v>
      </c>
      <c r="D36" s="778"/>
      <c r="E36" s="880">
        <v>44922</v>
      </c>
      <c r="F36" s="779"/>
      <c r="G36" s="912"/>
      <c r="H36" s="781"/>
      <c r="I36" s="913"/>
      <c r="J36" s="783"/>
      <c r="K36" s="302"/>
      <c r="L36" s="784"/>
      <c r="M36" s="785"/>
      <c r="N36" s="786"/>
      <c r="O36" s="781"/>
      <c r="P36" s="787"/>
      <c r="Q36" s="788"/>
      <c r="R36" s="789" t="s">
        <v>3717</v>
      </c>
      <c r="S36" s="921" t="s">
        <v>3743</v>
      </c>
      <c r="T36" s="790"/>
      <c r="U36" s="791"/>
      <c r="V36" s="605"/>
      <c r="W36" s="792"/>
      <c r="X36" s="646"/>
      <c r="Y36" s="793"/>
      <c r="Z36" s="794"/>
      <c r="AA36" s="795"/>
      <c r="AB36" s="209"/>
      <c r="AC36" s="796"/>
      <c r="AD36" s="797"/>
      <c r="AF36" s="303"/>
      <c r="AG36" s="579"/>
      <c r="AH36" s="798"/>
      <c r="AI36" s="798"/>
      <c r="AJ36" s="798"/>
    </row>
    <row r="37" spans="1:36" s="578" customFormat="1" ht="52.8">
      <c r="A37" s="775">
        <v>25</v>
      </c>
      <c r="B37" s="776" t="s">
        <v>3770</v>
      </c>
      <c r="C37" s="777" t="s">
        <v>3768</v>
      </c>
      <c r="D37" s="778"/>
      <c r="E37" s="880">
        <v>44910</v>
      </c>
      <c r="F37" s="779"/>
      <c r="G37" s="912"/>
      <c r="H37" s="781"/>
      <c r="I37" s="913"/>
      <c r="J37" s="783"/>
      <c r="K37" s="302"/>
      <c r="L37" s="784"/>
      <c r="M37" s="785" t="s">
        <v>3762</v>
      </c>
      <c r="N37" s="786" t="s">
        <v>3775</v>
      </c>
      <c r="O37" s="781">
        <v>44916</v>
      </c>
      <c r="P37" s="787"/>
      <c r="Q37" s="788"/>
      <c r="R37" s="789">
        <v>3315</v>
      </c>
      <c r="S37" s="921" t="s">
        <v>3743</v>
      </c>
      <c r="T37" s="790"/>
      <c r="U37" s="791">
        <f>R37*T37</f>
        <v>0</v>
      </c>
      <c r="V37" s="605"/>
      <c r="W37" s="792"/>
      <c r="X37" s="646"/>
      <c r="Y37" s="793"/>
      <c r="Z37" s="794"/>
      <c r="AA37" s="795"/>
      <c r="AB37" s="209"/>
      <c r="AC37" s="796"/>
      <c r="AD37" s="797"/>
      <c r="AF37" s="303"/>
      <c r="AG37" s="579"/>
      <c r="AH37" s="798"/>
      <c r="AI37" s="798"/>
      <c r="AJ37" s="798"/>
    </row>
    <row r="38" spans="1:36" s="578" customFormat="1" ht="52.8">
      <c r="A38" s="775">
        <v>25</v>
      </c>
      <c r="B38" s="776" t="s">
        <v>3808</v>
      </c>
      <c r="C38" s="777" t="s">
        <v>3804</v>
      </c>
      <c r="D38" s="778"/>
      <c r="E38" s="880">
        <v>44922</v>
      </c>
      <c r="F38" s="779"/>
      <c r="G38" s="912"/>
      <c r="H38" s="781"/>
      <c r="I38" s="913"/>
      <c r="J38" s="783"/>
      <c r="K38" s="302"/>
      <c r="L38" s="784"/>
      <c r="M38" s="785" t="s">
        <v>3806</v>
      </c>
      <c r="N38" s="786" t="s">
        <v>3812</v>
      </c>
      <c r="O38" s="781">
        <v>44930</v>
      </c>
      <c r="P38" s="787"/>
      <c r="Q38" s="788"/>
      <c r="R38" s="789">
        <v>2801</v>
      </c>
      <c r="S38" s="921" t="s">
        <v>3751</v>
      </c>
      <c r="T38" s="790"/>
      <c r="U38" s="791">
        <f>R38*T38</f>
        <v>0</v>
      </c>
      <c r="V38" s="605"/>
      <c r="W38" s="792"/>
      <c r="X38" s="646"/>
      <c r="Y38" s="793"/>
      <c r="Z38" s="794"/>
      <c r="AA38" s="795"/>
      <c r="AB38" s="209"/>
      <c r="AC38" s="796"/>
      <c r="AD38" s="797"/>
      <c r="AF38" s="303"/>
      <c r="AG38" s="579"/>
      <c r="AH38" s="798"/>
      <c r="AI38" s="798"/>
      <c r="AJ38" s="798"/>
    </row>
    <row r="39" spans="1:36" s="578" customFormat="1" ht="52.8">
      <c r="A39" s="775">
        <v>26</v>
      </c>
      <c r="B39" s="776" t="s">
        <v>3809</v>
      </c>
      <c r="C39" s="777" t="s">
        <v>3805</v>
      </c>
      <c r="D39" s="778"/>
      <c r="E39" s="880">
        <v>44923</v>
      </c>
      <c r="F39" s="779"/>
      <c r="G39" s="912"/>
      <c r="H39" s="781"/>
      <c r="I39" s="913"/>
      <c r="J39" s="783"/>
      <c r="K39" s="302"/>
      <c r="L39" s="784"/>
      <c r="M39" s="785" t="s">
        <v>3807</v>
      </c>
      <c r="N39" s="786" t="s">
        <v>3811</v>
      </c>
      <c r="O39" s="781">
        <v>44930</v>
      </c>
      <c r="P39" s="787"/>
      <c r="Q39" s="788"/>
      <c r="R39" s="789">
        <v>4974</v>
      </c>
      <c r="S39" s="921" t="s">
        <v>3743</v>
      </c>
      <c r="T39" s="790"/>
      <c r="U39" s="791">
        <f>R39*T39</f>
        <v>0</v>
      </c>
      <c r="V39" s="605"/>
      <c r="W39" s="792"/>
      <c r="X39" s="646"/>
      <c r="Y39" s="793"/>
      <c r="Z39" s="794"/>
      <c r="AA39" s="795"/>
      <c r="AB39" s="209"/>
      <c r="AC39" s="796"/>
      <c r="AD39" s="797"/>
      <c r="AF39" s="303"/>
      <c r="AG39" s="579"/>
      <c r="AH39" s="798"/>
      <c r="AI39" s="798"/>
      <c r="AJ39" s="798"/>
    </row>
    <row r="40" spans="1:36" s="578" customFormat="1" ht="52.8">
      <c r="A40" s="775">
        <v>27</v>
      </c>
      <c r="B40" s="776" t="s">
        <v>3856</v>
      </c>
      <c r="C40" s="777" t="s">
        <v>3857</v>
      </c>
      <c r="D40" s="778"/>
      <c r="E40" s="880">
        <v>44602</v>
      </c>
      <c r="F40" s="779"/>
      <c r="G40" s="912"/>
      <c r="H40" s="781"/>
      <c r="I40" s="913"/>
      <c r="J40" s="783"/>
      <c r="K40" s="994"/>
      <c r="L40" s="784"/>
      <c r="M40" s="995" t="s">
        <v>3858</v>
      </c>
      <c r="N40" s="786" t="s">
        <v>3859</v>
      </c>
      <c r="O40" s="781">
        <v>44977</v>
      </c>
      <c r="P40" s="787"/>
      <c r="Q40" s="788"/>
      <c r="R40" s="789">
        <v>2965</v>
      </c>
      <c r="S40" s="921" t="s">
        <v>3743</v>
      </c>
      <c r="T40" s="993">
        <v>0.9</v>
      </c>
      <c r="U40" s="1012">
        <f t="shared" ref="U40:U42" si="2">R40*T40</f>
        <v>2668.5</v>
      </c>
      <c r="V40" s="605"/>
      <c r="W40" s="997"/>
      <c r="X40" s="646"/>
      <c r="Y40" s="793"/>
      <c r="Z40" s="998"/>
      <c r="AA40" s="999"/>
      <c r="AB40" s="1000"/>
      <c r="AC40" s="1001"/>
      <c r="AD40" s="797"/>
      <c r="AF40" s="1002"/>
      <c r="AG40" s="579"/>
      <c r="AH40" s="798"/>
      <c r="AI40" s="798"/>
      <c r="AJ40" s="798"/>
    </row>
    <row r="41" spans="1:36" s="578" customFormat="1" ht="52.8">
      <c r="A41" s="775">
        <v>28</v>
      </c>
      <c r="B41" s="776" t="s">
        <v>3873</v>
      </c>
      <c r="C41" s="777" t="s">
        <v>3874</v>
      </c>
      <c r="D41" s="778"/>
      <c r="E41" s="880">
        <v>45002</v>
      </c>
      <c r="F41" s="779"/>
      <c r="G41" s="912"/>
      <c r="H41" s="781"/>
      <c r="I41" s="913"/>
      <c r="J41" s="783"/>
      <c r="K41" s="994"/>
      <c r="L41" s="784"/>
      <c r="M41" s="785" t="s">
        <v>3875</v>
      </c>
      <c r="N41" s="786"/>
      <c r="O41" s="781"/>
      <c r="P41" s="787"/>
      <c r="Q41" s="788"/>
      <c r="R41" s="789">
        <v>1200</v>
      </c>
      <c r="S41" s="921"/>
      <c r="T41" s="993">
        <v>0.9</v>
      </c>
      <c r="U41" s="1012">
        <f t="shared" si="2"/>
        <v>1080</v>
      </c>
      <c r="V41" s="605"/>
      <c r="W41" s="997"/>
      <c r="X41" s="646"/>
      <c r="Y41" s="793"/>
      <c r="Z41" s="998"/>
      <c r="AA41" s="999"/>
      <c r="AB41" s="1000"/>
      <c r="AC41" s="1001"/>
      <c r="AD41" s="797"/>
      <c r="AF41" s="1002"/>
      <c r="AG41" s="579"/>
      <c r="AH41" s="798"/>
      <c r="AI41" s="798"/>
      <c r="AJ41" s="798"/>
    </row>
    <row r="42" spans="1:36" s="578" customFormat="1" ht="39.6">
      <c r="A42" s="775">
        <v>28</v>
      </c>
      <c r="B42" s="776" t="s">
        <v>3860</v>
      </c>
      <c r="C42" s="777"/>
      <c r="D42" s="778"/>
      <c r="E42" s="880"/>
      <c r="F42" s="779"/>
      <c r="G42" s="912"/>
      <c r="H42" s="781"/>
      <c r="I42" s="913"/>
      <c r="J42" s="783"/>
      <c r="K42" s="994"/>
      <c r="L42" s="784"/>
      <c r="M42" s="995" t="s">
        <v>3861</v>
      </c>
      <c r="N42" s="786" t="s">
        <v>3862</v>
      </c>
      <c r="O42" s="781">
        <v>44966</v>
      </c>
      <c r="P42" s="787"/>
      <c r="Q42" s="788"/>
      <c r="R42" s="789">
        <v>3077</v>
      </c>
      <c r="S42" s="921"/>
      <c r="T42" s="993">
        <v>0.9</v>
      </c>
      <c r="U42" s="996">
        <f t="shared" si="2"/>
        <v>2769.3</v>
      </c>
      <c r="V42" s="605"/>
      <c r="W42" s="997"/>
      <c r="X42" s="646"/>
      <c r="Y42" s="793"/>
      <c r="Z42" s="998"/>
      <c r="AA42" s="999"/>
      <c r="AB42" s="1000"/>
      <c r="AC42" s="1001"/>
      <c r="AD42" s="797"/>
      <c r="AF42" s="1002"/>
      <c r="AG42" s="579"/>
      <c r="AH42" s="798"/>
      <c r="AI42" s="798"/>
      <c r="AJ42" s="798"/>
    </row>
    <row r="43" spans="1:36" s="578" customFormat="1" ht="13.8">
      <c r="A43" s="775"/>
      <c r="B43" s="776"/>
      <c r="C43" s="777"/>
      <c r="D43" s="778"/>
      <c r="E43" s="779"/>
      <c r="F43" s="779"/>
      <c r="G43" s="780"/>
      <c r="H43" s="781"/>
      <c r="I43" s="782"/>
      <c r="J43" s="783"/>
      <c r="K43" s="302"/>
      <c r="L43" s="784"/>
      <c r="M43" s="785"/>
      <c r="N43" s="786"/>
      <c r="O43" s="781"/>
      <c r="P43" s="787"/>
      <c r="Q43" s="788"/>
      <c r="R43" s="789"/>
      <c r="S43" s="921"/>
      <c r="T43" s="790"/>
      <c r="U43" s="791"/>
      <c r="V43" s="605"/>
      <c r="W43" s="792"/>
      <c r="X43" s="646"/>
      <c r="Y43" s="793"/>
      <c r="Z43" s="794"/>
      <c r="AA43" s="795"/>
      <c r="AB43" s="209"/>
      <c r="AC43" s="796"/>
      <c r="AD43" s="797"/>
      <c r="AF43" s="303"/>
      <c r="AG43" s="579"/>
      <c r="AH43" s="798"/>
      <c r="AI43" s="798"/>
      <c r="AJ43" s="798"/>
    </row>
    <row r="44" spans="1:36" s="225" customFormat="1" ht="28.5" customHeight="1" thickBot="1">
      <c r="A44" s="210"/>
      <c r="B44" s="211" t="s">
        <v>168</v>
      </c>
      <c r="C44" s="212"/>
      <c r="D44" s="213"/>
      <c r="E44" s="213"/>
      <c r="F44" s="213"/>
      <c r="G44" s="214"/>
      <c r="H44" s="215"/>
      <c r="I44" s="216"/>
      <c r="J44" s="217"/>
      <c r="K44" s="301"/>
      <c r="L44" s="218"/>
      <c r="M44" s="219"/>
      <c r="N44" s="355"/>
      <c r="O44" s="215"/>
      <c r="P44" s="220" t="e">
        <f>SUM(#REF!)</f>
        <v>#REF!</v>
      </c>
      <c r="Q44" s="219" t="e">
        <f>SUM(#REF!)</f>
        <v>#REF!</v>
      </c>
      <c r="R44" s="238">
        <f>SUM(R7:R43)</f>
        <v>664032</v>
      </c>
      <c r="S44" s="923"/>
      <c r="T44" s="240"/>
      <c r="U44" s="355">
        <f>SUM(U7:U43)*0.9</f>
        <v>253613.61</v>
      </c>
      <c r="V44" s="606"/>
      <c r="W44" s="577">
        <f>SUM(W7:W43)</f>
        <v>0</v>
      </c>
      <c r="X44" s="647"/>
      <c r="Y44" s="643"/>
      <c r="Z44" s="240">
        <f>SUM(Z7:Z43)</f>
        <v>0</v>
      </c>
      <c r="AA44" s="221">
        <f>SUM(AA7:AA43)</f>
        <v>0</v>
      </c>
      <c r="AB44" s="204"/>
      <c r="AC44" s="222"/>
      <c r="AD44" s="223"/>
      <c r="AE44" s="224"/>
      <c r="AF44" s="304"/>
      <c r="AG44" s="226"/>
      <c r="AH44" s="577"/>
      <c r="AI44" s="577"/>
      <c r="AJ44" s="577"/>
    </row>
  </sheetData>
  <mergeCells count="9">
    <mergeCell ref="AA5:AA6"/>
    <mergeCell ref="AC5:AC6"/>
    <mergeCell ref="AD5:AD6"/>
    <mergeCell ref="A5:A6"/>
    <mergeCell ref="B5:B6"/>
    <mergeCell ref="C5:H5"/>
    <mergeCell ref="I5:I6"/>
    <mergeCell ref="L5:U5"/>
    <mergeCell ref="Y5:Z5"/>
  </mergeCells>
  <pageMargins left="0.3" right="0.3" top="0.1" bottom="0.1" header="0.3" footer="0.3"/>
  <pageSetup paperSize="9" scale="78"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
  <dimension ref="A1:H24"/>
  <sheetViews>
    <sheetView showGridLines="0" view="pageBreakPreview" topLeftCell="A19" zoomScale="130" zoomScaleNormal="100" zoomScaleSheetLayoutView="130" workbookViewId="0">
      <selection activeCell="F16" sqref="F16"/>
    </sheetView>
  </sheetViews>
  <sheetFormatPr defaultRowHeight="13.2"/>
  <cols>
    <col min="1" max="1" width="8.5546875" customWidth="1"/>
    <col min="2" max="2" width="24" customWidth="1"/>
    <col min="5" max="5" width="11.88671875" style="391" customWidth="1"/>
    <col min="6" max="6" width="12.5546875" style="391" customWidth="1"/>
    <col min="7" max="7" width="10.109375" customWidth="1"/>
    <col min="8" max="8" width="12.5546875" customWidth="1"/>
  </cols>
  <sheetData>
    <row r="1" spans="1:8" ht="14.4">
      <c r="A1" t="s">
        <v>2604</v>
      </c>
      <c r="B1" s="390" t="s">
        <v>2605</v>
      </c>
    </row>
    <row r="2" spans="1:8" ht="14.4">
      <c r="A2" t="s">
        <v>2606</v>
      </c>
      <c r="B2" s="390" t="s">
        <v>2684</v>
      </c>
    </row>
    <row r="3" spans="1:8" ht="14.4">
      <c r="B3" s="390" t="s">
        <v>2683</v>
      </c>
    </row>
    <row r="4" spans="1:8" ht="14.4">
      <c r="A4" s="390"/>
      <c r="G4" s="1088" t="s">
        <v>2623</v>
      </c>
      <c r="H4" s="1089"/>
    </row>
    <row r="5" spans="1:8" s="162" customFormat="1" ht="44.25" customHeight="1">
      <c r="A5" s="422" t="s">
        <v>2608</v>
      </c>
      <c r="B5" s="422" t="s">
        <v>2609</v>
      </c>
      <c r="C5" s="422" t="s">
        <v>41</v>
      </c>
      <c r="D5" s="422" t="s">
        <v>380</v>
      </c>
      <c r="E5" s="423" t="s">
        <v>2610</v>
      </c>
      <c r="F5" s="424" t="s">
        <v>2</v>
      </c>
      <c r="G5" s="422" t="s">
        <v>380</v>
      </c>
      <c r="H5" s="424" t="s">
        <v>2</v>
      </c>
    </row>
    <row r="6" spans="1:8">
      <c r="A6" s="358"/>
      <c r="B6" s="167"/>
      <c r="C6" s="167"/>
      <c r="D6" s="167"/>
      <c r="E6" s="393"/>
      <c r="F6" s="393"/>
      <c r="G6" s="393"/>
      <c r="H6" s="393"/>
    </row>
    <row r="7" spans="1:8" ht="28.8">
      <c r="A7" s="361" t="s">
        <v>56</v>
      </c>
      <c r="B7" s="404" t="s">
        <v>2675</v>
      </c>
      <c r="C7" s="395"/>
      <c r="D7" s="395"/>
      <c r="E7" s="396"/>
      <c r="F7" s="396"/>
      <c r="G7" s="396"/>
      <c r="H7" s="396"/>
    </row>
    <row r="8" spans="1:8" ht="14.4">
      <c r="A8" s="361">
        <v>1</v>
      </c>
      <c r="B8" s="443" t="s">
        <v>2676</v>
      </c>
      <c r="C8" s="399"/>
      <c r="D8" s="400"/>
      <c r="E8" s="400"/>
      <c r="F8" s="400"/>
      <c r="G8" s="400"/>
      <c r="H8" s="400"/>
    </row>
    <row r="9" spans="1:8" ht="43.2">
      <c r="A9" s="397">
        <v>1.1000000000000001</v>
      </c>
      <c r="B9" s="340" t="s">
        <v>2677</v>
      </c>
      <c r="C9" s="399" t="s">
        <v>2678</v>
      </c>
      <c r="D9" s="400">
        <f>10*17</f>
        <v>170</v>
      </c>
      <c r="E9" s="400">
        <v>392</v>
      </c>
      <c r="F9" s="400"/>
      <c r="G9" s="400">
        <f>(10*17)</f>
        <v>170</v>
      </c>
      <c r="H9" s="400"/>
    </row>
    <row r="10" spans="1:8" ht="43.2">
      <c r="A10" s="397">
        <v>1.2</v>
      </c>
      <c r="B10" s="340" t="s">
        <v>2679</v>
      </c>
      <c r="C10" s="399" t="s">
        <v>2678</v>
      </c>
      <c r="D10" s="400">
        <f>14*18</f>
        <v>252</v>
      </c>
      <c r="E10" s="400">
        <v>392</v>
      </c>
      <c r="F10" s="400"/>
      <c r="G10" s="400">
        <v>252</v>
      </c>
      <c r="H10" s="400"/>
    </row>
    <row r="11" spans="1:8" ht="14.4">
      <c r="A11" s="397"/>
      <c r="B11" s="340"/>
      <c r="C11" s="399"/>
      <c r="D11" s="400"/>
      <c r="E11" s="400"/>
      <c r="F11" s="400"/>
      <c r="G11" s="400"/>
      <c r="H11" s="400"/>
    </row>
    <row r="12" spans="1:8" ht="14.4">
      <c r="A12" s="399">
        <v>2</v>
      </c>
      <c r="B12" s="444" t="s">
        <v>2680</v>
      </c>
      <c r="C12" s="399"/>
      <c r="D12" s="400"/>
      <c r="E12" s="400"/>
      <c r="F12" s="400"/>
      <c r="G12" s="400"/>
      <c r="H12" s="400"/>
    </row>
    <row r="13" spans="1:8" ht="43.2">
      <c r="A13" s="403">
        <v>2.1</v>
      </c>
      <c r="B13" s="340" t="s">
        <v>2677</v>
      </c>
      <c r="C13" s="399" t="s">
        <v>2678</v>
      </c>
      <c r="D13" s="400">
        <f>3*17</f>
        <v>51</v>
      </c>
      <c r="E13" s="400">
        <v>392</v>
      </c>
      <c r="F13" s="400"/>
      <c r="G13" s="400">
        <f>(3*17)</f>
        <v>51</v>
      </c>
      <c r="H13" s="400"/>
    </row>
    <row r="14" spans="1:8" ht="43.2">
      <c r="A14" s="403">
        <v>2.2000000000000002</v>
      </c>
      <c r="B14" s="340" t="s">
        <v>2679</v>
      </c>
      <c r="C14" s="399" t="s">
        <v>2678</v>
      </c>
      <c r="D14" s="400">
        <f>0*18</f>
        <v>0</v>
      </c>
      <c r="E14" s="400">
        <v>392</v>
      </c>
      <c r="F14" s="400"/>
      <c r="G14" s="400"/>
      <c r="H14" s="400"/>
    </row>
    <row r="15" spans="1:8" ht="14.4">
      <c r="A15" s="403"/>
      <c r="B15" s="395"/>
      <c r="C15" s="361"/>
      <c r="D15" s="408"/>
      <c r="E15" s="409"/>
      <c r="F15" s="409"/>
      <c r="G15" s="409"/>
      <c r="H15" s="409"/>
    </row>
    <row r="16" spans="1:8" ht="14.4">
      <c r="A16" s="399">
        <v>3</v>
      </c>
      <c r="B16" s="395" t="s">
        <v>84</v>
      </c>
      <c r="C16" s="361" t="s">
        <v>2619</v>
      </c>
      <c r="D16" s="408"/>
      <c r="E16" s="409"/>
      <c r="F16" s="408"/>
      <c r="G16" s="408">
        <v>1</v>
      </c>
      <c r="H16" s="400"/>
    </row>
    <row r="17" spans="1:8" ht="14.4">
      <c r="A17" s="361">
        <v>4</v>
      </c>
      <c r="B17" s="445" t="s">
        <v>83</v>
      </c>
      <c r="C17" s="361" t="s">
        <v>2619</v>
      </c>
      <c r="D17" s="361"/>
      <c r="E17" s="396"/>
      <c r="F17" s="400"/>
      <c r="G17" s="400">
        <v>1</v>
      </c>
      <c r="H17" s="400"/>
    </row>
    <row r="18" spans="1:8" ht="14.4">
      <c r="A18" s="361"/>
      <c r="B18" s="411"/>
      <c r="C18" s="395"/>
      <c r="D18" s="361"/>
      <c r="E18" s="396"/>
      <c r="F18" s="412"/>
      <c r="G18" s="412"/>
      <c r="H18" s="412"/>
    </row>
    <row r="19" spans="1:8" ht="14.4">
      <c r="A19" s="357"/>
      <c r="B19" s="413"/>
      <c r="C19" s="413"/>
      <c r="D19" s="413"/>
      <c r="E19" s="414"/>
      <c r="F19" s="415"/>
      <c r="G19" s="415"/>
      <c r="H19" s="415"/>
    </row>
    <row r="20" spans="1:8" ht="20.25" customHeight="1">
      <c r="A20" s="416"/>
      <c r="B20" s="417" t="s">
        <v>2681</v>
      </c>
      <c r="C20" s="417"/>
      <c r="D20" s="418">
        <f>SUM(D9:D19)</f>
        <v>473</v>
      </c>
      <c r="E20" s="418"/>
      <c r="F20" s="419">
        <v>185000</v>
      </c>
      <c r="G20" s="447">
        <f>H20/F20</f>
        <v>1</v>
      </c>
      <c r="H20" s="419">
        <v>185000</v>
      </c>
    </row>
    <row r="21" spans="1:8">
      <c r="A21" s="26"/>
    </row>
    <row r="22" spans="1:8">
      <c r="A22" s="26" t="s">
        <v>2622</v>
      </c>
    </row>
    <row r="23" spans="1:8">
      <c r="A23" s="26"/>
    </row>
    <row r="24" spans="1:8">
      <c r="A24" s="26"/>
    </row>
  </sheetData>
  <mergeCells count="1">
    <mergeCell ref="G4:H4"/>
  </mergeCells>
  <pageMargins left="0.7" right="0.7" top="0.75" bottom="0.75" header="0.3" footer="0.3"/>
  <pageSetup paperSize="9" scale="9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I23"/>
  <sheetViews>
    <sheetView showGridLines="0" view="pageBreakPreview" topLeftCell="A13" zoomScale="130" zoomScaleNormal="100" zoomScaleSheetLayoutView="130" workbookViewId="0">
      <selection activeCell="E31" sqref="E31"/>
    </sheetView>
  </sheetViews>
  <sheetFormatPr defaultRowHeight="13.2"/>
  <cols>
    <col min="1" max="1" width="8.5546875" customWidth="1"/>
    <col min="2" max="2" width="24" customWidth="1"/>
    <col min="5" max="5" width="11.88671875" style="391" customWidth="1"/>
    <col min="6" max="8" width="12.5546875" style="391" customWidth="1"/>
    <col min="9" max="9" width="23.5546875" style="391" hidden="1" customWidth="1"/>
  </cols>
  <sheetData>
    <row r="1" spans="1:9" ht="14.4">
      <c r="A1" t="s">
        <v>2604</v>
      </c>
      <c r="B1" s="390" t="s">
        <v>2605</v>
      </c>
    </row>
    <row r="2" spans="1:9" ht="14.4">
      <c r="A2" t="s">
        <v>2606</v>
      </c>
      <c r="B2" s="390" t="s">
        <v>2682</v>
      </c>
    </row>
    <row r="3" spans="1:9" ht="14.4">
      <c r="B3" s="390" t="s">
        <v>2624</v>
      </c>
    </row>
    <row r="4" spans="1:9" ht="14.4">
      <c r="B4" s="390"/>
    </row>
    <row r="5" spans="1:9" ht="14.4">
      <c r="A5" s="390" t="s">
        <v>2607</v>
      </c>
      <c r="F5" s="420"/>
      <c r="G5" s="1088" t="s">
        <v>2623</v>
      </c>
      <c r="H5" s="1089"/>
      <c r="I5" s="392"/>
    </row>
    <row r="6" spans="1:9" s="162" customFormat="1" ht="24.9" customHeight="1">
      <c r="A6" s="422" t="s">
        <v>2608</v>
      </c>
      <c r="B6" s="422" t="s">
        <v>2609</v>
      </c>
      <c r="C6" s="422" t="s">
        <v>41</v>
      </c>
      <c r="D6" s="422" t="s">
        <v>380</v>
      </c>
      <c r="E6" s="423" t="s">
        <v>2610</v>
      </c>
      <c r="F6" s="424" t="s">
        <v>2</v>
      </c>
      <c r="G6" s="424" t="s">
        <v>30</v>
      </c>
      <c r="H6" s="424" t="s">
        <v>2</v>
      </c>
      <c r="I6" s="424" t="s">
        <v>43</v>
      </c>
    </row>
    <row r="7" spans="1:9">
      <c r="A7" s="358"/>
      <c r="B7" s="167"/>
      <c r="C7" s="167"/>
      <c r="D7" s="167"/>
      <c r="E7" s="393"/>
      <c r="F7" s="393"/>
      <c r="G7" s="393"/>
      <c r="H7" s="393"/>
      <c r="I7" s="393"/>
    </row>
    <row r="8" spans="1:9" ht="14.4">
      <c r="A8" s="361" t="s">
        <v>56</v>
      </c>
      <c r="B8" s="394" t="s">
        <v>171</v>
      </c>
      <c r="C8" s="395"/>
      <c r="D8" s="395"/>
      <c r="E8" s="396"/>
      <c r="F8" s="396"/>
      <c r="G8" s="396"/>
      <c r="H8" s="396"/>
      <c r="I8" s="396"/>
    </row>
    <row r="9" spans="1:9" ht="14.4">
      <c r="A9" s="361"/>
      <c r="B9" s="394"/>
      <c r="C9" s="395"/>
      <c r="D9" s="395"/>
      <c r="E9" s="396"/>
      <c r="F9" s="396"/>
      <c r="G9" s="396"/>
      <c r="H9" s="396"/>
      <c r="I9" s="396"/>
    </row>
    <row r="10" spans="1:9" ht="28.8">
      <c r="A10" s="397">
        <v>1</v>
      </c>
      <c r="B10" s="398" t="s">
        <v>2611</v>
      </c>
      <c r="C10" s="399" t="s">
        <v>2612</v>
      </c>
      <c r="D10" s="400">
        <v>1</v>
      </c>
      <c r="E10" s="400">
        <v>4500</v>
      </c>
      <c r="F10" s="400"/>
      <c r="G10" s="421">
        <v>1</v>
      </c>
      <c r="H10" s="400"/>
      <c r="I10" s="401"/>
    </row>
    <row r="11" spans="1:9" ht="43.2">
      <c r="A11" s="403">
        <v>2</v>
      </c>
      <c r="B11" s="404" t="s">
        <v>2613</v>
      </c>
      <c r="C11" s="399" t="s">
        <v>2612</v>
      </c>
      <c r="D11" s="400">
        <v>1</v>
      </c>
      <c r="E11" s="400">
        <v>59000</v>
      </c>
      <c r="F11" s="400"/>
      <c r="G11" s="421">
        <v>1</v>
      </c>
      <c r="H11" s="400"/>
      <c r="I11" s="401"/>
    </row>
    <row r="12" spans="1:9" ht="43.2">
      <c r="A12" s="403">
        <v>3</v>
      </c>
      <c r="B12" s="405" t="s">
        <v>2614</v>
      </c>
      <c r="C12" s="361" t="s">
        <v>325</v>
      </c>
      <c r="D12" s="400">
        <v>80</v>
      </c>
      <c r="E12" s="400">
        <f>8</f>
        <v>8</v>
      </c>
      <c r="F12" s="400"/>
      <c r="G12" s="421">
        <v>1</v>
      </c>
      <c r="H12" s="400"/>
      <c r="I12" s="402"/>
    </row>
    <row r="13" spans="1:9" ht="28.8">
      <c r="A13" s="397">
        <v>4</v>
      </c>
      <c r="B13" s="406" t="s">
        <v>2615</v>
      </c>
      <c r="C13" s="361" t="s">
        <v>325</v>
      </c>
      <c r="D13" s="400">
        <v>128</v>
      </c>
      <c r="E13" s="400">
        <v>139.5</v>
      </c>
      <c r="F13" s="400"/>
      <c r="G13" s="421">
        <v>1</v>
      </c>
      <c r="H13" s="400"/>
      <c r="I13" s="401"/>
    </row>
    <row r="14" spans="1:9" ht="14.4">
      <c r="A14" s="403">
        <v>5</v>
      </c>
      <c r="B14" s="407" t="s">
        <v>2616</v>
      </c>
      <c r="C14" s="361" t="s">
        <v>2617</v>
      </c>
      <c r="D14" s="408">
        <v>1</v>
      </c>
      <c r="E14" s="408">
        <v>14230</v>
      </c>
      <c r="F14" s="400"/>
      <c r="G14" s="421">
        <v>1</v>
      </c>
      <c r="H14" s="400"/>
      <c r="I14" s="401"/>
    </row>
    <row r="15" spans="1:9" ht="14.4">
      <c r="A15" s="397">
        <v>6</v>
      </c>
      <c r="B15" s="407" t="s">
        <v>2618</v>
      </c>
      <c r="C15" s="361" t="s">
        <v>2619</v>
      </c>
      <c r="D15" s="408">
        <v>1</v>
      </c>
      <c r="E15" s="408">
        <v>5000</v>
      </c>
      <c r="F15" s="408"/>
      <c r="G15" s="421">
        <v>1</v>
      </c>
      <c r="H15" s="400"/>
      <c r="I15" s="396"/>
    </row>
    <row r="16" spans="1:9" ht="14.4">
      <c r="A16" s="403"/>
      <c r="B16" s="395"/>
      <c r="C16" s="361"/>
      <c r="D16" s="408"/>
      <c r="E16" s="409"/>
      <c r="F16" s="408"/>
      <c r="G16" s="409"/>
      <c r="H16" s="400"/>
      <c r="I16" s="396"/>
    </row>
    <row r="17" spans="1:9" ht="28.8">
      <c r="A17" s="397">
        <v>7</v>
      </c>
      <c r="B17" s="410" t="s">
        <v>2620</v>
      </c>
      <c r="C17" s="361" t="s">
        <v>2619</v>
      </c>
      <c r="D17" s="361"/>
      <c r="E17" s="396"/>
      <c r="F17" s="400"/>
      <c r="G17" s="421">
        <v>1</v>
      </c>
      <c r="H17" s="400"/>
      <c r="I17" s="396"/>
    </row>
    <row r="18" spans="1:9" ht="14.4">
      <c r="A18" s="357"/>
      <c r="B18" s="413"/>
      <c r="C18" s="413"/>
      <c r="D18" s="413"/>
      <c r="E18" s="414"/>
      <c r="F18" s="415"/>
      <c r="G18" s="415"/>
      <c r="H18" s="415"/>
      <c r="I18" s="414"/>
    </row>
    <row r="19" spans="1:9" ht="15.6">
      <c r="A19" s="416"/>
      <c r="B19" s="417" t="s">
        <v>2621</v>
      </c>
      <c r="C19" s="417"/>
      <c r="D19" s="418"/>
      <c r="E19" s="418"/>
      <c r="F19" s="419">
        <v>60000</v>
      </c>
      <c r="G19" s="442">
        <f>H19/F19</f>
        <v>1</v>
      </c>
      <c r="H19" s="419">
        <v>60000</v>
      </c>
      <c r="I19" s="418"/>
    </row>
    <row r="20" spans="1:9">
      <c r="A20" s="26"/>
    </row>
    <row r="21" spans="1:9">
      <c r="A21" s="26"/>
    </row>
    <row r="22" spans="1:9">
      <c r="A22" s="26"/>
    </row>
    <row r="23" spans="1:9">
      <c r="A23" s="26"/>
    </row>
  </sheetData>
  <mergeCells count="1">
    <mergeCell ref="G5:H5"/>
  </mergeCells>
  <pageMargins left="0.7" right="0.7" top="0.75" bottom="0.75" header="0.3" footer="0.3"/>
  <pageSetup paperSize="9" scale="8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K54"/>
  <sheetViews>
    <sheetView showGridLines="0" view="pageBreakPreview" zoomScaleNormal="100" zoomScaleSheetLayoutView="100" workbookViewId="0">
      <selection activeCell="J57" sqref="J57"/>
    </sheetView>
  </sheetViews>
  <sheetFormatPr defaultRowHeight="13.2"/>
  <cols>
    <col min="1" max="1" width="8.5546875" customWidth="1"/>
    <col min="2" max="2" width="28.88671875" customWidth="1"/>
    <col min="3" max="3" width="4.6640625" customWidth="1"/>
    <col min="4" max="4" width="6.6640625" customWidth="1"/>
    <col min="5" max="5" width="8.6640625" bestFit="1" customWidth="1"/>
    <col min="6" max="6" width="12" style="391" bestFit="1" customWidth="1"/>
    <col min="7" max="8" width="12.5546875" customWidth="1"/>
    <col min="9" max="9" width="1.6640625" customWidth="1"/>
    <col min="10" max="11" width="12.5546875" customWidth="1"/>
  </cols>
  <sheetData>
    <row r="1" spans="1:11" ht="14.4">
      <c r="A1" t="s">
        <v>2604</v>
      </c>
      <c r="B1" s="390" t="s">
        <v>2625</v>
      </c>
    </row>
    <row r="2" spans="1:11" ht="14.4">
      <c r="A2" t="s">
        <v>2606</v>
      </c>
      <c r="B2" s="390" t="s">
        <v>2633</v>
      </c>
    </row>
    <row r="3" spans="1:11" ht="14.4">
      <c r="B3" s="390" t="s">
        <v>2634</v>
      </c>
    </row>
    <row r="4" spans="1:11" ht="14.4">
      <c r="B4" s="390"/>
    </row>
    <row r="5" spans="1:11" ht="14.4">
      <c r="A5" s="438"/>
      <c r="B5" s="427"/>
      <c r="C5" s="427"/>
      <c r="D5" s="427"/>
      <c r="E5" s="427"/>
      <c r="F5" s="420"/>
      <c r="G5" s="1088" t="s">
        <v>2623</v>
      </c>
      <c r="H5" s="1089"/>
    </row>
    <row r="6" spans="1:11" s="162" customFormat="1" ht="39.6">
      <c r="A6" s="422" t="s">
        <v>2608</v>
      </c>
      <c r="B6" s="422" t="s">
        <v>2609</v>
      </c>
      <c r="C6" s="422" t="s">
        <v>41</v>
      </c>
      <c r="D6" s="446" t="s">
        <v>380</v>
      </c>
      <c r="E6" s="446" t="s">
        <v>2626</v>
      </c>
      <c r="F6" s="423" t="s">
        <v>2627</v>
      </c>
      <c r="G6" s="424" t="s">
        <v>30</v>
      </c>
      <c r="H6" s="424" t="s">
        <v>2</v>
      </c>
      <c r="J6" s="424" t="s">
        <v>2703</v>
      </c>
      <c r="K6" s="424" t="s">
        <v>2704</v>
      </c>
    </row>
    <row r="7" spans="1:11">
      <c r="A7" s="428"/>
      <c r="B7" s="429"/>
      <c r="C7" s="429"/>
      <c r="D7" s="429"/>
      <c r="E7" s="429"/>
      <c r="F7" s="430"/>
      <c r="G7" s="430"/>
      <c r="H7" s="430"/>
      <c r="J7" s="430"/>
      <c r="K7" s="430"/>
    </row>
    <row r="8" spans="1:11" ht="28.8">
      <c r="A8" s="359">
        <v>1</v>
      </c>
      <c r="B8" s="431" t="s">
        <v>2628</v>
      </c>
      <c r="C8" s="359"/>
      <c r="D8" s="432"/>
      <c r="E8" s="432"/>
      <c r="F8" s="360"/>
      <c r="G8" s="360"/>
      <c r="H8" s="360"/>
      <c r="J8" s="360"/>
      <c r="K8" s="360"/>
    </row>
    <row r="9" spans="1:11" ht="14.4">
      <c r="A9" s="433">
        <v>1.1000000000000001</v>
      </c>
      <c r="B9" s="434" t="s">
        <v>2629</v>
      </c>
      <c r="C9" s="49"/>
      <c r="D9" s="432"/>
      <c r="E9" s="432"/>
      <c r="F9" s="360"/>
      <c r="G9" s="360"/>
      <c r="H9" s="360"/>
      <c r="J9" s="360"/>
      <c r="K9" s="360"/>
    </row>
    <row r="10" spans="1:11" ht="14.4">
      <c r="A10" s="433"/>
      <c r="B10" s="439" t="s">
        <v>2654</v>
      </c>
      <c r="C10" s="49" t="s">
        <v>71</v>
      </c>
      <c r="D10" s="432">
        <v>14.92</v>
      </c>
      <c r="E10" s="432">
        <v>598</v>
      </c>
      <c r="F10" s="360">
        <f t="shared" ref="F10:F29" si="0">D10*E10</f>
        <v>8922.16</v>
      </c>
      <c r="G10" s="600">
        <v>1</v>
      </c>
      <c r="H10" s="360">
        <f>F10*G10</f>
        <v>8922.16</v>
      </c>
      <c r="J10" s="440">
        <v>0.36</v>
      </c>
      <c r="K10" s="440">
        <f>G10-J10</f>
        <v>0.64</v>
      </c>
    </row>
    <row r="11" spans="1:11" ht="14.4">
      <c r="A11" s="433"/>
      <c r="B11" s="439" t="s">
        <v>2655</v>
      </c>
      <c r="C11" s="49" t="s">
        <v>71</v>
      </c>
      <c r="D11" s="432">
        <v>19.07</v>
      </c>
      <c r="E11" s="432">
        <v>598</v>
      </c>
      <c r="F11" s="360">
        <f t="shared" si="0"/>
        <v>11403.86</v>
      </c>
      <c r="G11" s="600">
        <v>1</v>
      </c>
      <c r="H11" s="360">
        <f t="shared" ref="H11:H29" si="1">F11*G11</f>
        <v>11403.86</v>
      </c>
      <c r="J11" s="440">
        <v>0.5</v>
      </c>
      <c r="K11" s="440">
        <f t="shared" ref="K11:K29" si="2">G11-J11</f>
        <v>0.5</v>
      </c>
    </row>
    <row r="12" spans="1:11" ht="14.4">
      <c r="A12" s="433"/>
      <c r="B12" s="439" t="s">
        <v>2656</v>
      </c>
      <c r="C12" s="49" t="s">
        <v>71</v>
      </c>
      <c r="D12" s="432">
        <v>14.92</v>
      </c>
      <c r="E12" s="432">
        <v>598</v>
      </c>
      <c r="F12" s="360">
        <f t="shared" si="0"/>
        <v>8922.16</v>
      </c>
      <c r="G12" s="600">
        <v>1</v>
      </c>
      <c r="H12" s="360">
        <f t="shared" si="1"/>
        <v>8922.16</v>
      </c>
      <c r="J12" s="440">
        <v>0.36</v>
      </c>
      <c r="K12" s="440">
        <f t="shared" si="2"/>
        <v>0.64</v>
      </c>
    </row>
    <row r="13" spans="1:11" ht="14.4">
      <c r="A13" s="433"/>
      <c r="B13" s="439" t="s">
        <v>2657</v>
      </c>
      <c r="C13" s="49" t="s">
        <v>71</v>
      </c>
      <c r="D13" s="432">
        <v>12.03</v>
      </c>
      <c r="E13" s="432">
        <v>598</v>
      </c>
      <c r="F13" s="360">
        <f t="shared" si="0"/>
        <v>7193.94</v>
      </c>
      <c r="G13" s="600">
        <v>1</v>
      </c>
      <c r="H13" s="360">
        <f t="shared" si="1"/>
        <v>7193.94</v>
      </c>
      <c r="J13" s="440">
        <v>0.16</v>
      </c>
      <c r="K13" s="440">
        <f t="shared" si="2"/>
        <v>0.84</v>
      </c>
    </row>
    <row r="14" spans="1:11" ht="14.4">
      <c r="A14" s="433"/>
      <c r="B14" s="439" t="s">
        <v>2658</v>
      </c>
      <c r="C14" s="49" t="s">
        <v>71</v>
      </c>
      <c r="D14" s="432">
        <v>16.88</v>
      </c>
      <c r="E14" s="432">
        <v>598</v>
      </c>
      <c r="F14" s="360">
        <f t="shared" si="0"/>
        <v>10094.24</v>
      </c>
      <c r="G14" s="600">
        <v>1</v>
      </c>
      <c r="H14" s="360">
        <f t="shared" si="1"/>
        <v>10094.24</v>
      </c>
      <c r="J14" s="440">
        <v>0.43</v>
      </c>
      <c r="K14" s="440">
        <f t="shared" si="2"/>
        <v>0.57000000000000006</v>
      </c>
    </row>
    <row r="15" spans="1:11" ht="14.4">
      <c r="A15" s="433"/>
      <c r="B15" s="439" t="s">
        <v>2659</v>
      </c>
      <c r="C15" s="49" t="s">
        <v>71</v>
      </c>
      <c r="D15" s="432">
        <v>13.25</v>
      </c>
      <c r="E15" s="432">
        <v>598</v>
      </c>
      <c r="F15" s="360">
        <f t="shared" si="0"/>
        <v>7923.5</v>
      </c>
      <c r="G15" s="600">
        <v>1</v>
      </c>
      <c r="H15" s="360">
        <f t="shared" si="1"/>
        <v>7923.5</v>
      </c>
      <c r="J15" s="440">
        <v>0.28000000000000003</v>
      </c>
      <c r="K15" s="440">
        <f t="shared" si="2"/>
        <v>0.72</v>
      </c>
    </row>
    <row r="16" spans="1:11" ht="14.4">
      <c r="A16" s="433"/>
      <c r="B16" s="439" t="s">
        <v>2660</v>
      </c>
      <c r="C16" s="49" t="s">
        <v>71</v>
      </c>
      <c r="D16" s="432">
        <v>13.25</v>
      </c>
      <c r="E16" s="432">
        <v>598</v>
      </c>
      <c r="F16" s="360">
        <f t="shared" si="0"/>
        <v>7923.5</v>
      </c>
      <c r="G16" s="600">
        <v>1</v>
      </c>
      <c r="H16" s="360">
        <f t="shared" si="1"/>
        <v>7923.5</v>
      </c>
      <c r="J16" s="440">
        <v>0.56000000000000005</v>
      </c>
      <c r="K16" s="440">
        <f t="shared" si="2"/>
        <v>0.43999999999999995</v>
      </c>
    </row>
    <row r="17" spans="1:11" ht="14.4">
      <c r="A17" s="433"/>
      <c r="B17" s="439" t="s">
        <v>2661</v>
      </c>
      <c r="C17" s="49" t="s">
        <v>71</v>
      </c>
      <c r="D17" s="432">
        <v>13.25</v>
      </c>
      <c r="E17" s="432">
        <v>598</v>
      </c>
      <c r="F17" s="360">
        <f t="shared" si="0"/>
        <v>7923.5</v>
      </c>
      <c r="G17" s="600">
        <v>1</v>
      </c>
      <c r="H17" s="360">
        <f t="shared" si="1"/>
        <v>7923.5</v>
      </c>
      <c r="J17" s="440">
        <v>0.28000000000000003</v>
      </c>
      <c r="K17" s="440">
        <f t="shared" si="2"/>
        <v>0.72</v>
      </c>
    </row>
    <row r="18" spans="1:11" ht="14.4">
      <c r="A18" s="433"/>
      <c r="B18" s="439" t="s">
        <v>2662</v>
      </c>
      <c r="C18" s="49" t="s">
        <v>71</v>
      </c>
      <c r="D18" s="432">
        <v>16.98</v>
      </c>
      <c r="E18" s="432">
        <v>598</v>
      </c>
      <c r="F18" s="360">
        <f t="shared" si="0"/>
        <v>10154.040000000001</v>
      </c>
      <c r="G18" s="600">
        <v>1</v>
      </c>
      <c r="H18" s="360">
        <f t="shared" si="1"/>
        <v>10154.040000000001</v>
      </c>
      <c r="J18" s="440">
        <v>0.44</v>
      </c>
      <c r="K18" s="440">
        <f t="shared" si="2"/>
        <v>0.56000000000000005</v>
      </c>
    </row>
    <row r="19" spans="1:11" ht="14.4">
      <c r="A19" s="433"/>
      <c r="B19" s="439" t="s">
        <v>2663</v>
      </c>
      <c r="C19" s="49" t="s">
        <v>71</v>
      </c>
      <c r="D19" s="432">
        <v>13.25</v>
      </c>
      <c r="E19" s="432">
        <v>598</v>
      </c>
      <c r="F19" s="360">
        <f t="shared" si="0"/>
        <v>7923.5</v>
      </c>
      <c r="G19" s="600">
        <v>1</v>
      </c>
      <c r="H19" s="360">
        <f t="shared" si="1"/>
        <v>7923.5</v>
      </c>
      <c r="J19" s="440">
        <v>0.28000000000000003</v>
      </c>
      <c r="K19" s="440">
        <f t="shared" si="2"/>
        <v>0.72</v>
      </c>
    </row>
    <row r="20" spans="1:11" ht="14.4">
      <c r="A20" s="433"/>
      <c r="B20" s="439" t="s">
        <v>2664</v>
      </c>
      <c r="C20" s="49" t="s">
        <v>71</v>
      </c>
      <c r="D20" s="432">
        <v>9.17</v>
      </c>
      <c r="E20" s="432">
        <v>598</v>
      </c>
      <c r="F20" s="360">
        <f t="shared" si="0"/>
        <v>5483.66</v>
      </c>
      <c r="G20" s="478">
        <v>0.43</v>
      </c>
      <c r="H20" s="360">
        <f t="shared" si="1"/>
        <v>2357.9737999999998</v>
      </c>
      <c r="J20" s="440">
        <v>0.43</v>
      </c>
      <c r="K20" s="440">
        <f t="shared" si="2"/>
        <v>0</v>
      </c>
    </row>
    <row r="21" spans="1:11" ht="14.4">
      <c r="A21" s="433"/>
      <c r="B21" s="439" t="s">
        <v>2665</v>
      </c>
      <c r="C21" s="49" t="s">
        <v>71</v>
      </c>
      <c r="D21" s="432">
        <v>9.52</v>
      </c>
      <c r="E21" s="432">
        <v>598</v>
      </c>
      <c r="F21" s="360">
        <f t="shared" si="0"/>
        <v>5692.96</v>
      </c>
      <c r="G21" s="453"/>
      <c r="H21" s="360">
        <f t="shared" si="1"/>
        <v>0</v>
      </c>
      <c r="J21" s="440"/>
      <c r="K21" s="440">
        <f t="shared" si="2"/>
        <v>0</v>
      </c>
    </row>
    <row r="22" spans="1:11" ht="14.4">
      <c r="A22" s="433"/>
      <c r="B22" s="439" t="s">
        <v>2666</v>
      </c>
      <c r="C22" s="49" t="s">
        <v>71</v>
      </c>
      <c r="D22" s="432">
        <v>18.71</v>
      </c>
      <c r="E22" s="432">
        <v>598</v>
      </c>
      <c r="F22" s="360">
        <f t="shared" si="0"/>
        <v>11188.58</v>
      </c>
      <c r="G22" s="453"/>
      <c r="H22" s="360">
        <f t="shared" si="1"/>
        <v>0</v>
      </c>
      <c r="J22" s="440"/>
      <c r="K22" s="440">
        <f t="shared" si="2"/>
        <v>0</v>
      </c>
    </row>
    <row r="23" spans="1:11" ht="14.4">
      <c r="A23" s="433"/>
      <c r="B23" s="439" t="s">
        <v>2667</v>
      </c>
      <c r="C23" s="49" t="s">
        <v>71</v>
      </c>
      <c r="D23" s="432">
        <v>9.52</v>
      </c>
      <c r="E23" s="432">
        <v>598</v>
      </c>
      <c r="F23" s="360">
        <f t="shared" si="0"/>
        <v>5692.96</v>
      </c>
      <c r="G23" s="453"/>
      <c r="H23" s="360">
        <f t="shared" si="1"/>
        <v>0</v>
      </c>
      <c r="J23" s="440"/>
      <c r="K23" s="440">
        <f t="shared" si="2"/>
        <v>0</v>
      </c>
    </row>
    <row r="24" spans="1:11" ht="14.4">
      <c r="A24" s="433"/>
      <c r="B24" s="439" t="s">
        <v>2668</v>
      </c>
      <c r="C24" s="49" t="s">
        <v>71</v>
      </c>
      <c r="D24" s="432">
        <v>18.71</v>
      </c>
      <c r="E24" s="432">
        <v>598</v>
      </c>
      <c r="F24" s="360">
        <f t="shared" si="0"/>
        <v>11188.58</v>
      </c>
      <c r="G24" s="453"/>
      <c r="H24" s="360">
        <f t="shared" si="1"/>
        <v>0</v>
      </c>
      <c r="J24" s="440"/>
      <c r="K24" s="440">
        <f t="shared" si="2"/>
        <v>0</v>
      </c>
    </row>
    <row r="25" spans="1:11" ht="14.4">
      <c r="A25" s="433"/>
      <c r="B25" s="439" t="s">
        <v>2669</v>
      </c>
      <c r="C25" s="49" t="s">
        <v>71</v>
      </c>
      <c r="D25" s="432">
        <v>9.5300000000000011</v>
      </c>
      <c r="E25" s="432">
        <v>598</v>
      </c>
      <c r="F25" s="360">
        <f t="shared" si="0"/>
        <v>5698.9400000000005</v>
      </c>
      <c r="G25" s="453"/>
      <c r="H25" s="360">
        <f t="shared" si="1"/>
        <v>0</v>
      </c>
      <c r="J25" s="440"/>
      <c r="K25" s="440">
        <f t="shared" si="2"/>
        <v>0</v>
      </c>
    </row>
    <row r="26" spans="1:11" ht="14.4">
      <c r="A26" s="433"/>
      <c r="B26" s="439" t="s">
        <v>2670</v>
      </c>
      <c r="C26" s="49" t="s">
        <v>71</v>
      </c>
      <c r="D26" s="432">
        <v>12.399999999999999</v>
      </c>
      <c r="E26" s="432">
        <v>598</v>
      </c>
      <c r="F26" s="360">
        <f t="shared" si="0"/>
        <v>7415.1999999999989</v>
      </c>
      <c r="G26" s="453"/>
      <c r="H26" s="360">
        <f t="shared" si="1"/>
        <v>0</v>
      </c>
      <c r="J26" s="440"/>
      <c r="K26" s="440">
        <f t="shared" si="2"/>
        <v>0</v>
      </c>
    </row>
    <row r="27" spans="1:11" ht="14.4">
      <c r="A27" s="433"/>
      <c r="B27" s="439" t="s">
        <v>2671</v>
      </c>
      <c r="C27" s="49" t="s">
        <v>71</v>
      </c>
      <c r="D27" s="432">
        <v>13.92</v>
      </c>
      <c r="E27" s="432">
        <v>598</v>
      </c>
      <c r="F27" s="360">
        <f t="shared" si="0"/>
        <v>8324.16</v>
      </c>
      <c r="G27" s="453"/>
      <c r="H27" s="360">
        <f t="shared" si="1"/>
        <v>0</v>
      </c>
      <c r="J27" s="440"/>
      <c r="K27" s="440">
        <f t="shared" si="2"/>
        <v>0</v>
      </c>
    </row>
    <row r="28" spans="1:11" ht="14.4">
      <c r="A28" s="433"/>
      <c r="B28" s="439" t="s">
        <v>2672</v>
      </c>
      <c r="C28" s="49" t="s">
        <v>71</v>
      </c>
      <c r="D28" s="432">
        <v>9.52</v>
      </c>
      <c r="E28" s="432">
        <v>598</v>
      </c>
      <c r="F28" s="360">
        <f t="shared" si="0"/>
        <v>5692.96</v>
      </c>
      <c r="G28" s="453"/>
      <c r="H28" s="360">
        <f t="shared" si="1"/>
        <v>0</v>
      </c>
      <c r="J28" s="440"/>
      <c r="K28" s="440">
        <f t="shared" si="2"/>
        <v>0</v>
      </c>
    </row>
    <row r="29" spans="1:11" ht="14.4">
      <c r="A29" s="433"/>
      <c r="B29" s="439" t="s">
        <v>3216</v>
      </c>
      <c r="C29" s="49" t="s">
        <v>71</v>
      </c>
      <c r="D29" s="432">
        <v>1.1599999999999999</v>
      </c>
      <c r="E29" s="432">
        <v>598</v>
      </c>
      <c r="F29" s="360">
        <f t="shared" si="0"/>
        <v>693.68</v>
      </c>
      <c r="G29" s="453">
        <v>1</v>
      </c>
      <c r="H29" s="360">
        <f t="shared" si="1"/>
        <v>693.68</v>
      </c>
      <c r="J29" s="440"/>
      <c r="K29" s="440">
        <f t="shared" si="2"/>
        <v>1</v>
      </c>
    </row>
    <row r="30" spans="1:11" ht="14.4">
      <c r="A30" s="433">
        <v>1.2</v>
      </c>
      <c r="B30" s="434" t="s">
        <v>2630</v>
      </c>
      <c r="C30" s="49"/>
      <c r="D30" s="432"/>
      <c r="E30" s="432"/>
      <c r="F30" s="360"/>
      <c r="G30" s="360"/>
      <c r="H30" s="360"/>
      <c r="J30" s="360"/>
      <c r="K30" s="360"/>
    </row>
    <row r="31" spans="1:11" ht="14.4">
      <c r="A31" s="433"/>
      <c r="B31" s="439" t="s">
        <v>2635</v>
      </c>
      <c r="C31" s="49" t="s">
        <v>71</v>
      </c>
      <c r="D31" s="432">
        <v>4.26</v>
      </c>
      <c r="E31" s="432">
        <v>598</v>
      </c>
      <c r="F31" s="360">
        <f t="shared" ref="F31:F49" si="3">D31*E31</f>
        <v>2547.48</v>
      </c>
      <c r="G31" s="453"/>
      <c r="H31" s="360">
        <f t="shared" ref="H31:H49" si="4">F31*G31</f>
        <v>0</v>
      </c>
      <c r="J31" s="440"/>
      <c r="K31" s="440">
        <f t="shared" ref="K31:K49" si="5">G31-J31</f>
        <v>0</v>
      </c>
    </row>
    <row r="32" spans="1:11" ht="14.4">
      <c r="A32" s="433"/>
      <c r="B32" s="439" t="s">
        <v>2636</v>
      </c>
      <c r="C32" s="49" t="s">
        <v>71</v>
      </c>
      <c r="D32" s="432">
        <v>4.68</v>
      </c>
      <c r="E32" s="432">
        <v>598</v>
      </c>
      <c r="F32" s="360">
        <f t="shared" si="3"/>
        <v>2798.64</v>
      </c>
      <c r="G32" s="453"/>
      <c r="H32" s="360">
        <f t="shared" si="4"/>
        <v>0</v>
      </c>
      <c r="J32" s="440"/>
      <c r="K32" s="440">
        <f t="shared" si="5"/>
        <v>0</v>
      </c>
    </row>
    <row r="33" spans="1:11" ht="14.4">
      <c r="A33" s="433"/>
      <c r="B33" s="439" t="s">
        <v>2637</v>
      </c>
      <c r="C33" s="49" t="s">
        <v>71</v>
      </c>
      <c r="D33" s="432">
        <v>4.68</v>
      </c>
      <c r="E33" s="432">
        <v>598</v>
      </c>
      <c r="F33" s="360">
        <f t="shared" si="3"/>
        <v>2798.64</v>
      </c>
      <c r="G33" s="453"/>
      <c r="H33" s="360">
        <f t="shared" si="4"/>
        <v>0</v>
      </c>
      <c r="J33" s="440"/>
      <c r="K33" s="440">
        <f t="shared" si="5"/>
        <v>0</v>
      </c>
    </row>
    <row r="34" spans="1:11" ht="14.4">
      <c r="A34" s="433"/>
      <c r="B34" s="439" t="s">
        <v>2638</v>
      </c>
      <c r="C34" s="49" t="s">
        <v>71</v>
      </c>
      <c r="D34" s="432">
        <v>4.26</v>
      </c>
      <c r="E34" s="432">
        <v>598</v>
      </c>
      <c r="F34" s="360">
        <f t="shared" si="3"/>
        <v>2547.48</v>
      </c>
      <c r="G34" s="453"/>
      <c r="H34" s="360">
        <f t="shared" si="4"/>
        <v>0</v>
      </c>
      <c r="J34" s="440"/>
      <c r="K34" s="440">
        <f t="shared" si="5"/>
        <v>0</v>
      </c>
    </row>
    <row r="35" spans="1:11" ht="14.4">
      <c r="A35" s="433"/>
      <c r="B35" s="439" t="s">
        <v>2639</v>
      </c>
      <c r="C35" s="49" t="s">
        <v>71</v>
      </c>
      <c r="D35" s="432">
        <v>7.4399999999999995</v>
      </c>
      <c r="E35" s="432">
        <v>598</v>
      </c>
      <c r="F35" s="360">
        <f t="shared" si="3"/>
        <v>4449.12</v>
      </c>
      <c r="G35" s="453"/>
      <c r="H35" s="360">
        <f t="shared" si="4"/>
        <v>0</v>
      </c>
      <c r="J35" s="440"/>
      <c r="K35" s="440">
        <f t="shared" si="5"/>
        <v>0</v>
      </c>
    </row>
    <row r="36" spans="1:11" ht="14.4">
      <c r="A36" s="433"/>
      <c r="B36" s="439" t="s">
        <v>2640</v>
      </c>
      <c r="C36" s="49" t="s">
        <v>71</v>
      </c>
      <c r="D36" s="432">
        <v>12.17</v>
      </c>
      <c r="E36" s="432">
        <v>598</v>
      </c>
      <c r="F36" s="360">
        <f t="shared" si="3"/>
        <v>7277.66</v>
      </c>
      <c r="G36" s="600">
        <v>0.52</v>
      </c>
      <c r="H36" s="360">
        <f t="shared" si="4"/>
        <v>3784.3832000000002</v>
      </c>
      <c r="J36" s="440">
        <v>0</v>
      </c>
      <c r="K36" s="440">
        <f t="shared" si="5"/>
        <v>0.52</v>
      </c>
    </row>
    <row r="37" spans="1:11" ht="14.4">
      <c r="A37" s="433"/>
      <c r="B37" s="439" t="s">
        <v>2641</v>
      </c>
      <c r="C37" s="49" t="s">
        <v>71</v>
      </c>
      <c r="D37" s="432">
        <v>4.7300000000000004</v>
      </c>
      <c r="E37" s="432">
        <v>598</v>
      </c>
      <c r="F37" s="360">
        <f t="shared" si="3"/>
        <v>2828.5400000000004</v>
      </c>
      <c r="G37" s="600">
        <v>1</v>
      </c>
      <c r="H37" s="360">
        <f t="shared" si="4"/>
        <v>2828.5400000000004</v>
      </c>
      <c r="J37" s="440"/>
      <c r="K37" s="440">
        <f t="shared" si="5"/>
        <v>1</v>
      </c>
    </row>
    <row r="38" spans="1:11" ht="14.4">
      <c r="A38" s="433"/>
      <c r="B38" s="439" t="s">
        <v>2642</v>
      </c>
      <c r="C38" s="49" t="s">
        <v>71</v>
      </c>
      <c r="D38" s="432">
        <v>12.17</v>
      </c>
      <c r="E38" s="432">
        <v>598</v>
      </c>
      <c r="F38" s="360">
        <f t="shared" si="3"/>
        <v>7277.66</v>
      </c>
      <c r="G38" s="478">
        <v>0.39</v>
      </c>
      <c r="H38" s="360">
        <f t="shared" si="4"/>
        <v>2838.2874000000002</v>
      </c>
      <c r="J38" s="440">
        <v>0.28000000000000003</v>
      </c>
      <c r="K38" s="440">
        <f t="shared" si="5"/>
        <v>0.10999999999999999</v>
      </c>
    </row>
    <row r="39" spans="1:11" ht="14.4">
      <c r="A39" s="433"/>
      <c r="B39" s="439" t="s">
        <v>2643</v>
      </c>
      <c r="C39" s="49" t="s">
        <v>71</v>
      </c>
      <c r="D39" s="432">
        <v>4.7300000000000004</v>
      </c>
      <c r="E39" s="432">
        <v>598</v>
      </c>
      <c r="F39" s="360">
        <f t="shared" si="3"/>
        <v>2828.5400000000004</v>
      </c>
      <c r="G39" s="600">
        <v>1</v>
      </c>
      <c r="H39" s="360">
        <f t="shared" si="4"/>
        <v>2828.5400000000004</v>
      </c>
      <c r="J39" s="440"/>
      <c r="K39" s="440">
        <f t="shared" si="5"/>
        <v>1</v>
      </c>
    </row>
    <row r="40" spans="1:11" ht="14.4">
      <c r="A40" s="433"/>
      <c r="B40" s="439" t="s">
        <v>2644</v>
      </c>
      <c r="C40" s="49" t="s">
        <v>71</v>
      </c>
      <c r="D40" s="432">
        <v>9.84</v>
      </c>
      <c r="E40" s="432">
        <v>598</v>
      </c>
      <c r="F40" s="360">
        <f t="shared" si="3"/>
        <v>5884.32</v>
      </c>
      <c r="G40" s="478">
        <v>0.8</v>
      </c>
      <c r="H40" s="360">
        <f t="shared" si="4"/>
        <v>4707.4560000000001</v>
      </c>
      <c r="J40" s="440">
        <v>0.26</v>
      </c>
      <c r="K40" s="440">
        <f t="shared" si="5"/>
        <v>0.54</v>
      </c>
    </row>
    <row r="41" spans="1:11" ht="14.4">
      <c r="A41" s="433"/>
      <c r="B41" s="439" t="s">
        <v>2645</v>
      </c>
      <c r="C41" s="49" t="s">
        <v>71</v>
      </c>
      <c r="D41" s="432">
        <v>9.36</v>
      </c>
      <c r="E41" s="432">
        <v>598</v>
      </c>
      <c r="F41" s="360">
        <f t="shared" si="3"/>
        <v>5597.28</v>
      </c>
      <c r="G41" s="478">
        <v>0.86</v>
      </c>
      <c r="H41" s="360">
        <f t="shared" si="4"/>
        <v>4813.6607999999997</v>
      </c>
      <c r="J41" s="440">
        <v>0.41</v>
      </c>
      <c r="K41" s="440">
        <f t="shared" si="5"/>
        <v>0.45</v>
      </c>
    </row>
    <row r="42" spans="1:11" ht="14.4">
      <c r="A42" s="433"/>
      <c r="B42" s="439" t="s">
        <v>2646</v>
      </c>
      <c r="C42" s="49" t="s">
        <v>71</v>
      </c>
      <c r="D42" s="432">
        <v>9.82</v>
      </c>
      <c r="E42" s="432">
        <v>598</v>
      </c>
      <c r="F42" s="360">
        <f t="shared" si="3"/>
        <v>5872.3600000000006</v>
      </c>
      <c r="G42" s="600">
        <v>1</v>
      </c>
      <c r="H42" s="360">
        <f t="shared" si="4"/>
        <v>5872.3600000000006</v>
      </c>
      <c r="J42" s="440">
        <v>0.52</v>
      </c>
      <c r="K42" s="440">
        <f t="shared" si="5"/>
        <v>0.48</v>
      </c>
    </row>
    <row r="43" spans="1:11" ht="14.4">
      <c r="A43" s="433"/>
      <c r="B43" s="439" t="s">
        <v>2647</v>
      </c>
      <c r="C43" s="49" t="s">
        <v>71</v>
      </c>
      <c r="D43" s="432">
        <v>9.36</v>
      </c>
      <c r="E43" s="432">
        <v>598</v>
      </c>
      <c r="F43" s="360">
        <f t="shared" si="3"/>
        <v>5597.28</v>
      </c>
      <c r="G43" s="478">
        <v>1</v>
      </c>
      <c r="H43" s="360">
        <f t="shared" si="4"/>
        <v>5597.28</v>
      </c>
      <c r="J43" s="440">
        <v>0.55000000000000004</v>
      </c>
      <c r="K43" s="440">
        <f t="shared" si="5"/>
        <v>0.44999999999999996</v>
      </c>
    </row>
    <row r="44" spans="1:11" ht="14.4">
      <c r="A44" s="433"/>
      <c r="B44" s="439" t="s">
        <v>2648</v>
      </c>
      <c r="C44" s="49" t="s">
        <v>71</v>
      </c>
      <c r="D44" s="432">
        <v>9.82</v>
      </c>
      <c r="E44" s="432">
        <v>598</v>
      </c>
      <c r="F44" s="360">
        <f t="shared" si="3"/>
        <v>5872.3600000000006</v>
      </c>
      <c r="G44" s="478">
        <v>1</v>
      </c>
      <c r="H44" s="360">
        <f t="shared" si="4"/>
        <v>5872.3600000000006</v>
      </c>
      <c r="J44" s="440">
        <v>0.52</v>
      </c>
      <c r="K44" s="440">
        <f t="shared" si="5"/>
        <v>0.48</v>
      </c>
    </row>
    <row r="45" spans="1:11" ht="14.4">
      <c r="A45" s="433"/>
      <c r="B45" s="439" t="s">
        <v>2649</v>
      </c>
      <c r="C45" s="49" t="s">
        <v>71</v>
      </c>
      <c r="D45" s="432">
        <v>9.36</v>
      </c>
      <c r="E45" s="432">
        <v>598</v>
      </c>
      <c r="F45" s="360">
        <f t="shared" si="3"/>
        <v>5597.28</v>
      </c>
      <c r="G45" s="478">
        <v>1</v>
      </c>
      <c r="H45" s="360">
        <f t="shared" si="4"/>
        <v>5597.28</v>
      </c>
      <c r="J45" s="440">
        <v>0.55000000000000004</v>
      </c>
      <c r="K45" s="440">
        <f t="shared" si="5"/>
        <v>0.44999999999999996</v>
      </c>
    </row>
    <row r="46" spans="1:11" ht="14.4">
      <c r="A46" s="433"/>
      <c r="B46" s="439" t="s">
        <v>2650</v>
      </c>
      <c r="C46" s="49" t="s">
        <v>71</v>
      </c>
      <c r="D46" s="432">
        <v>7.7900000000000009</v>
      </c>
      <c r="E46" s="432">
        <v>598</v>
      </c>
      <c r="F46" s="360">
        <f t="shared" si="3"/>
        <v>4658.420000000001</v>
      </c>
      <c r="G46" s="453"/>
      <c r="H46" s="360">
        <f t="shared" si="4"/>
        <v>0</v>
      </c>
      <c r="J46" s="440"/>
      <c r="K46" s="440">
        <f t="shared" si="5"/>
        <v>0</v>
      </c>
    </row>
    <row r="47" spans="1:11" ht="14.4">
      <c r="A47" s="433"/>
      <c r="B47" s="439" t="s">
        <v>2651</v>
      </c>
      <c r="C47" s="49" t="s">
        <v>71</v>
      </c>
      <c r="D47" s="432">
        <v>4.7300000000000004</v>
      </c>
      <c r="E47" s="432">
        <v>598</v>
      </c>
      <c r="F47" s="360">
        <f t="shared" si="3"/>
        <v>2828.5400000000004</v>
      </c>
      <c r="G47" s="440"/>
      <c r="H47" s="360">
        <f t="shared" si="4"/>
        <v>0</v>
      </c>
      <c r="J47" s="440"/>
      <c r="K47" s="440">
        <f t="shared" si="5"/>
        <v>0</v>
      </c>
    </row>
    <row r="48" spans="1:11" ht="14.4">
      <c r="A48" s="433"/>
      <c r="B48" s="439" t="s">
        <v>2652</v>
      </c>
      <c r="C48" s="49" t="s">
        <v>71</v>
      </c>
      <c r="D48" s="432">
        <v>12.58</v>
      </c>
      <c r="E48" s="432">
        <v>598</v>
      </c>
      <c r="F48" s="360">
        <f t="shared" si="3"/>
        <v>7522.84</v>
      </c>
      <c r="G48" s="440"/>
      <c r="H48" s="360">
        <f t="shared" si="4"/>
        <v>0</v>
      </c>
      <c r="J48" s="440"/>
      <c r="K48" s="440">
        <f t="shared" si="5"/>
        <v>0</v>
      </c>
    </row>
    <row r="49" spans="1:11" ht="14.4">
      <c r="A49" s="433"/>
      <c r="B49" s="439" t="s">
        <v>2653</v>
      </c>
      <c r="C49" s="49" t="s">
        <v>71</v>
      </c>
      <c r="D49" s="432">
        <v>4.7300000000000004</v>
      </c>
      <c r="E49" s="432">
        <v>598</v>
      </c>
      <c r="F49" s="360">
        <f t="shared" si="3"/>
        <v>2828.5400000000004</v>
      </c>
      <c r="G49" s="440"/>
      <c r="H49" s="360">
        <f t="shared" si="4"/>
        <v>0</v>
      </c>
      <c r="J49" s="440"/>
      <c r="K49" s="440">
        <f t="shared" si="5"/>
        <v>0</v>
      </c>
    </row>
    <row r="50" spans="1:11" s="4" customFormat="1" ht="43.2">
      <c r="A50" s="433">
        <v>1.3</v>
      </c>
      <c r="B50" s="435" t="s">
        <v>2631</v>
      </c>
      <c r="C50" s="49" t="s">
        <v>2619</v>
      </c>
      <c r="D50" s="432"/>
      <c r="E50" s="432"/>
      <c r="F50" s="360">
        <f>SUM(F9:F49)*15.6%</f>
        <v>37918.773360000021</v>
      </c>
      <c r="G50" s="360"/>
      <c r="H50" s="360">
        <f>SUM(H9:H49)*15.6%</f>
        <v>21243.487387199995</v>
      </c>
      <c r="J50" s="360"/>
      <c r="K50" s="360"/>
    </row>
    <row r="51" spans="1:11" ht="14.4">
      <c r="A51" s="359"/>
      <c r="B51" s="431"/>
      <c r="C51" s="359"/>
      <c r="D51" s="432"/>
      <c r="E51" s="432"/>
      <c r="F51" s="360"/>
      <c r="G51" s="360"/>
      <c r="H51" s="360"/>
      <c r="J51" s="360"/>
      <c r="K51" s="360"/>
    </row>
    <row r="52" spans="1:11" ht="14.4">
      <c r="A52" s="357"/>
      <c r="B52" s="413"/>
      <c r="C52" s="413"/>
      <c r="D52" s="413"/>
      <c r="E52" s="413"/>
      <c r="F52" s="415"/>
      <c r="G52" s="415"/>
      <c r="H52" s="415"/>
      <c r="J52" s="415"/>
      <c r="K52" s="415"/>
    </row>
    <row r="53" spans="1:11" ht="25.5" customHeight="1">
      <c r="A53" s="416"/>
      <c r="B53" s="436" t="s">
        <v>2632</v>
      </c>
      <c r="C53" s="437"/>
      <c r="D53" s="418"/>
      <c r="E53" s="418"/>
      <c r="F53" s="418">
        <f>SUM(F9:F52)</f>
        <v>280987.83336000016</v>
      </c>
      <c r="G53" s="582">
        <f>H53/F53</f>
        <v>0.56023778011169012</v>
      </c>
      <c r="H53" s="418">
        <f>ROUND(SUM(H9:H52),0)</f>
        <v>157420</v>
      </c>
      <c r="J53" s="441"/>
      <c r="K53" s="441"/>
    </row>
    <row r="54" spans="1:11">
      <c r="A54" s="425"/>
      <c r="B54" s="425"/>
      <c r="C54" s="425"/>
      <c r="D54" s="425"/>
      <c r="E54" s="425"/>
      <c r="F54" s="426"/>
    </row>
  </sheetData>
  <mergeCells count="1">
    <mergeCell ref="G5:H5"/>
  </mergeCells>
  <pageMargins left="0.7" right="0.7" top="0.75" bottom="0.75" header="0.3" footer="0.3"/>
  <pageSetup paperSize="9" scale="85" orientation="portrait" r:id="rId1"/>
  <colBreaks count="1" manualBreakCount="1">
    <brk id="8"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2:I15"/>
  <sheetViews>
    <sheetView showGridLines="0" view="pageBreakPreview" zoomScaleNormal="100" zoomScaleSheetLayoutView="100" workbookViewId="0">
      <selection activeCell="H14" sqref="H14"/>
    </sheetView>
  </sheetViews>
  <sheetFormatPr defaultColWidth="9.109375" defaultRowHeight="13.2"/>
  <cols>
    <col min="1" max="1" width="5.33203125" style="494" customWidth="1"/>
    <col min="2" max="2" width="33" style="494" customWidth="1"/>
    <col min="3" max="3" width="9.109375" style="494"/>
    <col min="4" max="4" width="9.109375" style="494" customWidth="1"/>
    <col min="5" max="5" width="12.33203125" style="494" customWidth="1"/>
    <col min="6" max="8" width="12.5546875" style="497" customWidth="1"/>
    <col min="9" max="9" width="17.44140625" style="497" customWidth="1"/>
    <col min="10" max="16384" width="9.109375" style="494"/>
  </cols>
  <sheetData>
    <row r="2" spans="1:9" ht="14.4">
      <c r="A2" s="489" t="s">
        <v>2604</v>
      </c>
      <c r="B2" s="490" t="s">
        <v>2625</v>
      </c>
      <c r="C2" s="491"/>
      <c r="D2" s="491"/>
      <c r="E2" s="491"/>
      <c r="F2" s="492"/>
      <c r="G2" s="492"/>
      <c r="H2" s="492"/>
      <c r="I2" s="493"/>
    </row>
    <row r="3" spans="1:9" ht="14.4">
      <c r="A3" s="495" t="s">
        <v>2606</v>
      </c>
      <c r="B3" s="496" t="s">
        <v>3113</v>
      </c>
      <c r="I3" s="498"/>
    </row>
    <row r="4" spans="1:9" ht="14.4">
      <c r="A4" s="495"/>
      <c r="B4" s="496" t="s">
        <v>3114</v>
      </c>
      <c r="I4" s="498"/>
    </row>
    <row r="5" spans="1:9" ht="14.4">
      <c r="A5" s="499"/>
      <c r="B5" s="500"/>
      <c r="C5" s="500"/>
      <c r="D5" s="500"/>
      <c r="E5" s="500"/>
      <c r="F5" s="501"/>
      <c r="G5" s="1090" t="s">
        <v>3117</v>
      </c>
      <c r="H5" s="1091"/>
      <c r="I5" s="502"/>
    </row>
    <row r="6" spans="1:9" ht="39.6">
      <c r="A6" s="566" t="s">
        <v>2608</v>
      </c>
      <c r="B6" s="567" t="s">
        <v>2609</v>
      </c>
      <c r="C6" s="567" t="s">
        <v>41</v>
      </c>
      <c r="D6" s="566" t="s">
        <v>380</v>
      </c>
      <c r="E6" s="566" t="s">
        <v>2626</v>
      </c>
      <c r="F6" s="565" t="s">
        <v>2627</v>
      </c>
      <c r="G6" s="565" t="s">
        <v>30</v>
      </c>
      <c r="H6" s="565" t="s">
        <v>2</v>
      </c>
      <c r="I6" s="568" t="s">
        <v>43</v>
      </c>
    </row>
    <row r="7" spans="1:9">
      <c r="A7" s="503"/>
      <c r="B7" s="504"/>
      <c r="C7" s="504"/>
      <c r="D7" s="504"/>
      <c r="E7" s="504"/>
      <c r="F7" s="505"/>
      <c r="G7" s="505"/>
      <c r="H7" s="505"/>
      <c r="I7" s="505"/>
    </row>
    <row r="8" spans="1:9" ht="28.8">
      <c r="A8" s="506">
        <v>1</v>
      </c>
      <c r="B8" s="507" t="s">
        <v>2628</v>
      </c>
      <c r="C8" s="506"/>
      <c r="D8" s="508"/>
      <c r="E8" s="508"/>
      <c r="F8" s="509"/>
      <c r="G8" s="509"/>
      <c r="H8" s="509"/>
      <c r="I8" s="510"/>
    </row>
    <row r="9" spans="1:9" ht="39.6">
      <c r="A9" s="511">
        <v>1.1000000000000001</v>
      </c>
      <c r="B9" s="512" t="s">
        <v>3115</v>
      </c>
      <c r="C9" s="506" t="s">
        <v>71</v>
      </c>
      <c r="D9" s="508">
        <v>539.26</v>
      </c>
      <c r="E9" s="508">
        <v>598</v>
      </c>
      <c r="F9" s="513">
        <f>ROUND(D9*E9,0)</f>
        <v>322477</v>
      </c>
      <c r="G9" s="523">
        <v>1</v>
      </c>
      <c r="H9" s="513">
        <f>G9*F9</f>
        <v>322477</v>
      </c>
      <c r="I9" s="524" t="s">
        <v>3118</v>
      </c>
    </row>
    <row r="10" spans="1:9" ht="30" customHeight="1">
      <c r="A10" s="511">
        <v>1.2</v>
      </c>
      <c r="B10" s="512" t="s">
        <v>79</v>
      </c>
      <c r="C10" s="506" t="s">
        <v>2619</v>
      </c>
      <c r="D10" s="508">
        <v>1</v>
      </c>
      <c r="E10" s="508">
        <f>SUM(F9:F9)*14.19%</f>
        <v>45759.486299999997</v>
      </c>
      <c r="F10" s="513">
        <f>ROUND(SUM(F9)*14.19%,0)</f>
        <v>45759</v>
      </c>
      <c r="G10" s="523">
        <v>1</v>
      </c>
      <c r="H10" s="513">
        <f>G10*F10</f>
        <v>45759</v>
      </c>
      <c r="I10" s="510"/>
    </row>
    <row r="11" spans="1:9" ht="30" customHeight="1">
      <c r="A11" s="511">
        <v>1.3</v>
      </c>
      <c r="B11" s="514" t="s">
        <v>3116</v>
      </c>
      <c r="C11" s="506" t="s">
        <v>2619</v>
      </c>
      <c r="D11" s="508">
        <v>1</v>
      </c>
      <c r="E11" s="508">
        <f>SUM(F9:F9)*15.99%</f>
        <v>51564.072300000007</v>
      </c>
      <c r="F11" s="513">
        <f>ROUND(SUM(F9:F9)*15.99%,0)</f>
        <v>51564</v>
      </c>
      <c r="G11" s="523">
        <v>1</v>
      </c>
      <c r="H11" s="513">
        <f>G11*F11</f>
        <v>51564</v>
      </c>
      <c r="I11" s="510"/>
    </row>
    <row r="12" spans="1:9" ht="14.4">
      <c r="A12" s="506"/>
      <c r="B12" s="507"/>
      <c r="C12" s="506"/>
      <c r="D12" s="508"/>
      <c r="E12" s="508"/>
      <c r="F12" s="509"/>
      <c r="G12" s="509"/>
      <c r="H12" s="509"/>
      <c r="I12" s="510"/>
    </row>
    <row r="13" spans="1:9" ht="14.4">
      <c r="A13" s="515"/>
      <c r="B13" s="516"/>
      <c r="C13" s="516"/>
      <c r="D13" s="516"/>
      <c r="E13" s="516"/>
      <c r="F13" s="517"/>
      <c r="G13" s="517"/>
      <c r="H13" s="517"/>
      <c r="I13" s="518"/>
    </row>
    <row r="14" spans="1:9" ht="25.5" customHeight="1">
      <c r="A14" s="519"/>
      <c r="B14" s="520" t="s">
        <v>2632</v>
      </c>
      <c r="C14" s="521"/>
      <c r="D14" s="522"/>
      <c r="E14" s="522"/>
      <c r="F14" s="522">
        <f>SUM(F9:F13)</f>
        <v>419800</v>
      </c>
      <c r="G14" s="582">
        <f>H14/F14</f>
        <v>1</v>
      </c>
      <c r="H14" s="522">
        <f>SUM(H9:H13)</f>
        <v>419800</v>
      </c>
      <c r="I14" s="522"/>
    </row>
    <row r="15" spans="1:9">
      <c r="A15" s="491"/>
      <c r="B15" s="491"/>
      <c r="C15" s="491"/>
      <c r="D15" s="491"/>
      <c r="E15" s="491"/>
      <c r="F15" s="492"/>
      <c r="G15" s="492"/>
      <c r="H15" s="492"/>
      <c r="I15" s="492"/>
    </row>
  </sheetData>
  <mergeCells count="1">
    <mergeCell ref="G5:H5"/>
  </mergeCells>
  <pageMargins left="0.3" right="0.3" top="0.75" bottom="0.75" header="0.3" footer="0.3"/>
  <pageSetup paperSize="9" scale="80"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2:M19"/>
  <sheetViews>
    <sheetView showGridLines="0" view="pageBreakPreview" topLeftCell="A7" zoomScaleNormal="100" zoomScaleSheetLayoutView="100" workbookViewId="0">
      <selection activeCell="M28" sqref="M28"/>
    </sheetView>
  </sheetViews>
  <sheetFormatPr defaultColWidth="9.109375" defaultRowHeight="14.4"/>
  <cols>
    <col min="1" max="1" width="7.6640625" style="564" customWidth="1"/>
    <col min="2" max="2" width="31.33203125" style="529" customWidth="1"/>
    <col min="3" max="3" width="3.88671875" style="529" bestFit="1" customWidth="1"/>
    <col min="4" max="5" width="8.6640625" style="529" customWidth="1"/>
    <col min="6" max="6" width="9.109375" style="529" customWidth="1"/>
    <col min="7" max="7" width="9.109375" style="529"/>
    <col min="8" max="8" width="12.33203125" style="529" customWidth="1"/>
    <col min="9" max="9" width="12.5546875" style="531" customWidth="1"/>
    <col min="10" max="11" width="12.5546875" style="497" customWidth="1"/>
    <col min="12" max="12" width="15.6640625" style="531" customWidth="1"/>
    <col min="13" max="13" width="9.109375" style="529"/>
    <col min="14" max="14" width="14" style="529" customWidth="1"/>
    <col min="15" max="16384" width="9.109375" style="529"/>
  </cols>
  <sheetData>
    <row r="2" spans="1:12">
      <c r="A2" s="525" t="s">
        <v>2604</v>
      </c>
      <c r="B2" s="490" t="s">
        <v>2625</v>
      </c>
      <c r="C2" s="490"/>
      <c r="D2" s="490"/>
      <c r="E2" s="490"/>
      <c r="F2" s="526"/>
      <c r="G2" s="526"/>
      <c r="H2" s="526"/>
      <c r="I2" s="527"/>
      <c r="J2" s="492"/>
      <c r="K2" s="492"/>
      <c r="L2" s="528"/>
    </row>
    <row r="3" spans="1:12">
      <c r="A3" s="530" t="s">
        <v>2606</v>
      </c>
      <c r="B3" s="496" t="s">
        <v>3119</v>
      </c>
      <c r="C3" s="496"/>
      <c r="D3" s="496"/>
      <c r="E3" s="496"/>
      <c r="L3" s="532"/>
    </row>
    <row r="4" spans="1:12">
      <c r="A4" s="533"/>
      <c r="B4" s="496"/>
      <c r="C4" s="496"/>
      <c r="D4" s="496"/>
      <c r="E4" s="496"/>
      <c r="L4" s="532"/>
    </row>
    <row r="5" spans="1:12">
      <c r="A5" s="534"/>
      <c r="B5" s="535"/>
      <c r="C5" s="535"/>
      <c r="D5" s="535"/>
      <c r="E5" s="535"/>
      <c r="F5" s="535"/>
      <c r="G5" s="535"/>
      <c r="H5" s="535"/>
      <c r="I5" s="536"/>
      <c r="J5" s="1090" t="s">
        <v>3117</v>
      </c>
      <c r="K5" s="1091"/>
      <c r="L5" s="537"/>
    </row>
    <row r="6" spans="1:12" ht="28.8">
      <c r="A6" s="538" t="s">
        <v>2608</v>
      </c>
      <c r="B6" s="539" t="s">
        <v>2609</v>
      </c>
      <c r="C6" s="539" t="s">
        <v>3120</v>
      </c>
      <c r="D6" s="539" t="s">
        <v>177</v>
      </c>
      <c r="E6" s="538" t="s">
        <v>3121</v>
      </c>
      <c r="F6" s="538" t="s">
        <v>380</v>
      </c>
      <c r="G6" s="539" t="s">
        <v>41</v>
      </c>
      <c r="H6" s="538" t="s">
        <v>2626</v>
      </c>
      <c r="I6" s="540" t="s">
        <v>2627</v>
      </c>
      <c r="J6" s="565" t="s">
        <v>30</v>
      </c>
      <c r="K6" s="565" t="s">
        <v>2</v>
      </c>
      <c r="L6" s="541" t="s">
        <v>43</v>
      </c>
    </row>
    <row r="7" spans="1:12">
      <c r="A7" s="542"/>
      <c r="B7" s="543"/>
      <c r="C7" s="543"/>
      <c r="D7" s="543"/>
      <c r="E7" s="543"/>
      <c r="F7" s="543"/>
      <c r="G7" s="543"/>
      <c r="H7" s="543"/>
      <c r="I7" s="544"/>
      <c r="J7" s="505"/>
      <c r="K7" s="505"/>
      <c r="L7" s="544"/>
    </row>
    <row r="8" spans="1:12" ht="57.6">
      <c r="A8" s="545"/>
      <c r="B8" s="507" t="s">
        <v>3122</v>
      </c>
      <c r="C8" s="507"/>
      <c r="D8" s="507"/>
      <c r="E8" s="507"/>
      <c r="F8" s="546"/>
      <c r="G8" s="545"/>
      <c r="H8" s="546"/>
      <c r="I8" s="547"/>
      <c r="J8" s="509"/>
      <c r="K8" s="509"/>
      <c r="L8" s="548"/>
    </row>
    <row r="9" spans="1:12">
      <c r="A9" s="549"/>
      <c r="B9" s="550" t="s">
        <v>3123</v>
      </c>
      <c r="C9" s="550"/>
      <c r="D9" s="550"/>
      <c r="E9" s="550"/>
      <c r="F9" s="550"/>
      <c r="G9" s="550"/>
      <c r="H9" s="550"/>
      <c r="I9" s="551"/>
      <c r="J9" s="523"/>
      <c r="K9" s="513"/>
      <c r="L9" s="551"/>
    </row>
    <row r="10" spans="1:12" ht="57.6">
      <c r="A10" s="552">
        <v>1.1000000000000001</v>
      </c>
      <c r="B10" s="553" t="s">
        <v>3124</v>
      </c>
      <c r="C10" s="554">
        <v>1</v>
      </c>
      <c r="D10" s="555">
        <v>14.4</v>
      </c>
      <c r="E10" s="555">
        <v>0.63</v>
      </c>
      <c r="F10" s="546">
        <f>C10*D10</f>
        <v>14.4</v>
      </c>
      <c r="G10" s="545" t="s">
        <v>73</v>
      </c>
      <c r="H10" s="546">
        <v>1217</v>
      </c>
      <c r="I10" s="556">
        <f>ROUND(F10*H10,0)</f>
        <v>17525</v>
      </c>
      <c r="J10" s="523">
        <v>1</v>
      </c>
      <c r="K10" s="569">
        <f>I10*J10</f>
        <v>17525</v>
      </c>
      <c r="L10" s="547"/>
    </row>
    <row r="11" spans="1:12" ht="57.6">
      <c r="A11" s="552">
        <v>1.2</v>
      </c>
      <c r="B11" s="553" t="s">
        <v>3125</v>
      </c>
      <c r="C11" s="554">
        <v>1</v>
      </c>
      <c r="D11" s="555">
        <v>5.7</v>
      </c>
      <c r="E11" s="555">
        <v>4.8</v>
      </c>
      <c r="F11" s="546">
        <f>C11*D11*E11</f>
        <v>27.36</v>
      </c>
      <c r="G11" s="545" t="s">
        <v>71</v>
      </c>
      <c r="H11" s="546">
        <v>1595</v>
      </c>
      <c r="I11" s="556">
        <f>ROUND(F11*H11,0)</f>
        <v>43639</v>
      </c>
      <c r="J11" s="523"/>
      <c r="K11" s="513"/>
      <c r="L11" s="547"/>
    </row>
    <row r="12" spans="1:12">
      <c r="A12" s="545"/>
      <c r="B12" s="550" t="s">
        <v>3126</v>
      </c>
      <c r="C12" s="512"/>
      <c r="D12" s="512"/>
      <c r="E12" s="512"/>
      <c r="F12" s="546"/>
      <c r="G12" s="545"/>
      <c r="H12" s="546"/>
      <c r="I12" s="556"/>
      <c r="J12" s="509"/>
      <c r="K12" s="509"/>
      <c r="L12" s="547"/>
    </row>
    <row r="13" spans="1:12">
      <c r="A13" s="552">
        <v>2.1</v>
      </c>
      <c r="B13" s="512" t="s">
        <v>3127</v>
      </c>
      <c r="C13" s="554">
        <v>1</v>
      </c>
      <c r="D13" s="555">
        <v>14.4</v>
      </c>
      <c r="E13" s="555">
        <v>0.53</v>
      </c>
      <c r="F13" s="546">
        <f>C13*D13*E13</f>
        <v>7.6320000000000006</v>
      </c>
      <c r="G13" s="545" t="s">
        <v>71</v>
      </c>
      <c r="H13" s="546">
        <v>717</v>
      </c>
      <c r="I13" s="556">
        <f>ROUND(F13*H13,0)</f>
        <v>5472</v>
      </c>
      <c r="J13" s="509"/>
      <c r="K13" s="509"/>
      <c r="L13" s="547" t="s">
        <v>3128</v>
      </c>
    </row>
    <row r="14" spans="1:12" ht="43.2">
      <c r="A14" s="545">
        <v>3</v>
      </c>
      <c r="B14" s="512" t="s">
        <v>3129</v>
      </c>
      <c r="C14" s="512"/>
      <c r="D14" s="512"/>
      <c r="E14" s="512"/>
      <c r="F14" s="546">
        <v>1</v>
      </c>
      <c r="G14" s="545" t="s">
        <v>2619</v>
      </c>
      <c r="H14" s="546">
        <f>ROUND(SUM(I13:I13)*14.19%,0)</f>
        <v>776</v>
      </c>
      <c r="I14" s="556">
        <f>ROUND(SUM(I9:I13)*14.19%,0)</f>
        <v>9456</v>
      </c>
      <c r="J14" s="509"/>
      <c r="K14" s="509">
        <f>ROUND(SUM(K9:K13)*14.19%,0)</f>
        <v>2487</v>
      </c>
      <c r="L14" s="547"/>
    </row>
    <row r="15" spans="1:12" ht="43.2">
      <c r="A15" s="545">
        <v>4</v>
      </c>
      <c r="B15" s="514" t="s">
        <v>3130</v>
      </c>
      <c r="C15" s="514"/>
      <c r="D15" s="514"/>
      <c r="E15" s="514"/>
      <c r="F15" s="546">
        <v>1</v>
      </c>
      <c r="G15" s="545" t="s">
        <v>2619</v>
      </c>
      <c r="H15" s="546">
        <f>ROUND(SUM(I10:I11)*15.99%,0)</f>
        <v>9780</v>
      </c>
      <c r="I15" s="556">
        <f>ROUND(SUM(I8:I13)*15.99%,0)</f>
        <v>10655</v>
      </c>
      <c r="J15" s="509"/>
      <c r="K15" s="509">
        <f>ROUND(SUM(K8:K13)*15.99%,0)</f>
        <v>2802</v>
      </c>
      <c r="L15" s="547"/>
    </row>
    <row r="16" spans="1:12">
      <c r="A16" s="545">
        <v>5</v>
      </c>
      <c r="B16" s="512" t="s">
        <v>3131</v>
      </c>
      <c r="C16" s="512"/>
      <c r="D16" s="512"/>
      <c r="E16" s="512"/>
      <c r="F16" s="546"/>
      <c r="G16" s="545"/>
      <c r="H16" s="546"/>
      <c r="I16" s="557" t="s">
        <v>72</v>
      </c>
      <c r="J16" s="509"/>
      <c r="K16" s="509"/>
      <c r="L16" s="547" t="s">
        <v>3132</v>
      </c>
    </row>
    <row r="17" spans="1:13">
      <c r="A17" s="558"/>
      <c r="B17" s="559"/>
      <c r="C17" s="559"/>
      <c r="D17" s="559"/>
      <c r="E17" s="559"/>
      <c r="F17" s="559"/>
      <c r="G17" s="559"/>
      <c r="H17" s="559"/>
      <c r="I17" s="517"/>
      <c r="J17" s="517"/>
      <c r="K17" s="517"/>
      <c r="L17" s="560"/>
    </row>
    <row r="18" spans="1:13" ht="25.5" customHeight="1">
      <c r="A18" s="561"/>
      <c r="B18" s="520" t="s">
        <v>2632</v>
      </c>
      <c r="C18" s="520"/>
      <c r="D18" s="520"/>
      <c r="E18" s="520"/>
      <c r="F18" s="522"/>
      <c r="G18" s="521"/>
      <c r="H18" s="522"/>
      <c r="I18" s="522">
        <f>SUM(I10:I17)</f>
        <v>86747</v>
      </c>
      <c r="J18" s="522"/>
      <c r="K18" s="522">
        <f>SUM(K9:K17)</f>
        <v>22814</v>
      </c>
      <c r="L18" s="522"/>
      <c r="M18" s="562"/>
    </row>
    <row r="19" spans="1:13">
      <c r="A19" s="563"/>
      <c r="B19" s="526"/>
      <c r="C19" s="526"/>
      <c r="D19" s="526"/>
      <c r="E19" s="526"/>
      <c r="F19" s="526"/>
      <c r="G19" s="526"/>
      <c r="H19" s="526"/>
      <c r="I19" s="527"/>
      <c r="L19" s="527"/>
    </row>
  </sheetData>
  <mergeCells count="1">
    <mergeCell ref="J5:K5"/>
  </mergeCells>
  <pageMargins left="0.7" right="0.7" top="0.75" bottom="0.75" header="0.3" footer="0.3"/>
  <pageSetup paperSize="9" scale="61"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2:M20"/>
  <sheetViews>
    <sheetView showGridLines="0" view="pageBreakPreview" zoomScaleNormal="100" zoomScaleSheetLayoutView="100" workbookViewId="0">
      <selection activeCell="J8" sqref="J8"/>
    </sheetView>
  </sheetViews>
  <sheetFormatPr defaultColWidth="9.109375" defaultRowHeight="13.2"/>
  <cols>
    <col min="1" max="1" width="8.5546875" style="494" customWidth="1"/>
    <col min="2" max="2" width="33.6640625" style="494" customWidth="1"/>
    <col min="3" max="3" width="4.44140625" style="494" hidden="1" customWidth="1"/>
    <col min="4" max="5" width="8.6640625" style="494" hidden="1" customWidth="1"/>
    <col min="6" max="6" width="9.109375" style="494" customWidth="1"/>
    <col min="7" max="7" width="9.109375" style="494"/>
    <col min="8" max="8" width="12.33203125" style="494" customWidth="1"/>
    <col min="9" max="11" width="12.5546875" style="497" customWidth="1"/>
    <col min="12" max="12" width="12.6640625" style="497" customWidth="1"/>
    <col min="13" max="16384" width="9.109375" style="494"/>
  </cols>
  <sheetData>
    <row r="2" spans="1:12" ht="13.8">
      <c r="A2" s="489" t="s">
        <v>2604</v>
      </c>
      <c r="B2" s="963" t="s">
        <v>2605</v>
      </c>
      <c r="C2" s="963"/>
      <c r="D2" s="963"/>
      <c r="E2" s="963"/>
      <c r="F2" s="491"/>
      <c r="G2" s="491"/>
      <c r="H2" s="491"/>
      <c r="I2" s="492"/>
      <c r="J2" s="492"/>
      <c r="K2" s="492"/>
      <c r="L2" s="493"/>
    </row>
    <row r="3" spans="1:12" ht="13.8">
      <c r="A3" s="495" t="s">
        <v>2606</v>
      </c>
      <c r="B3" s="964" t="s">
        <v>3831</v>
      </c>
      <c r="C3" s="964"/>
      <c r="D3" s="964"/>
      <c r="E3" s="964"/>
      <c r="L3" s="498"/>
    </row>
    <row r="4" spans="1:12" ht="13.8">
      <c r="A4" s="495"/>
      <c r="B4" s="964"/>
      <c r="C4" s="964"/>
      <c r="D4" s="964"/>
      <c r="E4" s="964"/>
      <c r="L4" s="498"/>
    </row>
    <row r="5" spans="1:12" ht="13.8">
      <c r="A5" s="965"/>
      <c r="B5" s="500"/>
      <c r="C5" s="500"/>
      <c r="D5" s="500"/>
      <c r="E5" s="500"/>
      <c r="F5" s="500"/>
      <c r="G5" s="500"/>
      <c r="H5" s="500"/>
      <c r="I5" s="501"/>
      <c r="J5" s="1068" t="s">
        <v>3</v>
      </c>
      <c r="K5" s="1070"/>
      <c r="L5" s="502"/>
    </row>
    <row r="6" spans="1:12" ht="39.6">
      <c r="A6" s="566" t="s">
        <v>3832</v>
      </c>
      <c r="B6" s="567" t="s">
        <v>2609</v>
      </c>
      <c r="C6" s="567" t="s">
        <v>3120</v>
      </c>
      <c r="D6" s="567" t="s">
        <v>3833</v>
      </c>
      <c r="E6" s="567" t="s">
        <v>177</v>
      </c>
      <c r="F6" s="566" t="s">
        <v>380</v>
      </c>
      <c r="G6" s="567" t="s">
        <v>41</v>
      </c>
      <c r="H6" s="566" t="s">
        <v>2626</v>
      </c>
      <c r="I6" s="565" t="s">
        <v>2627</v>
      </c>
      <c r="J6" s="566" t="s">
        <v>380</v>
      </c>
      <c r="K6" s="565" t="s">
        <v>2627</v>
      </c>
      <c r="L6" s="568" t="s">
        <v>43</v>
      </c>
    </row>
    <row r="7" spans="1:12">
      <c r="A7" s="503"/>
      <c r="B7" s="504"/>
      <c r="C7" s="504"/>
      <c r="D7" s="504"/>
      <c r="E7" s="504"/>
      <c r="F7" s="504"/>
      <c r="G7" s="504"/>
      <c r="H7" s="504"/>
      <c r="I7" s="505"/>
      <c r="J7" s="505"/>
      <c r="K7" s="505"/>
      <c r="L7" s="505"/>
    </row>
    <row r="8" spans="1:12" ht="39.6">
      <c r="A8" s="966">
        <v>1</v>
      </c>
      <c r="B8" s="967" t="s">
        <v>3834</v>
      </c>
      <c r="C8" s="968"/>
      <c r="D8" s="968"/>
      <c r="E8" s="968"/>
      <c r="F8" s="508">
        <v>1</v>
      </c>
      <c r="G8" s="506" t="s">
        <v>2619</v>
      </c>
      <c r="H8" s="969">
        <v>6900</v>
      </c>
      <c r="I8" s="513">
        <f>ROUND(F8*H8,0)</f>
        <v>6900</v>
      </c>
      <c r="J8" s="989">
        <v>1</v>
      </c>
      <c r="K8" s="971">
        <f>J8*H8</f>
        <v>6900</v>
      </c>
      <c r="L8" s="958"/>
    </row>
    <row r="9" spans="1:12">
      <c r="A9" s="966"/>
      <c r="B9" s="967"/>
      <c r="C9" s="968"/>
      <c r="D9" s="968"/>
      <c r="E9" s="968"/>
      <c r="F9" s="970"/>
      <c r="G9" s="705"/>
      <c r="H9" s="970"/>
      <c r="I9" s="971"/>
      <c r="J9" s="989"/>
      <c r="K9" s="971"/>
      <c r="L9" s="958"/>
    </row>
    <row r="10" spans="1:12" ht="26.4">
      <c r="A10" s="506">
        <v>2</v>
      </c>
      <c r="B10" s="967" t="s">
        <v>3835</v>
      </c>
      <c r="C10" s="967"/>
      <c r="D10" s="967"/>
      <c r="E10" s="967"/>
      <c r="F10" s="508"/>
      <c r="G10" s="506"/>
      <c r="H10" s="508"/>
      <c r="I10" s="509"/>
      <c r="J10" s="990"/>
      <c r="K10" s="509"/>
      <c r="L10" s="509"/>
    </row>
    <row r="11" spans="1:12">
      <c r="A11" s="936" t="s">
        <v>3836</v>
      </c>
      <c r="B11" s="972" t="s">
        <v>3837</v>
      </c>
      <c r="C11" s="973"/>
      <c r="D11" s="974"/>
      <c r="E11" s="974"/>
      <c r="F11" s="508">
        <v>0.5</v>
      </c>
      <c r="G11" s="506" t="s">
        <v>2317</v>
      </c>
      <c r="H11" s="508">
        <v>4795</v>
      </c>
      <c r="I11" s="513">
        <f>ROUND(F11*H11,0)</f>
        <v>2398</v>
      </c>
      <c r="J11" s="989">
        <v>0.5</v>
      </c>
      <c r="K11" s="971">
        <f>ROUND(J11*H11,0)</f>
        <v>2398</v>
      </c>
      <c r="L11" s="1092" t="s">
        <v>3838</v>
      </c>
    </row>
    <row r="12" spans="1:12">
      <c r="A12" s="936" t="s">
        <v>3839</v>
      </c>
      <c r="B12" s="972" t="s">
        <v>3840</v>
      </c>
      <c r="C12" s="973"/>
      <c r="D12" s="974"/>
      <c r="E12" s="974"/>
      <c r="F12" s="508">
        <v>0.5</v>
      </c>
      <c r="G12" s="506" t="s">
        <v>2317</v>
      </c>
      <c r="H12" s="508">
        <v>4795</v>
      </c>
      <c r="I12" s="513">
        <f>ROUND(F12*H12,0)</f>
        <v>2398</v>
      </c>
      <c r="J12" s="989">
        <v>0.5</v>
      </c>
      <c r="K12" s="971">
        <f>ROUND(J12*H12,0)</f>
        <v>2398</v>
      </c>
      <c r="L12" s="1093"/>
    </row>
    <row r="13" spans="1:12">
      <c r="A13" s="936" t="s">
        <v>3841</v>
      </c>
      <c r="B13" s="972" t="s">
        <v>3842</v>
      </c>
      <c r="C13" s="973"/>
      <c r="D13" s="974"/>
      <c r="E13" s="974"/>
      <c r="F13" s="508">
        <v>0.5</v>
      </c>
      <c r="G13" s="506" t="s">
        <v>2317</v>
      </c>
      <c r="H13" s="508">
        <v>4795</v>
      </c>
      <c r="I13" s="513">
        <f>ROUND(F13*H13,0)</f>
        <v>2398</v>
      </c>
      <c r="J13" s="989">
        <v>0.5</v>
      </c>
      <c r="K13" s="971">
        <f>ROUND(J13*H13,0)</f>
        <v>2398</v>
      </c>
      <c r="L13" s="1093"/>
    </row>
    <row r="14" spans="1:12">
      <c r="A14" s="936" t="s">
        <v>3843</v>
      </c>
      <c r="B14" s="972" t="s">
        <v>3844</v>
      </c>
      <c r="C14" s="973"/>
      <c r="D14" s="974"/>
      <c r="E14" s="974"/>
      <c r="F14" s="508">
        <v>0.5</v>
      </c>
      <c r="G14" s="506" t="s">
        <v>2317</v>
      </c>
      <c r="H14" s="508">
        <v>4795</v>
      </c>
      <c r="I14" s="513">
        <f>ROUND(F14*H14,0)</f>
        <v>2398</v>
      </c>
      <c r="J14" s="989">
        <v>0.5</v>
      </c>
      <c r="K14" s="971">
        <f>ROUND(J14*H14,0)</f>
        <v>2398</v>
      </c>
      <c r="L14" s="1093"/>
    </row>
    <row r="15" spans="1:12">
      <c r="A15" s="936" t="s">
        <v>3845</v>
      </c>
      <c r="B15" s="972" t="s">
        <v>3846</v>
      </c>
      <c r="C15" s="973"/>
      <c r="D15" s="974"/>
      <c r="E15" s="974"/>
      <c r="F15" s="508">
        <v>0.5</v>
      </c>
      <c r="G15" s="506" t="s">
        <v>2317</v>
      </c>
      <c r="H15" s="508">
        <v>4795</v>
      </c>
      <c r="I15" s="513">
        <f>ROUND(F15*H15,0)</f>
        <v>2398</v>
      </c>
      <c r="J15" s="989">
        <v>0.5</v>
      </c>
      <c r="K15" s="971">
        <f>ROUND(J15*H15,0)</f>
        <v>2398</v>
      </c>
      <c r="L15" s="1094"/>
    </row>
    <row r="16" spans="1:12">
      <c r="A16" s="936"/>
      <c r="B16" s="972"/>
      <c r="C16" s="973"/>
      <c r="D16" s="974"/>
      <c r="E16" s="974"/>
      <c r="F16" s="508"/>
      <c r="G16" s="506"/>
      <c r="H16" s="508"/>
      <c r="I16" s="513"/>
      <c r="J16" s="988"/>
      <c r="K16" s="513"/>
      <c r="L16" s="509"/>
    </row>
    <row r="17" spans="1:13" ht="39.6">
      <c r="A17" s="936" t="s">
        <v>3839</v>
      </c>
      <c r="B17" s="975" t="s">
        <v>3130</v>
      </c>
      <c r="C17" s="975"/>
      <c r="D17" s="975"/>
      <c r="E17" s="975"/>
      <c r="F17" s="508">
        <v>1</v>
      </c>
      <c r="G17" s="506" t="s">
        <v>2619</v>
      </c>
      <c r="H17" s="508">
        <f>ROUND(SUM(I8:I16)*15.99%,0)</f>
        <v>3021</v>
      </c>
      <c r="I17" s="513">
        <f>ROUND(SUM(I8:I16)*15.99%,0)</f>
        <v>3021</v>
      </c>
      <c r="J17" s="988">
        <v>1</v>
      </c>
      <c r="K17" s="971">
        <f>J17*H17</f>
        <v>3021</v>
      </c>
      <c r="L17" s="509"/>
    </row>
    <row r="18" spans="1:13">
      <c r="A18" s="515"/>
      <c r="B18" s="516"/>
      <c r="C18" s="516"/>
      <c r="D18" s="516"/>
      <c r="E18" s="516"/>
      <c r="F18" s="516"/>
      <c r="G18" s="516"/>
      <c r="H18" s="516"/>
      <c r="I18" s="976"/>
      <c r="J18" s="976"/>
      <c r="K18" s="976"/>
      <c r="L18" s="977"/>
    </row>
    <row r="19" spans="1:13" ht="25.5" customHeight="1">
      <c r="A19" s="519"/>
      <c r="B19" s="978" t="s">
        <v>2632</v>
      </c>
      <c r="C19" s="978"/>
      <c r="D19" s="978"/>
      <c r="E19" s="978"/>
      <c r="F19" s="979"/>
      <c r="G19" s="980"/>
      <c r="H19" s="979"/>
      <c r="I19" s="979">
        <f>SUM(I7:I17)</f>
        <v>21911</v>
      </c>
      <c r="J19" s="982">
        <f>K19/I19</f>
        <v>1</v>
      </c>
      <c r="K19" s="979">
        <f>SUM(K7:K17)</f>
        <v>21911</v>
      </c>
      <c r="L19" s="981"/>
      <c r="M19" s="661"/>
    </row>
    <row r="20" spans="1:13">
      <c r="A20" s="491"/>
      <c r="B20" s="491"/>
      <c r="C20" s="491"/>
      <c r="D20" s="491"/>
      <c r="E20" s="491"/>
      <c r="F20" s="491"/>
      <c r="G20" s="491"/>
      <c r="H20" s="491"/>
      <c r="I20" s="492"/>
      <c r="J20" s="492"/>
      <c r="K20" s="492"/>
      <c r="L20" s="492"/>
    </row>
  </sheetData>
  <mergeCells count="2">
    <mergeCell ref="L11:L15"/>
    <mergeCell ref="J5:K5"/>
  </mergeCells>
  <pageMargins left="0.7" right="0.7" top="0.75" bottom="0.75" header="0.3" footer="0.3"/>
  <pageSetup paperSize="9" scale="71"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2:O21"/>
  <sheetViews>
    <sheetView showGridLines="0" view="pageBreakPreview" zoomScale="90" zoomScaleNormal="100" zoomScaleSheetLayoutView="90" workbookViewId="0">
      <selection activeCell="G18" sqref="G18"/>
    </sheetView>
  </sheetViews>
  <sheetFormatPr defaultColWidth="9.109375" defaultRowHeight="13.2"/>
  <cols>
    <col min="1" max="1" width="8.5546875" style="494" customWidth="1"/>
    <col min="2" max="2" width="28.88671875" style="494" customWidth="1"/>
    <col min="3" max="3" width="9.109375" style="494"/>
    <col min="4" max="4" width="9.109375" style="494" customWidth="1"/>
    <col min="5" max="5" width="12.33203125" style="494" customWidth="1"/>
    <col min="6" max="8" width="12.5546875" style="497" customWidth="1"/>
    <col min="9" max="9" width="17.44140625" style="497" customWidth="1"/>
    <col min="10" max="10" width="1.6640625" style="494" customWidth="1"/>
    <col min="11" max="15" width="9.109375" style="494"/>
    <col min="16" max="16" width="14" style="494" customWidth="1"/>
    <col min="17" max="16384" width="9.109375" style="494"/>
  </cols>
  <sheetData>
    <row r="2" spans="1:9" ht="14.4">
      <c r="A2" s="489" t="s">
        <v>2604</v>
      </c>
      <c r="B2" s="490" t="s">
        <v>3821</v>
      </c>
      <c r="C2" s="491"/>
      <c r="D2" s="491"/>
      <c r="E2" s="491"/>
      <c r="F2" s="492"/>
      <c r="G2" s="492"/>
      <c r="H2" s="492"/>
      <c r="I2" s="493"/>
    </row>
    <row r="3" spans="1:9" ht="14.4">
      <c r="A3" s="495" t="s">
        <v>2606</v>
      </c>
      <c r="B3" s="496" t="s">
        <v>3822</v>
      </c>
      <c r="I3" s="498"/>
    </row>
    <row r="4" spans="1:9" ht="14.4">
      <c r="A4" s="495"/>
      <c r="B4" s="496"/>
      <c r="G4" s="1068" t="s">
        <v>3</v>
      </c>
      <c r="H4" s="1070"/>
      <c r="I4" s="498"/>
    </row>
    <row r="5" spans="1:9" ht="39.6">
      <c r="A5" s="567" t="s">
        <v>2608</v>
      </c>
      <c r="B5" s="567" t="s">
        <v>2609</v>
      </c>
      <c r="C5" s="567" t="s">
        <v>41</v>
      </c>
      <c r="D5" s="566" t="s">
        <v>380</v>
      </c>
      <c r="E5" s="566" t="s">
        <v>2626</v>
      </c>
      <c r="F5" s="565" t="s">
        <v>2627</v>
      </c>
      <c r="G5" s="566" t="s">
        <v>380</v>
      </c>
      <c r="H5" s="565" t="s">
        <v>2627</v>
      </c>
      <c r="I5" s="568" t="s">
        <v>43</v>
      </c>
    </row>
    <row r="6" spans="1:9">
      <c r="A6" s="503"/>
      <c r="B6" s="504"/>
      <c r="C6" s="504"/>
      <c r="D6" s="504"/>
      <c r="E6" s="504"/>
      <c r="F6" s="505"/>
      <c r="G6" s="505"/>
      <c r="H6" s="505"/>
      <c r="I6" s="505"/>
    </row>
    <row r="7" spans="1:9" ht="28.8">
      <c r="A7" s="506">
        <v>1</v>
      </c>
      <c r="B7" s="507" t="s">
        <v>3823</v>
      </c>
      <c r="C7" s="506"/>
      <c r="D7" s="508"/>
      <c r="E7" s="508"/>
      <c r="F7" s="509"/>
      <c r="G7" s="509"/>
      <c r="H7" s="509"/>
      <c r="I7" s="510"/>
    </row>
    <row r="8" spans="1:9" ht="14.4">
      <c r="A8" s="511">
        <v>1.1000000000000001</v>
      </c>
      <c r="B8" s="512" t="s">
        <v>3824</v>
      </c>
      <c r="C8" s="506" t="s">
        <v>71</v>
      </c>
      <c r="D8" s="508">
        <f>SUM(D9:D10)</f>
        <v>84.7</v>
      </c>
      <c r="E8" s="508">
        <v>598</v>
      </c>
      <c r="F8" s="509">
        <f>ROUND(D8*E8,0)</f>
        <v>50651</v>
      </c>
      <c r="G8" s="990">
        <v>6</v>
      </c>
      <c r="H8" s="509">
        <f>ROUND(E8*G8,0)</f>
        <v>3588</v>
      </c>
      <c r="I8" s="510"/>
    </row>
    <row r="9" spans="1:9" ht="14.4">
      <c r="A9" s="511"/>
      <c r="B9" s="956" t="s">
        <v>3825</v>
      </c>
      <c r="C9" s="506"/>
      <c r="D9" s="957">
        <v>6</v>
      </c>
      <c r="E9" s="508"/>
      <c r="F9" s="509"/>
      <c r="G9" s="509"/>
      <c r="H9" s="509"/>
      <c r="I9" s="510"/>
    </row>
    <row r="10" spans="1:9" ht="14.4">
      <c r="A10" s="511"/>
      <c r="B10" s="956" t="s">
        <v>3826</v>
      </c>
      <c r="C10" s="506"/>
      <c r="D10" s="957">
        <v>78.7</v>
      </c>
      <c r="E10" s="508"/>
      <c r="F10" s="509"/>
      <c r="G10" s="509"/>
      <c r="H10" s="509"/>
      <c r="I10" s="510"/>
    </row>
    <row r="11" spans="1:9" ht="14.4">
      <c r="A11" s="511"/>
      <c r="B11" s="512"/>
      <c r="C11" s="506"/>
      <c r="D11" s="508"/>
      <c r="E11" s="508"/>
      <c r="F11" s="509"/>
      <c r="G11" s="509"/>
      <c r="H11" s="509"/>
      <c r="I11" s="510"/>
    </row>
    <row r="12" spans="1:9" ht="57.6">
      <c r="A12" s="506">
        <v>2</v>
      </c>
      <c r="B12" s="512" t="s">
        <v>3827</v>
      </c>
      <c r="C12" s="506" t="s">
        <v>2619</v>
      </c>
      <c r="D12" s="508">
        <v>1</v>
      </c>
      <c r="E12" s="508">
        <f>SUM(F8:F11)*15.6%</f>
        <v>7901.5559999999996</v>
      </c>
      <c r="F12" s="509">
        <f>ROUND(D12*E12,0)</f>
        <v>7902</v>
      </c>
      <c r="G12" s="509"/>
      <c r="H12" s="508">
        <f>ROUND(SUM(H8:H11)*15.6%,0)</f>
        <v>560</v>
      </c>
      <c r="I12" s="510"/>
    </row>
    <row r="13" spans="1:9" ht="14.4">
      <c r="A13" s="511"/>
      <c r="B13" s="514"/>
      <c r="C13" s="506"/>
      <c r="D13" s="508"/>
      <c r="E13" s="508"/>
      <c r="F13" s="509"/>
      <c r="G13" s="509"/>
      <c r="H13" s="509"/>
      <c r="I13" s="510"/>
    </row>
    <row r="14" spans="1:9" ht="14.4">
      <c r="A14" s="511"/>
      <c r="B14" s="514" t="s">
        <v>3828</v>
      </c>
      <c r="C14" s="506"/>
      <c r="D14" s="508"/>
      <c r="E14" s="508"/>
      <c r="F14" s="938" t="s">
        <v>72</v>
      </c>
      <c r="G14" s="961"/>
      <c r="H14" s="961"/>
      <c r="I14" s="958" t="s">
        <v>3829</v>
      </c>
    </row>
    <row r="15" spans="1:9" ht="14.4">
      <c r="A15" s="511"/>
      <c r="B15" s="514"/>
      <c r="C15" s="506"/>
      <c r="D15" s="508"/>
      <c r="E15" s="508"/>
      <c r="F15" s="509"/>
      <c r="G15" s="509"/>
      <c r="H15" s="509"/>
      <c r="I15" s="510"/>
    </row>
    <row r="16" spans="1:9" ht="43.2">
      <c r="A16" s="506"/>
      <c r="B16" s="514" t="s">
        <v>3830</v>
      </c>
      <c r="C16" s="506"/>
      <c r="D16" s="508"/>
      <c r="E16" s="508"/>
      <c r="F16" s="938" t="s">
        <v>72</v>
      </c>
      <c r="G16" s="961"/>
      <c r="H16" s="961"/>
      <c r="I16" s="958"/>
    </row>
    <row r="17" spans="1:15" ht="14.4">
      <c r="A17" s="515"/>
      <c r="B17" s="516"/>
      <c r="C17" s="516"/>
      <c r="D17" s="516"/>
      <c r="E17" s="516"/>
      <c r="F17" s="517"/>
      <c r="G17" s="517"/>
      <c r="H17" s="517"/>
      <c r="I17" s="518"/>
    </row>
    <row r="18" spans="1:15" ht="25.5" customHeight="1">
      <c r="A18" s="519"/>
      <c r="B18" s="520" t="s">
        <v>2632</v>
      </c>
      <c r="C18" s="521"/>
      <c r="D18" s="522"/>
      <c r="E18" s="522"/>
      <c r="F18" s="522">
        <f>SUM(F7:F17)</f>
        <v>58553</v>
      </c>
      <c r="G18" s="962">
        <f>H18/F18</f>
        <v>7.0841801444844837E-2</v>
      </c>
      <c r="H18" s="522">
        <f>SUM(H7:H17)</f>
        <v>4148</v>
      </c>
      <c r="I18" s="522"/>
      <c r="J18" s="661"/>
      <c r="K18" s="661"/>
      <c r="L18" s="661"/>
      <c r="M18" s="661"/>
      <c r="N18" s="661"/>
      <c r="O18" s="661"/>
    </row>
    <row r="19" spans="1:15">
      <c r="A19" s="491"/>
      <c r="B19" s="491"/>
      <c r="C19" s="491"/>
      <c r="D19" s="491"/>
      <c r="E19" s="491"/>
      <c r="F19" s="492"/>
      <c r="G19" s="492"/>
      <c r="H19" s="492"/>
      <c r="I19" s="492"/>
    </row>
    <row r="20" spans="1:15">
      <c r="A20" s="959"/>
      <c r="B20" s="1095"/>
      <c r="C20" s="1095"/>
      <c r="D20" s="1095"/>
      <c r="E20" s="1095"/>
      <c r="F20" s="1095"/>
      <c r="G20" s="1095"/>
      <c r="H20" s="1095"/>
      <c r="I20" s="1095"/>
    </row>
    <row r="21" spans="1:15">
      <c r="B21" s="960"/>
    </row>
  </sheetData>
  <mergeCells count="2">
    <mergeCell ref="B20:I20"/>
    <mergeCell ref="G4:H4"/>
  </mergeCells>
  <pageMargins left="0.7" right="0.7" top="0.75" bottom="0.75" header="0.3" footer="0.3"/>
  <pageSetup paperSize="9" scale="72"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1:AQ146"/>
  <sheetViews>
    <sheetView showGridLines="0" view="pageBreakPreview" topLeftCell="A63" zoomScale="80" zoomScaleNormal="75" zoomScaleSheetLayoutView="80" workbookViewId="0">
      <selection activeCell="T78" sqref="T78"/>
    </sheetView>
  </sheetViews>
  <sheetFormatPr defaultColWidth="9.109375" defaultRowHeight="13.2" outlineLevelRow="1" outlineLevelCol="1"/>
  <cols>
    <col min="1" max="1" width="11.6640625" style="661" customWidth="1"/>
    <col min="2" max="2" width="7.6640625" style="661" customWidth="1"/>
    <col min="3" max="3" width="47.6640625" style="661" customWidth="1"/>
    <col min="4" max="5" width="9.33203125" style="668" hidden="1" customWidth="1" outlineLevel="1"/>
    <col min="6" max="6" width="13.6640625" style="668" hidden="1" customWidth="1" outlineLevel="1"/>
    <col min="7" max="10" width="18.6640625" style="668" hidden="1" customWidth="1" outlineLevel="1"/>
    <col min="11" max="11" width="9.44140625" style="668" customWidth="1" collapsed="1"/>
    <col min="12" max="12" width="9.44140625" style="668" customWidth="1"/>
    <col min="13" max="13" width="15.6640625" style="668" customWidth="1"/>
    <col min="14" max="14" width="14.44140625" style="665" customWidth="1"/>
    <col min="15" max="15" width="10.6640625" style="661" customWidth="1"/>
    <col min="16" max="16" width="14.44140625" style="661" customWidth="1"/>
    <col min="17" max="17" width="13.109375" style="661" bestFit="1" customWidth="1"/>
    <col min="18" max="18" width="9.109375" style="661"/>
    <col min="19" max="43" width="9.109375" style="668"/>
    <col min="44" max="16384" width="9.109375" style="661"/>
  </cols>
  <sheetData>
    <row r="1" spans="1:22" ht="15.6">
      <c r="A1" s="1019" t="s">
        <v>17</v>
      </c>
      <c r="B1" s="1019"/>
      <c r="C1" s="663" t="s">
        <v>3486</v>
      </c>
      <c r="D1" s="663"/>
      <c r="E1" s="663"/>
      <c r="F1" s="664"/>
      <c r="G1" s="664"/>
      <c r="H1" s="664"/>
      <c r="I1" s="664"/>
      <c r="J1" s="664"/>
      <c r="K1" s="664"/>
      <c r="L1" s="664"/>
      <c r="M1" s="664"/>
      <c r="O1" s="666"/>
      <c r="P1" s="667"/>
    </row>
    <row r="2" spans="1:22" ht="15.6">
      <c r="A2" s="1019" t="s">
        <v>18</v>
      </c>
      <c r="B2" s="1019"/>
      <c r="C2" s="1020" t="s">
        <v>31</v>
      </c>
      <c r="D2" s="1020"/>
      <c r="E2" s="1020"/>
      <c r="F2" s="661"/>
      <c r="G2" s="661"/>
      <c r="H2" s="661"/>
      <c r="I2" s="661"/>
      <c r="J2" s="661"/>
      <c r="K2" s="661"/>
      <c r="L2" s="661"/>
      <c r="M2" s="661"/>
      <c r="O2" s="666" t="e">
        <f>#REF!</f>
        <v>#REF!</v>
      </c>
      <c r="P2" s="667" t="e">
        <f>#REF!</f>
        <v>#REF!</v>
      </c>
    </row>
    <row r="3" spans="1:22" ht="15.6">
      <c r="A3" s="1019" t="s">
        <v>19</v>
      </c>
      <c r="B3" s="1019"/>
      <c r="C3" s="1020" t="s">
        <v>20</v>
      </c>
      <c r="D3" s="1020"/>
      <c r="E3" s="1020"/>
      <c r="F3" s="661"/>
      <c r="G3" s="661"/>
      <c r="H3" s="661"/>
      <c r="I3" s="661"/>
      <c r="J3" s="661"/>
      <c r="K3" s="661"/>
      <c r="L3" s="661"/>
      <c r="M3" s="661"/>
      <c r="P3" s="669" t="e">
        <f>#REF!</f>
        <v>#REF!</v>
      </c>
    </row>
    <row r="4" spans="1:22" ht="15.6">
      <c r="A4" s="661" t="s">
        <v>21</v>
      </c>
      <c r="C4" s="663" t="s">
        <v>3487</v>
      </c>
      <c r="D4" s="670"/>
      <c r="E4" s="663"/>
      <c r="F4" s="664"/>
      <c r="G4" s="664"/>
      <c r="H4" s="664"/>
      <c r="I4" s="664"/>
      <c r="J4" s="664"/>
      <c r="K4" s="664"/>
      <c r="L4" s="664"/>
      <c r="M4" s="664"/>
      <c r="N4" s="671"/>
      <c r="O4" s="664"/>
      <c r="P4" s="664"/>
      <c r="Q4" s="664"/>
      <c r="R4" s="664"/>
      <c r="S4" s="672"/>
      <c r="T4" s="672"/>
      <c r="U4" s="672"/>
      <c r="V4" s="672"/>
    </row>
    <row r="5" spans="1:22" ht="24.9" customHeight="1">
      <c r="O5" s="1016" t="s">
        <v>3</v>
      </c>
      <c r="P5" s="1017"/>
    </row>
    <row r="6" spans="1:22" ht="31.2">
      <c r="A6" s="673" t="s">
        <v>3488</v>
      </c>
      <c r="B6" s="674" t="s">
        <v>0</v>
      </c>
      <c r="C6" s="675" t="s">
        <v>10</v>
      </c>
      <c r="D6" s="674" t="s">
        <v>22</v>
      </c>
      <c r="E6" s="674" t="s">
        <v>11</v>
      </c>
      <c r="F6" s="674" t="s">
        <v>23</v>
      </c>
      <c r="G6" s="676" t="s">
        <v>24</v>
      </c>
      <c r="H6" s="673" t="s">
        <v>3489</v>
      </c>
      <c r="I6" s="673" t="s">
        <v>3490</v>
      </c>
      <c r="J6" s="673" t="s">
        <v>3491</v>
      </c>
      <c r="K6" s="674" t="s">
        <v>22</v>
      </c>
      <c r="L6" s="674" t="s">
        <v>11</v>
      </c>
      <c r="M6" s="674" t="s">
        <v>23</v>
      </c>
      <c r="N6" s="676" t="s">
        <v>24</v>
      </c>
      <c r="O6" s="677" t="s">
        <v>30</v>
      </c>
      <c r="P6" s="677" t="s">
        <v>2</v>
      </c>
    </row>
    <row r="7" spans="1:22" ht="9.9" customHeight="1">
      <c r="A7" s="678"/>
      <c r="B7" s="678"/>
      <c r="C7" s="678"/>
      <c r="D7" s="503"/>
      <c r="E7" s="503"/>
      <c r="F7" s="679"/>
      <c r="G7" s="679"/>
      <c r="H7" s="679"/>
      <c r="I7" s="679"/>
      <c r="J7" s="679"/>
      <c r="K7" s="679"/>
      <c r="L7" s="679"/>
      <c r="M7" s="679"/>
      <c r="N7" s="679"/>
      <c r="O7" s="680"/>
      <c r="P7" s="681"/>
    </row>
    <row r="8" spans="1:22" s="668" customFormat="1" ht="20.100000000000001" customHeight="1">
      <c r="A8" s="682">
        <v>1</v>
      </c>
      <c r="B8" s="682"/>
      <c r="C8" s="683" t="s">
        <v>55</v>
      </c>
      <c r="D8" s="506"/>
      <c r="E8" s="506"/>
      <c r="F8" s="684"/>
      <c r="G8" s="685">
        <f>SUM(G9:G32)</f>
        <v>12180830</v>
      </c>
      <c r="H8" s="685">
        <f>SUM(H9:H32)</f>
        <v>11203481</v>
      </c>
      <c r="I8" s="685">
        <f>SUM(I9:I32)</f>
        <v>281000</v>
      </c>
      <c r="J8" s="685">
        <f>SUM(J9:J32)</f>
        <v>235882</v>
      </c>
      <c r="K8" s="685"/>
      <c r="L8" s="685"/>
      <c r="M8" s="685"/>
      <c r="N8" s="686">
        <f>SUM(N12:N32,N37,N39,N44,N47,N49)</f>
        <v>995641</v>
      </c>
      <c r="O8" s="687"/>
      <c r="P8" s="688">
        <f>SUM(P12:P32,P37,P39,P44,P47,P49)</f>
        <v>149025</v>
      </c>
      <c r="Q8" s="661"/>
      <c r="R8" s="661"/>
    </row>
    <row r="9" spans="1:22" ht="66">
      <c r="A9" s="689"/>
      <c r="B9" s="506"/>
      <c r="C9" s="690" t="s">
        <v>62</v>
      </c>
      <c r="D9" s="506"/>
      <c r="E9" s="506"/>
      <c r="F9" s="684"/>
      <c r="G9" s="684"/>
      <c r="H9" s="684"/>
      <c r="I9" s="684"/>
      <c r="J9" s="684"/>
      <c r="K9" s="684"/>
      <c r="L9" s="684"/>
      <c r="M9" s="684"/>
      <c r="N9" s="684"/>
      <c r="O9" s="687"/>
      <c r="P9" s="691"/>
    </row>
    <row r="10" spans="1:22">
      <c r="A10" s="689"/>
      <c r="B10" s="506"/>
      <c r="C10" s="692"/>
      <c r="D10" s="506"/>
      <c r="E10" s="506"/>
      <c r="F10" s="684"/>
      <c r="G10" s="684"/>
      <c r="H10" s="684"/>
      <c r="I10" s="684"/>
      <c r="J10" s="684"/>
      <c r="K10" s="684"/>
      <c r="L10" s="684"/>
      <c r="M10" s="684"/>
      <c r="N10" s="684"/>
      <c r="O10" s="687"/>
      <c r="P10" s="691"/>
    </row>
    <row r="11" spans="1:22">
      <c r="A11" s="689"/>
      <c r="B11" s="506"/>
      <c r="C11" s="692" t="s">
        <v>57</v>
      </c>
      <c r="D11" s="506"/>
      <c r="E11" s="506"/>
      <c r="F11" s="684"/>
      <c r="G11" s="684"/>
      <c r="H11" s="684"/>
      <c r="I11" s="684"/>
      <c r="J11" s="684"/>
      <c r="K11" s="684"/>
      <c r="L11" s="684"/>
      <c r="M11" s="684"/>
      <c r="N11" s="684"/>
      <c r="O11" s="687"/>
      <c r="P11" s="691"/>
    </row>
    <row r="12" spans="1:22">
      <c r="A12" s="689"/>
      <c r="B12" s="506" t="s">
        <v>56</v>
      </c>
      <c r="C12" s="693" t="s">
        <v>63</v>
      </c>
      <c r="D12" s="506">
        <v>584</v>
      </c>
      <c r="E12" s="506" t="s">
        <v>73</v>
      </c>
      <c r="F12" s="684">
        <v>2380</v>
      </c>
      <c r="G12" s="684">
        <f>D12*F12</f>
        <v>1389920</v>
      </c>
      <c r="H12" s="684">
        <v>1262325</v>
      </c>
      <c r="I12" s="684">
        <f>ROUND(33165.902616,-3)</f>
        <v>33000</v>
      </c>
      <c r="J12" s="684">
        <f>ROUNDDOWN(33139.5,0)</f>
        <v>33139</v>
      </c>
      <c r="K12" s="506">
        <v>1</v>
      </c>
      <c r="L12" s="694" t="s">
        <v>2619</v>
      </c>
      <c r="M12" s="684">
        <v>61456</v>
      </c>
      <c r="N12" s="684">
        <f>G12-H12-I12-J12</f>
        <v>61456</v>
      </c>
      <c r="O12" s="695">
        <f>'Res &amp; Hotel - 800mm(Qty)'!R280</f>
        <v>0.37195040214477215</v>
      </c>
      <c r="P12" s="691">
        <f>ROUND(N12*O12,0)</f>
        <v>22859</v>
      </c>
    </row>
    <row r="13" spans="1:22">
      <c r="A13" s="689"/>
      <c r="B13" s="506" t="s">
        <v>7</v>
      </c>
      <c r="C13" s="693" t="s">
        <v>64</v>
      </c>
      <c r="D13" s="506"/>
      <c r="E13" s="506"/>
      <c r="F13" s="684"/>
      <c r="G13" s="684"/>
      <c r="H13" s="684"/>
      <c r="I13" s="684"/>
      <c r="J13" s="684"/>
      <c r="K13" s="684"/>
      <c r="L13" s="684"/>
      <c r="M13" s="684"/>
      <c r="N13" s="684"/>
      <c r="O13" s="687"/>
      <c r="P13" s="691"/>
    </row>
    <row r="14" spans="1:22">
      <c r="A14" s="689"/>
      <c r="B14" s="506"/>
      <c r="C14" s="692"/>
      <c r="D14" s="506"/>
      <c r="E14" s="506"/>
      <c r="F14" s="684"/>
      <c r="G14" s="684"/>
      <c r="H14" s="684"/>
      <c r="I14" s="684"/>
      <c r="J14" s="684"/>
      <c r="K14" s="684"/>
      <c r="L14" s="684"/>
      <c r="M14" s="684"/>
      <c r="N14" s="684"/>
      <c r="O14" s="687"/>
      <c r="P14" s="691"/>
    </row>
    <row r="15" spans="1:22">
      <c r="A15" s="689"/>
      <c r="B15" s="506"/>
      <c r="C15" s="692" t="s">
        <v>65</v>
      </c>
      <c r="D15" s="506"/>
      <c r="E15" s="506"/>
      <c r="F15" s="684"/>
      <c r="G15" s="684"/>
      <c r="H15" s="684"/>
      <c r="I15" s="684"/>
      <c r="J15" s="684"/>
      <c r="K15" s="684"/>
      <c r="L15" s="684"/>
      <c r="M15" s="684"/>
      <c r="N15" s="684"/>
      <c r="O15" s="687"/>
      <c r="P15" s="691"/>
    </row>
    <row r="16" spans="1:22">
      <c r="A16" s="689"/>
      <c r="B16" s="506" t="s">
        <v>4</v>
      </c>
      <c r="C16" s="693" t="s">
        <v>63</v>
      </c>
      <c r="D16" s="506">
        <v>530</v>
      </c>
      <c r="E16" s="506" t="s">
        <v>73</v>
      </c>
      <c r="F16" s="684">
        <v>2380</v>
      </c>
      <c r="G16" s="684">
        <f>D16*F16</f>
        <v>1261400</v>
      </c>
      <c r="H16" s="684">
        <v>1072282</v>
      </c>
      <c r="I16" s="684">
        <f>ROUND(68858.16,-3)</f>
        <v>69000</v>
      </c>
      <c r="J16" s="684"/>
      <c r="K16" s="506">
        <v>1</v>
      </c>
      <c r="L16" s="694" t="s">
        <v>2619</v>
      </c>
      <c r="M16" s="684">
        <v>120118</v>
      </c>
      <c r="N16" s="684">
        <f>G16-H16-I16-J16</f>
        <v>120118</v>
      </c>
      <c r="O16" s="695">
        <f>'Res &amp; Hotel - 800mm(Qty)'!R281</f>
        <v>0</v>
      </c>
      <c r="P16" s="691">
        <f>ROUND(N16*O16,0)</f>
        <v>0</v>
      </c>
    </row>
    <row r="17" spans="1:16">
      <c r="A17" s="689"/>
      <c r="B17" s="506" t="s">
        <v>5</v>
      </c>
      <c r="C17" s="693" t="s">
        <v>64</v>
      </c>
      <c r="D17" s="506"/>
      <c r="E17" s="506"/>
      <c r="F17" s="684"/>
      <c r="G17" s="684"/>
      <c r="H17" s="684"/>
      <c r="I17" s="684"/>
      <c r="J17" s="684"/>
      <c r="K17" s="684"/>
      <c r="L17" s="684"/>
      <c r="M17" s="684"/>
      <c r="N17" s="684"/>
      <c r="O17" s="687"/>
      <c r="P17" s="691"/>
    </row>
    <row r="18" spans="1:16">
      <c r="A18" s="689"/>
      <c r="B18" s="506"/>
      <c r="C18" s="692"/>
      <c r="D18" s="506"/>
      <c r="E18" s="506"/>
      <c r="F18" s="684"/>
      <c r="G18" s="684"/>
      <c r="H18" s="684"/>
      <c r="I18" s="684"/>
      <c r="J18" s="684"/>
      <c r="K18" s="684"/>
      <c r="L18" s="684"/>
      <c r="M18" s="684"/>
      <c r="N18" s="684"/>
      <c r="O18" s="687"/>
      <c r="P18" s="691"/>
    </row>
    <row r="19" spans="1:16">
      <c r="A19" s="689"/>
      <c r="B19" s="506"/>
      <c r="C19" s="692" t="s">
        <v>66</v>
      </c>
      <c r="D19" s="506"/>
      <c r="E19" s="506"/>
      <c r="F19" s="684"/>
      <c r="G19" s="684"/>
      <c r="H19" s="684"/>
      <c r="I19" s="684"/>
      <c r="J19" s="684"/>
      <c r="K19" s="684"/>
      <c r="L19" s="684"/>
      <c r="M19" s="684"/>
      <c r="N19" s="684"/>
      <c r="O19" s="687"/>
      <c r="P19" s="691"/>
    </row>
    <row r="20" spans="1:16">
      <c r="A20" s="689"/>
      <c r="B20" s="506" t="s">
        <v>6</v>
      </c>
      <c r="C20" s="693" t="s">
        <v>67</v>
      </c>
      <c r="D20" s="506">
        <v>387</v>
      </c>
      <c r="E20" s="506" t="s">
        <v>73</v>
      </c>
      <c r="F20" s="684">
        <v>2670</v>
      </c>
      <c r="G20" s="684">
        <f>D20*F20</f>
        <v>1033290</v>
      </c>
      <c r="H20" s="684">
        <v>835910</v>
      </c>
      <c r="I20" s="684">
        <f>ROUND(69342.57,-3)</f>
        <v>69000</v>
      </c>
      <c r="J20" s="684">
        <f>ROUNDDOWN(11175,0)</f>
        <v>11175</v>
      </c>
      <c r="K20" s="506">
        <v>1</v>
      </c>
      <c r="L20" s="694" t="s">
        <v>2619</v>
      </c>
      <c r="M20" s="684">
        <v>117205</v>
      </c>
      <c r="N20" s="684">
        <f>G20-H20-I20-J20</f>
        <v>117205</v>
      </c>
      <c r="O20" s="695">
        <f>'Residential - 600mm(Qty)'!R1031</f>
        <v>0</v>
      </c>
      <c r="P20" s="691">
        <f>ROUND(N20*O20,0)</f>
        <v>0</v>
      </c>
    </row>
    <row r="21" spans="1:16">
      <c r="A21" s="689"/>
      <c r="B21" s="506" t="s">
        <v>8</v>
      </c>
      <c r="C21" s="693" t="s">
        <v>64</v>
      </c>
      <c r="D21" s="506"/>
      <c r="E21" s="506"/>
      <c r="F21" s="684"/>
      <c r="G21" s="684"/>
      <c r="H21" s="684"/>
      <c r="I21" s="684"/>
      <c r="J21" s="684"/>
      <c r="K21" s="684"/>
      <c r="L21" s="684"/>
      <c r="M21" s="684"/>
      <c r="N21" s="684"/>
      <c r="O21" s="687"/>
      <c r="P21" s="691"/>
    </row>
    <row r="22" spans="1:16">
      <c r="A22" s="689"/>
      <c r="B22" s="506"/>
      <c r="C22" s="692"/>
      <c r="D22" s="506"/>
      <c r="E22" s="506"/>
      <c r="F22" s="684"/>
      <c r="G22" s="684"/>
      <c r="H22" s="684"/>
      <c r="I22" s="684"/>
      <c r="J22" s="684"/>
      <c r="K22" s="684"/>
      <c r="L22" s="684"/>
      <c r="M22" s="684"/>
      <c r="N22" s="684"/>
      <c r="O22" s="687"/>
      <c r="P22" s="691"/>
    </row>
    <row r="23" spans="1:16">
      <c r="A23" s="689"/>
      <c r="B23" s="506"/>
      <c r="C23" s="692" t="s">
        <v>147</v>
      </c>
      <c r="D23" s="506"/>
      <c r="E23" s="506"/>
      <c r="F23" s="684"/>
      <c r="G23" s="684"/>
      <c r="H23" s="684"/>
      <c r="I23" s="684"/>
      <c r="J23" s="684"/>
      <c r="K23" s="684"/>
      <c r="L23" s="684"/>
      <c r="M23" s="684"/>
      <c r="N23" s="684"/>
      <c r="O23" s="687"/>
      <c r="P23" s="691"/>
    </row>
    <row r="24" spans="1:16">
      <c r="A24" s="689"/>
      <c r="B24" s="506" t="s">
        <v>25</v>
      </c>
      <c r="C24" s="693" t="s">
        <v>67</v>
      </c>
      <c r="D24" s="506">
        <v>3691</v>
      </c>
      <c r="E24" s="506" t="s">
        <v>73</v>
      </c>
      <c r="F24" s="684">
        <v>955</v>
      </c>
      <c r="G24" s="684">
        <f>D24*F24</f>
        <v>3524905</v>
      </c>
      <c r="H24" s="684">
        <v>3276505</v>
      </c>
      <c r="I24" s="684">
        <f>ROUND(70670.430705,-3)</f>
        <v>71000</v>
      </c>
      <c r="J24" s="684">
        <f>ROUNDDOWN(85848,0)</f>
        <v>85848</v>
      </c>
      <c r="K24" s="506">
        <v>1</v>
      </c>
      <c r="L24" s="694" t="s">
        <v>2619</v>
      </c>
      <c r="M24" s="684">
        <v>91552</v>
      </c>
      <c r="N24" s="684">
        <f>G24-H24-I24-J24</f>
        <v>91552</v>
      </c>
      <c r="O24" s="695">
        <f>'Residential - 600mm(Qty)'!R1032</f>
        <v>0.25595317048651567</v>
      </c>
      <c r="P24" s="691">
        <f>ROUND(N24*O24,0)</f>
        <v>23433</v>
      </c>
    </row>
    <row r="25" spans="1:16">
      <c r="A25" s="689"/>
      <c r="B25" s="506" t="s">
        <v>26</v>
      </c>
      <c r="C25" s="693" t="s">
        <v>64</v>
      </c>
      <c r="D25" s="506"/>
      <c r="E25" s="506"/>
      <c r="F25" s="684"/>
      <c r="G25" s="684"/>
      <c r="H25" s="684"/>
      <c r="I25" s="684"/>
      <c r="J25" s="684"/>
      <c r="K25" s="684"/>
      <c r="L25" s="684"/>
      <c r="M25" s="684"/>
      <c r="N25" s="684"/>
      <c r="O25" s="687"/>
      <c r="P25" s="691"/>
    </row>
    <row r="26" spans="1:16">
      <c r="A26" s="689"/>
      <c r="B26" s="506" t="s">
        <v>58</v>
      </c>
      <c r="C26" s="693" t="s">
        <v>68</v>
      </c>
      <c r="D26" s="506">
        <v>578</v>
      </c>
      <c r="E26" s="506" t="s">
        <v>73</v>
      </c>
      <c r="F26" s="684">
        <v>1355</v>
      </c>
      <c r="G26" s="684">
        <f>D26*F26</f>
        <v>783190</v>
      </c>
      <c r="H26" s="684">
        <v>743354</v>
      </c>
      <c r="I26" s="684">
        <f>ROUND(10342.228284,-3)</f>
        <v>10000</v>
      </c>
      <c r="J26" s="684">
        <f>ROUNDDOWN(15690,0)</f>
        <v>15690</v>
      </c>
      <c r="K26" s="506">
        <v>1</v>
      </c>
      <c r="L26" s="694" t="s">
        <v>2619</v>
      </c>
      <c r="M26" s="684">
        <v>14146</v>
      </c>
      <c r="N26" s="684">
        <f>G26-H26-I26-J26</f>
        <v>14146</v>
      </c>
      <c r="O26" s="695">
        <f>'Residential - 900mm(Qty)'!R162</f>
        <v>0</v>
      </c>
      <c r="P26" s="691">
        <f>ROUND(N26*O26,0)</f>
        <v>0</v>
      </c>
    </row>
    <row r="27" spans="1:16">
      <c r="A27" s="689"/>
      <c r="B27" s="506" t="s">
        <v>59</v>
      </c>
      <c r="C27" s="693" t="s">
        <v>64</v>
      </c>
      <c r="D27" s="506"/>
      <c r="E27" s="506"/>
      <c r="F27" s="684"/>
      <c r="G27" s="684"/>
      <c r="H27" s="684"/>
      <c r="I27" s="684"/>
      <c r="J27" s="684"/>
      <c r="K27" s="684"/>
      <c r="L27" s="684"/>
      <c r="M27" s="684"/>
      <c r="N27" s="684"/>
      <c r="O27" s="687"/>
      <c r="P27" s="691"/>
    </row>
    <row r="28" spans="1:16">
      <c r="A28" s="689"/>
      <c r="B28" s="506"/>
      <c r="C28" s="692"/>
      <c r="D28" s="506"/>
      <c r="E28" s="506"/>
      <c r="F28" s="684"/>
      <c r="G28" s="684"/>
      <c r="H28" s="684"/>
      <c r="I28" s="684"/>
      <c r="J28" s="684"/>
      <c r="K28" s="684"/>
      <c r="L28" s="684"/>
      <c r="M28" s="684"/>
      <c r="N28" s="684"/>
      <c r="O28" s="687"/>
      <c r="P28" s="691"/>
    </row>
    <row r="29" spans="1:16">
      <c r="A29" s="689"/>
      <c r="B29" s="506"/>
      <c r="C29" s="692" t="s">
        <v>145</v>
      </c>
      <c r="D29" s="506"/>
      <c r="E29" s="506"/>
      <c r="F29" s="684"/>
      <c r="G29" s="684"/>
      <c r="H29" s="684"/>
      <c r="I29" s="684"/>
      <c r="J29" s="684"/>
      <c r="K29" s="684"/>
      <c r="L29" s="684"/>
      <c r="M29" s="684"/>
      <c r="N29" s="684"/>
      <c r="O29" s="687"/>
      <c r="P29" s="691"/>
    </row>
    <row r="30" spans="1:16">
      <c r="A30" s="689"/>
      <c r="B30" s="506" t="s">
        <v>60</v>
      </c>
      <c r="C30" s="693" t="s">
        <v>67</v>
      </c>
      <c r="D30" s="506">
        <v>3808</v>
      </c>
      <c r="E30" s="506" t="s">
        <v>73</v>
      </c>
      <c r="F30" s="684">
        <v>955</v>
      </c>
      <c r="G30" s="684">
        <f>D30*F30</f>
        <v>3636640</v>
      </c>
      <c r="H30" s="684">
        <v>3461620</v>
      </c>
      <c r="I30" s="684">
        <f>ROUND(29165.7380472,-3)</f>
        <v>29000</v>
      </c>
      <c r="J30" s="684">
        <f>ROUNDDOWN(88987.5+1043.25,0)</f>
        <v>90030</v>
      </c>
      <c r="K30" s="506">
        <v>1</v>
      </c>
      <c r="L30" s="694" t="s">
        <v>2619</v>
      </c>
      <c r="M30" s="684">
        <v>55990</v>
      </c>
      <c r="N30" s="684">
        <f>G30-H30-I30-J30</f>
        <v>55990</v>
      </c>
      <c r="O30" s="695">
        <f>'Hotel - 600mm(Qty)'!R975</f>
        <v>0.30204690831556497</v>
      </c>
      <c r="P30" s="691">
        <f>ROUND(N30*O30,0)</f>
        <v>16912</v>
      </c>
    </row>
    <row r="31" spans="1:16">
      <c r="A31" s="689"/>
      <c r="B31" s="506" t="s">
        <v>61</v>
      </c>
      <c r="C31" s="693" t="s">
        <v>64</v>
      </c>
      <c r="D31" s="506"/>
      <c r="E31" s="506"/>
      <c r="F31" s="684"/>
      <c r="G31" s="684"/>
      <c r="H31" s="684"/>
      <c r="I31" s="684"/>
      <c r="J31" s="684"/>
      <c r="K31" s="684"/>
      <c r="L31" s="684"/>
      <c r="M31" s="684"/>
      <c r="N31" s="684"/>
      <c r="O31" s="687"/>
      <c r="P31" s="691"/>
    </row>
    <row r="32" spans="1:16">
      <c r="A32" s="689"/>
      <c r="B32" s="506" t="s">
        <v>69</v>
      </c>
      <c r="C32" s="693" t="s">
        <v>68</v>
      </c>
      <c r="D32" s="506">
        <v>407</v>
      </c>
      <c r="E32" s="506" t="s">
        <v>73</v>
      </c>
      <c r="F32" s="684">
        <v>1355</v>
      </c>
      <c r="G32" s="684">
        <f>D32*F32</f>
        <v>551485</v>
      </c>
      <c r="H32" s="684">
        <v>551485</v>
      </c>
      <c r="I32" s="684"/>
      <c r="J32" s="684"/>
      <c r="K32" s="506"/>
      <c r="L32" s="694"/>
      <c r="M32" s="684"/>
      <c r="N32" s="684"/>
      <c r="O32" s="687"/>
      <c r="P32" s="691"/>
    </row>
    <row r="33" spans="1:43">
      <c r="A33" s="689"/>
      <c r="B33" s="506" t="s">
        <v>70</v>
      </c>
      <c r="C33" s="693" t="s">
        <v>64</v>
      </c>
      <c r="D33" s="506"/>
      <c r="E33" s="506"/>
      <c r="F33" s="684"/>
      <c r="G33" s="684"/>
      <c r="H33" s="684"/>
      <c r="I33" s="684"/>
      <c r="J33" s="684"/>
      <c r="K33" s="684"/>
      <c r="L33" s="684"/>
      <c r="M33" s="684"/>
      <c r="N33" s="684"/>
      <c r="O33" s="687"/>
      <c r="P33" s="691"/>
    </row>
    <row r="34" spans="1:43">
      <c r="A34" s="689"/>
      <c r="B34" s="506"/>
      <c r="C34" s="692"/>
      <c r="D34" s="506"/>
      <c r="E34" s="506"/>
      <c r="F34" s="684"/>
      <c r="G34" s="684"/>
      <c r="H34" s="684"/>
      <c r="I34" s="684"/>
      <c r="J34" s="684"/>
      <c r="K34" s="684"/>
      <c r="L34" s="684"/>
      <c r="M34" s="684"/>
      <c r="N34" s="684"/>
      <c r="O34" s="687"/>
      <c r="P34" s="691"/>
    </row>
    <row r="35" spans="1:43">
      <c r="A35" s="689"/>
      <c r="B35" s="682"/>
      <c r="C35" s="690" t="s">
        <v>74</v>
      </c>
      <c r="D35" s="506"/>
      <c r="E35" s="506"/>
      <c r="F35" s="684"/>
      <c r="G35" s="696">
        <f>SUM(G36:G39)</f>
        <v>1371559</v>
      </c>
      <c r="H35" s="696">
        <f>SUM(H36:H39)</f>
        <v>1205929</v>
      </c>
      <c r="I35" s="696">
        <f>SUM(I36:I39)</f>
        <v>20000</v>
      </c>
      <c r="J35" s="696">
        <f>SUM(J36:J39)</f>
        <v>81</v>
      </c>
      <c r="K35" s="696"/>
      <c r="L35" s="696"/>
      <c r="M35" s="696"/>
      <c r="N35" s="696"/>
      <c r="O35" s="687"/>
      <c r="P35" s="691"/>
      <c r="S35" s="661"/>
      <c r="T35" s="661"/>
      <c r="U35" s="661"/>
      <c r="V35" s="661"/>
      <c r="W35" s="661"/>
      <c r="X35" s="661"/>
      <c r="Y35" s="661"/>
      <c r="Z35" s="661"/>
      <c r="AA35" s="661"/>
      <c r="AB35" s="661"/>
      <c r="AC35" s="661"/>
      <c r="AD35" s="661"/>
      <c r="AE35" s="661"/>
      <c r="AF35" s="661"/>
      <c r="AG35" s="661"/>
      <c r="AH35" s="661"/>
      <c r="AI35" s="661"/>
      <c r="AJ35" s="661"/>
      <c r="AK35" s="661"/>
      <c r="AL35" s="661"/>
      <c r="AM35" s="661"/>
      <c r="AN35" s="661"/>
      <c r="AO35" s="661"/>
      <c r="AP35" s="661"/>
      <c r="AQ35" s="661"/>
    </row>
    <row r="36" spans="1:43">
      <c r="A36" s="689"/>
      <c r="B36" s="506"/>
      <c r="C36" s="692" t="s">
        <v>76</v>
      </c>
      <c r="D36" s="506"/>
      <c r="E36" s="506"/>
      <c r="F36" s="684"/>
      <c r="G36" s="684">
        <f>D36*F36</f>
        <v>0</v>
      </c>
      <c r="H36" s="684"/>
      <c r="I36" s="684"/>
      <c r="J36" s="684"/>
      <c r="K36" s="684"/>
      <c r="L36" s="684"/>
      <c r="M36" s="684"/>
      <c r="N36" s="684"/>
      <c r="O36" s="697"/>
      <c r="P36" s="691"/>
      <c r="S36" s="661"/>
      <c r="T36" s="661"/>
      <c r="U36" s="661"/>
      <c r="V36" s="661"/>
      <c r="W36" s="661"/>
      <c r="X36" s="661"/>
      <c r="Y36" s="661"/>
      <c r="Z36" s="661"/>
      <c r="AA36" s="661"/>
      <c r="AB36" s="661"/>
      <c r="AC36" s="661"/>
      <c r="AD36" s="661"/>
      <c r="AE36" s="661"/>
      <c r="AF36" s="661"/>
      <c r="AG36" s="661"/>
      <c r="AH36" s="661"/>
      <c r="AI36" s="661"/>
      <c r="AJ36" s="661"/>
      <c r="AK36" s="661"/>
      <c r="AL36" s="661"/>
      <c r="AM36" s="661"/>
      <c r="AN36" s="661"/>
      <c r="AO36" s="661"/>
      <c r="AP36" s="661"/>
      <c r="AQ36" s="661"/>
    </row>
    <row r="37" spans="1:43">
      <c r="A37" s="689"/>
      <c r="B37" s="506" t="s">
        <v>4</v>
      </c>
      <c r="C37" s="693" t="s">
        <v>75</v>
      </c>
      <c r="D37" s="506">
        <v>63</v>
      </c>
      <c r="E37" s="506" t="s">
        <v>78</v>
      </c>
      <c r="F37" s="684">
        <v>5483</v>
      </c>
      <c r="G37" s="684">
        <f>D37*F37</f>
        <v>345429</v>
      </c>
      <c r="H37" s="684">
        <v>276343</v>
      </c>
      <c r="I37" s="684"/>
      <c r="J37" s="684">
        <f>ROUND(81,0)</f>
        <v>81</v>
      </c>
      <c r="K37" s="506">
        <v>1</v>
      </c>
      <c r="L37" s="694" t="s">
        <v>2619</v>
      </c>
      <c r="M37" s="684">
        <v>69005</v>
      </c>
      <c r="N37" s="684">
        <f>G37-H37-I37-J37</f>
        <v>69005</v>
      </c>
      <c r="O37" s="695">
        <f>'Breakdown - Divider'!G12</f>
        <v>0</v>
      </c>
      <c r="P37" s="691">
        <f>ROUND(N37*O37,0)</f>
        <v>0</v>
      </c>
      <c r="Q37" s="698"/>
      <c r="S37" s="661"/>
      <c r="T37" s="661"/>
      <c r="U37" s="661"/>
      <c r="V37" s="661"/>
      <c r="W37" s="661"/>
      <c r="X37" s="661"/>
      <c r="Y37" s="661"/>
      <c r="Z37" s="661"/>
      <c r="AA37" s="661"/>
      <c r="AB37" s="661"/>
      <c r="AC37" s="661"/>
      <c r="AD37" s="661"/>
      <c r="AE37" s="661"/>
      <c r="AF37" s="661"/>
      <c r="AG37" s="661"/>
      <c r="AH37" s="661"/>
      <c r="AI37" s="661"/>
      <c r="AJ37" s="661"/>
      <c r="AK37" s="661"/>
      <c r="AL37" s="661"/>
      <c r="AM37" s="661"/>
      <c r="AN37" s="661"/>
      <c r="AO37" s="661"/>
      <c r="AP37" s="661"/>
      <c r="AQ37" s="661"/>
    </row>
    <row r="38" spans="1:43">
      <c r="A38" s="689"/>
      <c r="B38" s="506"/>
      <c r="C38" s="693"/>
      <c r="D38" s="506"/>
      <c r="E38" s="506"/>
      <c r="F38" s="684"/>
      <c r="G38" s="684"/>
      <c r="H38" s="684"/>
      <c r="I38" s="684"/>
      <c r="J38" s="684"/>
      <c r="K38" s="684"/>
      <c r="L38" s="684"/>
      <c r="M38" s="684"/>
      <c r="N38" s="684"/>
      <c r="O38" s="699"/>
      <c r="P38" s="691"/>
      <c r="S38" s="661"/>
      <c r="T38" s="661"/>
      <c r="U38" s="661"/>
      <c r="V38" s="661"/>
      <c r="W38" s="661"/>
      <c r="X38" s="661"/>
      <c r="Y38" s="661"/>
      <c r="Z38" s="661"/>
      <c r="AA38" s="661"/>
      <c r="AB38" s="661"/>
      <c r="AC38" s="661"/>
      <c r="AD38" s="661"/>
      <c r="AE38" s="661"/>
      <c r="AF38" s="661"/>
      <c r="AG38" s="661"/>
      <c r="AH38" s="661"/>
      <c r="AI38" s="661"/>
      <c r="AJ38" s="661"/>
      <c r="AK38" s="661"/>
      <c r="AL38" s="661"/>
      <c r="AM38" s="661"/>
      <c r="AN38" s="661"/>
      <c r="AO38" s="661"/>
      <c r="AP38" s="661"/>
      <c r="AQ38" s="661"/>
    </row>
    <row r="39" spans="1:43">
      <c r="A39" s="689"/>
      <c r="B39" s="506"/>
      <c r="C39" s="692" t="s">
        <v>150</v>
      </c>
      <c r="D39" s="506">
        <v>214</v>
      </c>
      <c r="E39" s="506" t="s">
        <v>78</v>
      </c>
      <c r="F39" s="684">
        <v>4795</v>
      </c>
      <c r="G39" s="684">
        <f>D39*F39</f>
        <v>1026130</v>
      </c>
      <c r="H39" s="684">
        <v>929586</v>
      </c>
      <c r="I39" s="684">
        <f>ROUND(19779.375,-3)</f>
        <v>20000</v>
      </c>
      <c r="J39" s="684"/>
      <c r="K39" s="506">
        <v>1</v>
      </c>
      <c r="L39" s="694" t="s">
        <v>2619</v>
      </c>
      <c r="M39" s="684">
        <v>76544</v>
      </c>
      <c r="N39" s="684">
        <f>G39-H39-I39-J39</f>
        <v>76544</v>
      </c>
      <c r="O39" s="695">
        <f>'Breakdown - Divider'!G226</f>
        <v>0.3888888888888889</v>
      </c>
      <c r="P39" s="691">
        <f>ROUND(N39*O39,0)</f>
        <v>29767</v>
      </c>
      <c r="Q39" s="698"/>
      <c r="S39" s="661"/>
      <c r="T39" s="661"/>
      <c r="U39" s="661"/>
      <c r="V39" s="661"/>
      <c r="W39" s="661"/>
      <c r="X39" s="661"/>
      <c r="Y39" s="661"/>
      <c r="Z39" s="661"/>
      <c r="AA39" s="661"/>
      <c r="AB39" s="661"/>
      <c r="AC39" s="661"/>
      <c r="AD39" s="661"/>
      <c r="AE39" s="661"/>
      <c r="AF39" s="661"/>
      <c r="AG39" s="661"/>
      <c r="AH39" s="661"/>
      <c r="AI39" s="661"/>
      <c r="AJ39" s="661"/>
      <c r="AK39" s="661"/>
      <c r="AL39" s="661"/>
      <c r="AM39" s="661"/>
      <c r="AN39" s="661"/>
      <c r="AO39" s="661"/>
      <c r="AP39" s="661"/>
      <c r="AQ39" s="661"/>
    </row>
    <row r="40" spans="1:43">
      <c r="A40" s="689"/>
      <c r="B40" s="506" t="s">
        <v>5</v>
      </c>
      <c r="C40" s="692" t="s">
        <v>75</v>
      </c>
      <c r="D40" s="506"/>
      <c r="E40" s="506"/>
      <c r="F40" s="684"/>
      <c r="G40" s="684"/>
      <c r="H40" s="684"/>
      <c r="I40" s="684"/>
      <c r="J40" s="684"/>
      <c r="K40" s="684"/>
      <c r="L40" s="684"/>
      <c r="M40" s="684"/>
      <c r="N40" s="684"/>
      <c r="O40" s="695"/>
      <c r="P40" s="691"/>
      <c r="S40" s="661"/>
      <c r="T40" s="661"/>
      <c r="U40" s="661"/>
      <c r="V40" s="661"/>
      <c r="W40" s="661"/>
      <c r="X40" s="661"/>
      <c r="Y40" s="661"/>
      <c r="Z40" s="661"/>
      <c r="AA40" s="661"/>
      <c r="AB40" s="661"/>
      <c r="AC40" s="661"/>
      <c r="AD40" s="661"/>
      <c r="AE40" s="661"/>
      <c r="AF40" s="661"/>
      <c r="AG40" s="661"/>
      <c r="AH40" s="661"/>
      <c r="AI40" s="661"/>
      <c r="AJ40" s="661"/>
      <c r="AK40" s="661"/>
      <c r="AL40" s="661"/>
      <c r="AM40" s="661"/>
      <c r="AN40" s="661"/>
      <c r="AO40" s="661"/>
      <c r="AP40" s="661"/>
      <c r="AQ40" s="661"/>
    </row>
    <row r="41" spans="1:43" ht="26.4" hidden="1" outlineLevel="1">
      <c r="A41" s="689"/>
      <c r="B41" s="506" t="s">
        <v>6</v>
      </c>
      <c r="C41" s="693" t="s">
        <v>77</v>
      </c>
      <c r="D41" s="506"/>
      <c r="E41" s="506" t="s">
        <v>51</v>
      </c>
      <c r="F41" s="684"/>
      <c r="G41" s="684"/>
      <c r="H41" s="684"/>
      <c r="I41" s="684"/>
      <c r="J41" s="684"/>
      <c r="K41" s="506">
        <v>1</v>
      </c>
      <c r="L41" s="684" t="s">
        <v>51</v>
      </c>
      <c r="M41" s="684"/>
      <c r="N41" s="700"/>
      <c r="O41" s="695"/>
      <c r="P41" s="691"/>
      <c r="S41" s="661"/>
      <c r="T41" s="661"/>
      <c r="U41" s="661"/>
      <c r="V41" s="661"/>
      <c r="W41" s="661"/>
      <c r="X41" s="661"/>
      <c r="Y41" s="661"/>
      <c r="Z41" s="661"/>
      <c r="AA41" s="661"/>
      <c r="AB41" s="661"/>
      <c r="AC41" s="661"/>
      <c r="AD41" s="661"/>
      <c r="AE41" s="661"/>
      <c r="AF41" s="661"/>
      <c r="AG41" s="661"/>
      <c r="AH41" s="661"/>
      <c r="AI41" s="661"/>
      <c r="AJ41" s="661"/>
      <c r="AK41" s="661"/>
      <c r="AL41" s="661"/>
      <c r="AM41" s="661"/>
      <c r="AN41" s="661"/>
      <c r="AO41" s="661"/>
      <c r="AP41" s="661"/>
      <c r="AQ41" s="661"/>
    </row>
    <row r="42" spans="1:43" collapsed="1">
      <c r="A42" s="689"/>
      <c r="B42" s="506"/>
      <c r="C42" s="692"/>
      <c r="D42" s="506"/>
      <c r="E42" s="506"/>
      <c r="F42" s="684"/>
      <c r="G42" s="684"/>
      <c r="H42" s="684"/>
      <c r="I42" s="684"/>
      <c r="J42" s="684"/>
      <c r="K42" s="684"/>
      <c r="L42" s="684"/>
      <c r="M42" s="684"/>
      <c r="N42" s="684"/>
      <c r="O42" s="699"/>
      <c r="P42" s="691"/>
      <c r="S42" s="661"/>
      <c r="T42" s="661"/>
      <c r="U42" s="661"/>
      <c r="V42" s="661"/>
      <c r="W42" s="661"/>
      <c r="X42" s="661"/>
      <c r="Y42" s="661"/>
      <c r="Z42" s="661"/>
      <c r="AA42" s="661"/>
      <c r="AB42" s="661"/>
      <c r="AC42" s="661"/>
      <c r="AD42" s="661"/>
      <c r="AE42" s="661"/>
      <c r="AF42" s="661"/>
      <c r="AG42" s="661"/>
      <c r="AH42" s="661"/>
      <c r="AI42" s="661"/>
      <c r="AJ42" s="661"/>
      <c r="AK42" s="661"/>
      <c r="AL42" s="661"/>
      <c r="AM42" s="661"/>
      <c r="AN42" s="661"/>
      <c r="AO42" s="661"/>
      <c r="AP42" s="661"/>
      <c r="AQ42" s="661"/>
    </row>
    <row r="43" spans="1:43" s="668" customFormat="1">
      <c r="A43" s="689"/>
      <c r="B43" s="682"/>
      <c r="C43" s="690" t="s">
        <v>79</v>
      </c>
      <c r="D43" s="506"/>
      <c r="E43" s="506"/>
      <c r="F43" s="684"/>
      <c r="G43" s="696">
        <f>SUM(G44)</f>
        <v>1922611</v>
      </c>
      <c r="H43" s="696">
        <f>SUM(H44)</f>
        <v>1768347</v>
      </c>
      <c r="I43" s="696">
        <f>SUM(I44)</f>
        <v>0</v>
      </c>
      <c r="J43" s="696">
        <f>SUM(J44)</f>
        <v>0</v>
      </c>
      <c r="K43" s="696"/>
      <c r="L43" s="696"/>
      <c r="M43" s="696"/>
      <c r="N43" s="696"/>
      <c r="O43" s="699"/>
      <c r="P43" s="691"/>
      <c r="Q43" s="701"/>
      <c r="R43" s="702"/>
    </row>
    <row r="44" spans="1:43" s="668" customFormat="1" ht="26.4">
      <c r="A44" s="689"/>
      <c r="B44" s="506" t="s">
        <v>56</v>
      </c>
      <c r="C44" s="693" t="s">
        <v>80</v>
      </c>
      <c r="D44" s="506">
        <v>1</v>
      </c>
      <c r="E44" s="506" t="s">
        <v>51</v>
      </c>
      <c r="F44" s="684">
        <v>1922611</v>
      </c>
      <c r="G44" s="684">
        <f>D44*F44</f>
        <v>1922611</v>
      </c>
      <c r="H44" s="684">
        <v>1768347</v>
      </c>
      <c r="I44" s="684"/>
      <c r="J44" s="684"/>
      <c r="K44" s="506">
        <v>1</v>
      </c>
      <c r="L44" s="684" t="s">
        <v>51</v>
      </c>
      <c r="M44" s="684">
        <v>154264</v>
      </c>
      <c r="N44" s="684">
        <f>G44-H44-I44-J44</f>
        <v>154264</v>
      </c>
      <c r="O44" s="695">
        <f>SUM(P12:P30)/SUM(N12:N30)</f>
        <v>0.13726065060036877</v>
      </c>
      <c r="P44" s="691">
        <f>ROUND(N44*O44,0)</f>
        <v>21174</v>
      </c>
      <c r="Q44" s="661"/>
      <c r="R44" s="661"/>
    </row>
    <row r="45" spans="1:43" s="668" customFormat="1">
      <c r="A45" s="689"/>
      <c r="B45" s="506"/>
      <c r="C45" s="692"/>
      <c r="D45" s="506"/>
      <c r="E45" s="506"/>
      <c r="F45" s="684"/>
      <c r="G45" s="684"/>
      <c r="H45" s="684"/>
      <c r="I45" s="684"/>
      <c r="J45" s="684"/>
      <c r="K45" s="684"/>
      <c r="L45" s="684"/>
      <c r="M45" s="684"/>
      <c r="N45" s="684"/>
      <c r="O45" s="695"/>
      <c r="P45" s="691"/>
      <c r="Q45" s="661"/>
      <c r="R45" s="661"/>
    </row>
    <row r="46" spans="1:43" s="668" customFormat="1">
      <c r="A46" s="689"/>
      <c r="B46" s="682"/>
      <c r="C46" s="690" t="s">
        <v>81</v>
      </c>
      <c r="D46" s="506"/>
      <c r="E46" s="506"/>
      <c r="F46" s="684"/>
      <c r="G46" s="696">
        <f>SUM(G47)</f>
        <v>350000</v>
      </c>
      <c r="H46" s="696">
        <f>SUM(H47)</f>
        <v>321917</v>
      </c>
      <c r="I46" s="696">
        <f>SUM(I47)</f>
        <v>0</v>
      </c>
      <c r="J46" s="696">
        <f>SUM(J47)</f>
        <v>0</v>
      </c>
      <c r="K46" s="696"/>
      <c r="L46" s="696"/>
      <c r="M46" s="696"/>
      <c r="N46" s="694"/>
      <c r="O46" s="695"/>
      <c r="P46" s="691"/>
      <c r="Q46" s="661"/>
      <c r="R46" s="661"/>
    </row>
    <row r="47" spans="1:43" s="668" customFormat="1">
      <c r="A47" s="689"/>
      <c r="B47" s="506" t="s">
        <v>6</v>
      </c>
      <c r="C47" s="693" t="s">
        <v>82</v>
      </c>
      <c r="D47" s="506">
        <v>1</v>
      </c>
      <c r="E47" s="506" t="s">
        <v>51</v>
      </c>
      <c r="F47" s="684">
        <v>350000</v>
      </c>
      <c r="G47" s="684">
        <f>D47*F47</f>
        <v>350000</v>
      </c>
      <c r="H47" s="684">
        <v>321917</v>
      </c>
      <c r="I47" s="684"/>
      <c r="J47" s="684"/>
      <c r="K47" s="506">
        <v>1</v>
      </c>
      <c r="L47" s="684" t="s">
        <v>51</v>
      </c>
      <c r="M47" s="684">
        <v>28083</v>
      </c>
      <c r="N47" s="684">
        <f>G47-H47-I47-J47</f>
        <v>28083</v>
      </c>
      <c r="O47" s="695">
        <f>SUM(P12:P30)/SUM(N12:N30)</f>
        <v>0.13726065060036877</v>
      </c>
      <c r="P47" s="691">
        <f>ROUND(N47*O47,0)</f>
        <v>3855</v>
      </c>
      <c r="Q47" s="701"/>
      <c r="R47" s="702"/>
    </row>
    <row r="48" spans="1:43" s="668" customFormat="1">
      <c r="A48" s="689"/>
      <c r="B48" s="506"/>
      <c r="C48" s="692"/>
      <c r="D48" s="506"/>
      <c r="E48" s="506"/>
      <c r="F48" s="684"/>
      <c r="G48" s="684"/>
      <c r="H48" s="684"/>
      <c r="I48" s="684"/>
      <c r="J48" s="684"/>
      <c r="K48" s="684"/>
      <c r="L48" s="684"/>
      <c r="M48" s="684"/>
      <c r="N48" s="684"/>
      <c r="O48" s="699"/>
      <c r="P48" s="691"/>
      <c r="Q48" s="661"/>
      <c r="R48" s="661"/>
    </row>
    <row r="49" spans="1:18" s="668" customFormat="1">
      <c r="A49" s="689"/>
      <c r="B49" s="506"/>
      <c r="C49" s="690" t="s">
        <v>83</v>
      </c>
      <c r="D49" s="506"/>
      <c r="E49" s="506"/>
      <c r="F49" s="684"/>
      <c r="G49" s="696">
        <f>SUM(G50:G53)</f>
        <v>2475000</v>
      </c>
      <c r="H49" s="685">
        <v>2267722</v>
      </c>
      <c r="I49" s="684"/>
      <c r="J49" s="684"/>
      <c r="K49" s="506">
        <v>1</v>
      </c>
      <c r="L49" s="684" t="s">
        <v>51</v>
      </c>
      <c r="M49" s="684">
        <v>207278</v>
      </c>
      <c r="N49" s="684">
        <f>SUM(G50:G53)-H49-I49-J49</f>
        <v>207278</v>
      </c>
      <c r="O49" s="695">
        <f>SUM(P12:P47)/SUM(N12:N47)</f>
        <v>0.14967724259002516</v>
      </c>
      <c r="P49" s="691">
        <f>ROUND(N49*O49,0)</f>
        <v>31025</v>
      </c>
      <c r="Q49" s="701"/>
      <c r="R49" s="702"/>
    </row>
    <row r="50" spans="1:18" s="668" customFormat="1">
      <c r="A50" s="689"/>
      <c r="B50" s="506" t="s">
        <v>6</v>
      </c>
      <c r="C50" s="693" t="s">
        <v>84</v>
      </c>
      <c r="D50" s="506">
        <v>1</v>
      </c>
      <c r="E50" s="506" t="s">
        <v>51</v>
      </c>
      <c r="F50" s="684">
        <v>650000</v>
      </c>
      <c r="G50" s="684">
        <f>D50*F50</f>
        <v>650000</v>
      </c>
      <c r="H50" s="684"/>
      <c r="I50" s="684"/>
      <c r="J50" s="684"/>
      <c r="K50" s="684"/>
      <c r="L50" s="684"/>
      <c r="M50" s="684"/>
      <c r="N50" s="684"/>
      <c r="O50" s="699"/>
      <c r="P50" s="691"/>
      <c r="Q50" s="661"/>
      <c r="R50" s="661"/>
    </row>
    <row r="51" spans="1:18" s="668" customFormat="1">
      <c r="A51" s="689"/>
      <c r="B51" s="506" t="s">
        <v>8</v>
      </c>
      <c r="C51" s="692" t="s">
        <v>85</v>
      </c>
      <c r="D51" s="506">
        <v>1</v>
      </c>
      <c r="E51" s="506" t="s">
        <v>51</v>
      </c>
      <c r="F51" s="684">
        <v>150000</v>
      </c>
      <c r="G51" s="684">
        <f>D51*F51</f>
        <v>150000</v>
      </c>
      <c r="H51" s="684"/>
      <c r="I51" s="684"/>
      <c r="J51" s="684"/>
      <c r="K51" s="684"/>
      <c r="L51" s="684"/>
      <c r="M51" s="684"/>
      <c r="N51" s="684"/>
      <c r="O51" s="695"/>
      <c r="P51" s="691"/>
      <c r="Q51" s="661"/>
      <c r="R51" s="661"/>
    </row>
    <row r="52" spans="1:18" s="668" customFormat="1">
      <c r="A52" s="689"/>
      <c r="B52" s="506" t="s">
        <v>25</v>
      </c>
      <c r="C52" s="692" t="s">
        <v>86</v>
      </c>
      <c r="D52" s="506">
        <v>1</v>
      </c>
      <c r="E52" s="506" t="s">
        <v>51</v>
      </c>
      <c r="F52" s="684">
        <v>1435000</v>
      </c>
      <c r="G52" s="684">
        <f>D52*F52</f>
        <v>1435000</v>
      </c>
      <c r="H52" s="684"/>
      <c r="I52" s="684"/>
      <c r="J52" s="684"/>
      <c r="K52" s="684"/>
      <c r="L52" s="684"/>
      <c r="M52" s="684"/>
      <c r="N52" s="684"/>
      <c r="O52" s="695"/>
      <c r="P52" s="691"/>
      <c r="Q52" s="661"/>
      <c r="R52" s="661"/>
    </row>
    <row r="53" spans="1:18" s="668" customFormat="1">
      <c r="A53" s="689"/>
      <c r="B53" s="506" t="s">
        <v>26</v>
      </c>
      <c r="C53" s="692" t="s">
        <v>87</v>
      </c>
      <c r="D53" s="506">
        <v>1</v>
      </c>
      <c r="E53" s="506" t="s">
        <v>51</v>
      </c>
      <c r="F53" s="684">
        <v>240000</v>
      </c>
      <c r="G53" s="684">
        <f>D53*F53</f>
        <v>240000</v>
      </c>
      <c r="H53" s="684"/>
      <c r="I53" s="684"/>
      <c r="J53" s="684"/>
      <c r="K53" s="684"/>
      <c r="L53" s="684"/>
      <c r="M53" s="684"/>
      <c r="N53" s="684"/>
      <c r="O53" s="695"/>
      <c r="P53" s="691"/>
      <c r="Q53" s="661"/>
      <c r="R53" s="661"/>
    </row>
    <row r="54" spans="1:18" s="668" customFormat="1">
      <c r="A54" s="689"/>
      <c r="B54" s="506"/>
      <c r="C54" s="692"/>
      <c r="D54" s="506"/>
      <c r="E54" s="506"/>
      <c r="F54" s="684"/>
      <c r="G54" s="684"/>
      <c r="H54" s="684"/>
      <c r="I54" s="684"/>
      <c r="J54" s="684"/>
      <c r="K54" s="684"/>
      <c r="L54" s="684"/>
      <c r="M54" s="684"/>
      <c r="N54" s="684"/>
      <c r="O54" s="699"/>
      <c r="P54" s="691"/>
      <c r="Q54" s="661"/>
      <c r="R54" s="661"/>
    </row>
    <row r="55" spans="1:18" s="668" customFormat="1">
      <c r="A55" s="703">
        <v>2</v>
      </c>
      <c r="B55" s="703"/>
      <c r="C55" s="704" t="s">
        <v>3492</v>
      </c>
      <c r="D55" s="705"/>
      <c r="E55" s="705"/>
      <c r="F55" s="694"/>
      <c r="G55" s="696">
        <f>SUM(G56:G72)</f>
        <v>3123094</v>
      </c>
      <c r="H55" s="696">
        <f>SUM(H56:H72)</f>
        <v>1511611</v>
      </c>
      <c r="I55" s="696">
        <f>SUM(I56:I72)</f>
        <v>0</v>
      </c>
      <c r="J55" s="696">
        <f>SUM(J56:J72)</f>
        <v>170659</v>
      </c>
      <c r="K55" s="696"/>
      <c r="L55" s="696"/>
      <c r="M55" s="696"/>
      <c r="N55" s="706">
        <f>SUM(N56:N72)</f>
        <v>1440824</v>
      </c>
      <c r="O55" s="699"/>
      <c r="P55" s="688">
        <f>SUM(P56:P72)</f>
        <v>694099</v>
      </c>
      <c r="Q55" s="661"/>
      <c r="R55" s="661"/>
    </row>
    <row r="56" spans="1:18" s="668" customFormat="1" ht="26.4" hidden="1" outlineLevel="1">
      <c r="A56" s="707"/>
      <c r="B56" s="705" t="s">
        <v>3493</v>
      </c>
      <c r="C56" s="693" t="s">
        <v>174</v>
      </c>
      <c r="D56" s="506">
        <v>1</v>
      </c>
      <c r="E56" s="506" t="s">
        <v>2619</v>
      </c>
      <c r="F56" s="684">
        <v>185000</v>
      </c>
      <c r="G56" s="684">
        <f t="shared" ref="G56:G72" si="0">D56*F56</f>
        <v>185000</v>
      </c>
      <c r="H56" s="694">
        <v>185000</v>
      </c>
      <c r="I56" s="694"/>
      <c r="J56" s="694"/>
      <c r="K56" s="506">
        <v>1</v>
      </c>
      <c r="L56" s="694" t="s">
        <v>2619</v>
      </c>
      <c r="M56" s="694"/>
      <c r="N56" s="684">
        <f t="shared" ref="N56:N72" si="1">G56-H56-I56-J56</f>
        <v>0</v>
      </c>
      <c r="O56" s="699"/>
      <c r="P56" s="691"/>
      <c r="Q56" s="661"/>
      <c r="R56" s="661"/>
    </row>
    <row r="57" spans="1:18" s="668" customFormat="1" hidden="1" outlineLevel="1" collapsed="1">
      <c r="A57" s="707"/>
      <c r="B57" s="705" t="s">
        <v>3494</v>
      </c>
      <c r="C57" s="693" t="s">
        <v>171</v>
      </c>
      <c r="D57" s="506">
        <v>1</v>
      </c>
      <c r="E57" s="506" t="s">
        <v>2619</v>
      </c>
      <c r="F57" s="684">
        <v>60000</v>
      </c>
      <c r="G57" s="684">
        <f t="shared" si="0"/>
        <v>60000</v>
      </c>
      <c r="H57" s="694">
        <v>60000</v>
      </c>
      <c r="I57" s="694"/>
      <c r="J57" s="694"/>
      <c r="K57" s="506">
        <v>1</v>
      </c>
      <c r="L57" s="694" t="s">
        <v>2619</v>
      </c>
      <c r="M57" s="694"/>
      <c r="N57" s="684">
        <f t="shared" si="1"/>
        <v>0</v>
      </c>
      <c r="O57" s="695"/>
      <c r="P57" s="691"/>
      <c r="Q57" s="661"/>
      <c r="R57" s="661"/>
    </row>
    <row r="58" spans="1:18" s="668" customFormat="1" ht="26.4" collapsed="1">
      <c r="A58" s="707"/>
      <c r="B58" s="705" t="s">
        <v>3482</v>
      </c>
      <c r="C58" s="693" t="s">
        <v>173</v>
      </c>
      <c r="D58" s="506">
        <v>1</v>
      </c>
      <c r="E58" s="506" t="s">
        <v>2619</v>
      </c>
      <c r="F58" s="684">
        <v>280988</v>
      </c>
      <c r="G58" s="684">
        <f t="shared" si="0"/>
        <v>280988</v>
      </c>
      <c r="H58" s="694">
        <v>157420</v>
      </c>
      <c r="I58" s="694"/>
      <c r="J58" s="694">
        <f>ROUND(13081.5+365,0)</f>
        <v>13447</v>
      </c>
      <c r="K58" s="506">
        <v>1</v>
      </c>
      <c r="L58" s="694" t="s">
        <v>2619</v>
      </c>
      <c r="M58" s="694">
        <v>110121</v>
      </c>
      <c r="N58" s="684">
        <f t="shared" si="1"/>
        <v>110121</v>
      </c>
      <c r="O58" s="695">
        <f>'SI 130 - Progress'!Q71</f>
        <v>1</v>
      </c>
      <c r="P58" s="691">
        <f>ROUND(N58*O58,0)</f>
        <v>110121</v>
      </c>
      <c r="Q58" s="661"/>
      <c r="R58" s="661"/>
    </row>
    <row r="59" spans="1:18" s="668" customFormat="1" ht="39.6" hidden="1" outlineLevel="1">
      <c r="A59" s="707"/>
      <c r="B59" s="705" t="s">
        <v>3495</v>
      </c>
      <c r="C59" s="693" t="s">
        <v>3496</v>
      </c>
      <c r="D59" s="506">
        <v>1</v>
      </c>
      <c r="E59" s="506" t="s">
        <v>2619</v>
      </c>
      <c r="F59" s="684">
        <v>15000</v>
      </c>
      <c r="G59" s="684">
        <f t="shared" si="0"/>
        <v>15000</v>
      </c>
      <c r="H59" s="694">
        <v>15000</v>
      </c>
      <c r="I59" s="694"/>
      <c r="J59" s="694"/>
      <c r="K59" s="506">
        <v>1</v>
      </c>
      <c r="L59" s="694" t="s">
        <v>2619</v>
      </c>
      <c r="M59" s="694">
        <v>0</v>
      </c>
      <c r="N59" s="684">
        <f t="shared" si="1"/>
        <v>0</v>
      </c>
      <c r="O59" s="695"/>
      <c r="P59" s="691">
        <f>N59*O59</f>
        <v>0</v>
      </c>
      <c r="Q59" s="661"/>
      <c r="R59" s="661"/>
    </row>
    <row r="60" spans="1:18" s="668" customFormat="1" ht="26.4" collapsed="1">
      <c r="A60" s="707"/>
      <c r="B60" s="705" t="s">
        <v>3381</v>
      </c>
      <c r="C60" s="693" t="s">
        <v>2964</v>
      </c>
      <c r="D60" s="506">
        <v>1</v>
      </c>
      <c r="E60" s="506" t="s">
        <v>2619</v>
      </c>
      <c r="F60" s="684">
        <v>441540</v>
      </c>
      <c r="G60" s="684">
        <f t="shared" si="0"/>
        <v>441540</v>
      </c>
      <c r="H60" s="694">
        <v>88308</v>
      </c>
      <c r="I60" s="694"/>
      <c r="J60" s="694">
        <f>ROUND(14658,0)</f>
        <v>14658</v>
      </c>
      <c r="K60" s="506">
        <v>1</v>
      </c>
      <c r="L60" s="694" t="s">
        <v>2619</v>
      </c>
      <c r="M60" s="694">
        <v>338574</v>
      </c>
      <c r="N60" s="684">
        <f t="shared" si="1"/>
        <v>338574</v>
      </c>
      <c r="O60" s="1015">
        <v>0.2</v>
      </c>
      <c r="P60" s="691">
        <f>ROUND(N60*O60,0)</f>
        <v>67715</v>
      </c>
      <c r="Q60" s="661"/>
      <c r="R60" s="661"/>
    </row>
    <row r="61" spans="1:18" s="668" customFormat="1" ht="26.4">
      <c r="A61" s="707"/>
      <c r="B61" s="705" t="s">
        <v>3497</v>
      </c>
      <c r="C61" s="693" t="s">
        <v>2305</v>
      </c>
      <c r="D61" s="506">
        <v>1</v>
      </c>
      <c r="E61" s="506" t="s">
        <v>2619</v>
      </c>
      <c r="F61" s="684">
        <v>-65791</v>
      </c>
      <c r="G61" s="684">
        <f t="shared" si="0"/>
        <v>-65791</v>
      </c>
      <c r="H61" s="694"/>
      <c r="I61" s="694"/>
      <c r="J61" s="694"/>
      <c r="K61" s="506">
        <v>1</v>
      </c>
      <c r="L61" s="694" t="s">
        <v>2619</v>
      </c>
      <c r="M61" s="694">
        <v>-65791</v>
      </c>
      <c r="N61" s="684">
        <f t="shared" si="1"/>
        <v>-65791</v>
      </c>
      <c r="O61" s="695">
        <v>0</v>
      </c>
      <c r="P61" s="691">
        <f t="shared" ref="P61:P72" si="2">ROUND(N61*O61,0)</f>
        <v>0</v>
      </c>
      <c r="Q61" s="661"/>
      <c r="R61" s="661"/>
    </row>
    <row r="62" spans="1:18" s="668" customFormat="1" ht="26.4">
      <c r="A62" s="707"/>
      <c r="B62" s="705" t="s">
        <v>3382</v>
      </c>
      <c r="C62" s="693" t="s">
        <v>2673</v>
      </c>
      <c r="D62" s="506">
        <v>1</v>
      </c>
      <c r="E62" s="506" t="s">
        <v>2619</v>
      </c>
      <c r="F62" s="684">
        <v>605018</v>
      </c>
      <c r="G62" s="684">
        <f t="shared" si="0"/>
        <v>605018</v>
      </c>
      <c r="H62" s="694">
        <v>393262</v>
      </c>
      <c r="I62" s="694"/>
      <c r="J62" s="694"/>
      <c r="K62" s="506">
        <v>1</v>
      </c>
      <c r="L62" s="694" t="s">
        <v>2619</v>
      </c>
      <c r="M62" s="694">
        <v>211756</v>
      </c>
      <c r="N62" s="684">
        <f t="shared" si="1"/>
        <v>211756</v>
      </c>
      <c r="O62" s="1015">
        <v>0.2</v>
      </c>
      <c r="P62" s="691">
        <f t="shared" si="2"/>
        <v>42351</v>
      </c>
      <c r="Q62" s="661"/>
      <c r="R62" s="661"/>
    </row>
    <row r="63" spans="1:18" s="668" customFormat="1">
      <c r="A63" s="707"/>
      <c r="B63" s="705" t="s">
        <v>3379</v>
      </c>
      <c r="C63" s="693" t="s">
        <v>2674</v>
      </c>
      <c r="D63" s="506">
        <v>1</v>
      </c>
      <c r="E63" s="506" t="s">
        <v>2619</v>
      </c>
      <c r="F63" s="684">
        <v>52541</v>
      </c>
      <c r="G63" s="684">
        <f t="shared" si="0"/>
        <v>52541</v>
      </c>
      <c r="H63" s="694">
        <v>2627</v>
      </c>
      <c r="I63" s="694"/>
      <c r="J63" s="694"/>
      <c r="K63" s="506">
        <v>1</v>
      </c>
      <c r="L63" s="694" t="s">
        <v>2619</v>
      </c>
      <c r="M63" s="694">
        <v>49914</v>
      </c>
      <c r="N63" s="684">
        <f t="shared" si="1"/>
        <v>49914</v>
      </c>
      <c r="O63" s="695">
        <v>1</v>
      </c>
      <c r="P63" s="691">
        <f t="shared" si="2"/>
        <v>49914</v>
      </c>
      <c r="Q63" s="661"/>
      <c r="R63" s="661"/>
    </row>
    <row r="64" spans="1:18" s="668" customFormat="1" ht="39.6" hidden="1" outlineLevel="1">
      <c r="A64" s="707"/>
      <c r="B64" s="705" t="s">
        <v>3498</v>
      </c>
      <c r="C64" s="693" t="s">
        <v>2757</v>
      </c>
      <c r="D64" s="506">
        <v>1</v>
      </c>
      <c r="E64" s="506" t="s">
        <v>2619</v>
      </c>
      <c r="F64" s="684">
        <v>20000</v>
      </c>
      <c r="G64" s="684">
        <f t="shared" si="0"/>
        <v>20000</v>
      </c>
      <c r="H64" s="694">
        <v>20000</v>
      </c>
      <c r="I64" s="694"/>
      <c r="J64" s="694"/>
      <c r="K64" s="506">
        <v>1</v>
      </c>
      <c r="L64" s="694" t="s">
        <v>2619</v>
      </c>
      <c r="M64" s="694">
        <v>0</v>
      </c>
      <c r="N64" s="684">
        <f t="shared" si="1"/>
        <v>0</v>
      </c>
      <c r="O64" s="695"/>
      <c r="P64" s="691">
        <f t="shared" si="2"/>
        <v>0</v>
      </c>
      <c r="Q64" s="661"/>
      <c r="R64" s="661"/>
    </row>
    <row r="65" spans="1:16" ht="52.8" hidden="1" outlineLevel="1">
      <c r="A65" s="707"/>
      <c r="B65" s="705" t="s">
        <v>3480</v>
      </c>
      <c r="C65" s="693" t="s">
        <v>3214</v>
      </c>
      <c r="D65" s="506">
        <v>1</v>
      </c>
      <c r="E65" s="506" t="s">
        <v>2619</v>
      </c>
      <c r="F65" s="684">
        <v>419800</v>
      </c>
      <c r="G65" s="684">
        <f t="shared" si="0"/>
        <v>419800</v>
      </c>
      <c r="H65" s="694">
        <v>419800</v>
      </c>
      <c r="I65" s="694"/>
      <c r="J65" s="694"/>
      <c r="K65" s="506">
        <v>1</v>
      </c>
      <c r="L65" s="694" t="s">
        <v>2619</v>
      </c>
      <c r="M65" s="694">
        <v>0</v>
      </c>
      <c r="N65" s="684">
        <f t="shared" si="1"/>
        <v>0</v>
      </c>
      <c r="O65" s="695"/>
      <c r="P65" s="691">
        <f t="shared" si="2"/>
        <v>0</v>
      </c>
    </row>
    <row r="66" spans="1:16" collapsed="1">
      <c r="A66" s="707"/>
      <c r="B66" s="705" t="s">
        <v>3383</v>
      </c>
      <c r="C66" s="693" t="s">
        <v>2758</v>
      </c>
      <c r="D66" s="506">
        <v>1</v>
      </c>
      <c r="E66" s="506" t="s">
        <v>2619</v>
      </c>
      <c r="F66" s="684">
        <v>17837</v>
      </c>
      <c r="G66" s="684">
        <f t="shared" si="0"/>
        <v>17837</v>
      </c>
      <c r="H66" s="694"/>
      <c r="I66" s="694"/>
      <c r="J66" s="694"/>
      <c r="K66" s="506">
        <v>1</v>
      </c>
      <c r="L66" s="694" t="s">
        <v>2619</v>
      </c>
      <c r="M66" s="694">
        <v>17837</v>
      </c>
      <c r="N66" s="684">
        <f t="shared" si="1"/>
        <v>17837</v>
      </c>
      <c r="O66" s="695">
        <v>0</v>
      </c>
      <c r="P66" s="691">
        <f t="shared" si="2"/>
        <v>0</v>
      </c>
    </row>
    <row r="67" spans="1:16" ht="26.4" hidden="1" outlineLevel="1">
      <c r="A67" s="707"/>
      <c r="B67" s="705" t="s">
        <v>3380</v>
      </c>
      <c r="C67" s="693" t="s">
        <v>2965</v>
      </c>
      <c r="D67" s="506">
        <v>1</v>
      </c>
      <c r="E67" s="506" t="s">
        <v>2619</v>
      </c>
      <c r="F67" s="684">
        <v>60313</v>
      </c>
      <c r="G67" s="684">
        <f t="shared" si="0"/>
        <v>60313</v>
      </c>
      <c r="H67" s="694">
        <v>60313</v>
      </c>
      <c r="I67" s="694"/>
      <c r="J67" s="694"/>
      <c r="K67" s="506">
        <v>1</v>
      </c>
      <c r="L67" s="694" t="s">
        <v>2619</v>
      </c>
      <c r="M67" s="694">
        <v>0</v>
      </c>
      <c r="N67" s="684">
        <f t="shared" si="1"/>
        <v>0</v>
      </c>
      <c r="O67" s="695"/>
      <c r="P67" s="691">
        <f t="shared" si="2"/>
        <v>0</v>
      </c>
    </row>
    <row r="68" spans="1:16" hidden="1" outlineLevel="1" collapsed="1">
      <c r="A68" s="707"/>
      <c r="B68" s="705" t="s">
        <v>3384</v>
      </c>
      <c r="C68" s="693" t="s">
        <v>3077</v>
      </c>
      <c r="D68" s="506">
        <v>1</v>
      </c>
      <c r="E68" s="506" t="s">
        <v>2619</v>
      </c>
      <c r="F68" s="684">
        <v>10441</v>
      </c>
      <c r="G68" s="684">
        <f t="shared" si="0"/>
        <v>10441</v>
      </c>
      <c r="H68" s="694">
        <v>10441</v>
      </c>
      <c r="I68" s="694"/>
      <c r="J68" s="694"/>
      <c r="K68" s="506">
        <v>1</v>
      </c>
      <c r="L68" s="694" t="s">
        <v>2619</v>
      </c>
      <c r="M68" s="694">
        <v>0</v>
      </c>
      <c r="N68" s="684">
        <f t="shared" si="1"/>
        <v>0</v>
      </c>
      <c r="O68" s="695"/>
      <c r="P68" s="691">
        <f t="shared" si="2"/>
        <v>0</v>
      </c>
    </row>
    <row r="69" spans="1:16" ht="26.4" collapsed="1">
      <c r="A69" s="707"/>
      <c r="B69" s="705" t="s">
        <v>3479</v>
      </c>
      <c r="C69" s="693" t="s">
        <v>2966</v>
      </c>
      <c r="D69" s="506">
        <v>1</v>
      </c>
      <c r="E69" s="506" t="s">
        <v>2619</v>
      </c>
      <c r="F69" s="684">
        <v>489665</v>
      </c>
      <c r="G69" s="684">
        <f t="shared" si="0"/>
        <v>489665</v>
      </c>
      <c r="H69" s="694">
        <v>24483</v>
      </c>
      <c r="I69" s="694"/>
      <c r="J69" s="694">
        <f>ROUND(1372.5,0)</f>
        <v>1373</v>
      </c>
      <c r="K69" s="506">
        <v>1</v>
      </c>
      <c r="L69" s="694" t="s">
        <v>2619</v>
      </c>
      <c r="M69" s="694">
        <v>463809</v>
      </c>
      <c r="N69" s="684">
        <f t="shared" si="1"/>
        <v>463809</v>
      </c>
      <c r="O69" s="695">
        <f>'SI-364'!J32</f>
        <v>0.41419366696960103</v>
      </c>
      <c r="P69" s="691">
        <f t="shared" si="2"/>
        <v>192107</v>
      </c>
    </row>
    <row r="70" spans="1:16" ht="26.4">
      <c r="A70" s="707"/>
      <c r="B70" s="705" t="s">
        <v>3385</v>
      </c>
      <c r="C70" s="693" t="s">
        <v>3076</v>
      </c>
      <c r="D70" s="506">
        <v>1</v>
      </c>
      <c r="E70" s="506" t="s">
        <v>2619</v>
      </c>
      <c r="F70" s="684">
        <v>86747</v>
      </c>
      <c r="G70" s="684">
        <f t="shared" si="0"/>
        <v>86747</v>
      </c>
      <c r="H70" s="694">
        <v>69398</v>
      </c>
      <c r="I70" s="694"/>
      <c r="J70" s="694"/>
      <c r="K70" s="506">
        <v>1</v>
      </c>
      <c r="L70" s="694" t="s">
        <v>2619</v>
      </c>
      <c r="M70" s="694">
        <v>17349</v>
      </c>
      <c r="N70" s="684">
        <f t="shared" si="1"/>
        <v>17349</v>
      </c>
      <c r="O70" s="695">
        <v>0</v>
      </c>
      <c r="P70" s="691">
        <f t="shared" si="2"/>
        <v>0</v>
      </c>
    </row>
    <row r="71" spans="1:16" ht="26.4" hidden="1" outlineLevel="1">
      <c r="A71" s="707"/>
      <c r="B71" s="705" t="s">
        <v>3481</v>
      </c>
      <c r="C71" s="693" t="s">
        <v>2996</v>
      </c>
      <c r="D71" s="506">
        <v>1</v>
      </c>
      <c r="E71" s="506" t="s">
        <v>2619</v>
      </c>
      <c r="F71" s="684">
        <v>5559</v>
      </c>
      <c r="G71" s="684">
        <f t="shared" si="0"/>
        <v>5559</v>
      </c>
      <c r="H71" s="694">
        <v>5559</v>
      </c>
      <c r="I71" s="694"/>
      <c r="J71" s="694"/>
      <c r="K71" s="506">
        <v>1</v>
      </c>
      <c r="L71" s="694" t="s">
        <v>2619</v>
      </c>
      <c r="M71" s="694">
        <v>0</v>
      </c>
      <c r="N71" s="684">
        <f t="shared" si="1"/>
        <v>0</v>
      </c>
      <c r="O71" s="695"/>
      <c r="P71" s="691">
        <f t="shared" si="2"/>
        <v>0</v>
      </c>
    </row>
    <row r="72" spans="1:16" ht="26.4" collapsed="1">
      <c r="A72" s="707"/>
      <c r="B72" s="705" t="s">
        <v>3079</v>
      </c>
      <c r="C72" s="693" t="s">
        <v>3078</v>
      </c>
      <c r="D72" s="506">
        <v>1</v>
      </c>
      <c r="E72" s="506" t="s">
        <v>2619</v>
      </c>
      <c r="F72" s="684">
        <v>438436</v>
      </c>
      <c r="G72" s="684">
        <f t="shared" si="0"/>
        <v>438436</v>
      </c>
      <c r="H72" s="694"/>
      <c r="I72" s="694"/>
      <c r="J72" s="694">
        <f>ROUND(141180.75,0)</f>
        <v>141181</v>
      </c>
      <c r="K72" s="506">
        <v>1</v>
      </c>
      <c r="L72" s="694" t="s">
        <v>2619</v>
      </c>
      <c r="M72" s="694">
        <v>297255</v>
      </c>
      <c r="N72" s="684">
        <f t="shared" si="1"/>
        <v>297255</v>
      </c>
      <c r="O72" s="695">
        <f>'ERI-056'!J15</f>
        <v>0.78010701675957261</v>
      </c>
      <c r="P72" s="691">
        <f t="shared" si="2"/>
        <v>231891</v>
      </c>
    </row>
    <row r="73" spans="1:16">
      <c r="A73" s="689"/>
      <c r="B73" s="506"/>
      <c r="C73" s="692"/>
      <c r="D73" s="506"/>
      <c r="E73" s="506"/>
      <c r="F73" s="684"/>
      <c r="G73" s="684"/>
      <c r="H73" s="684"/>
      <c r="I73" s="684"/>
      <c r="J73" s="684"/>
      <c r="K73" s="506"/>
      <c r="L73" s="684"/>
      <c r="M73" s="684"/>
      <c r="N73" s="684"/>
      <c r="O73" s="695"/>
      <c r="P73" s="691"/>
    </row>
    <row r="74" spans="1:16">
      <c r="A74" s="682">
        <v>3</v>
      </c>
      <c r="B74" s="682"/>
      <c r="C74" s="708" t="s">
        <v>3499</v>
      </c>
      <c r="D74" s="506"/>
      <c r="E74" s="506"/>
      <c r="F74" s="684"/>
      <c r="G74" s="685">
        <f>SUM(G75:G78)</f>
        <v>248537</v>
      </c>
      <c r="H74" s="685">
        <f>SUM(H75:H78)</f>
        <v>14347</v>
      </c>
      <c r="I74" s="685">
        <f>SUM(I75:I78)</f>
        <v>0</v>
      </c>
      <c r="J74" s="685">
        <f>SUM(J75:J78)</f>
        <v>0</v>
      </c>
      <c r="K74" s="506"/>
      <c r="L74" s="685"/>
      <c r="M74" s="685"/>
      <c r="N74" s="686">
        <f>SUM(N75:N78)</f>
        <v>234190</v>
      </c>
      <c r="O74" s="695"/>
      <c r="P74" s="688">
        <f>SUM(P75:P78)</f>
        <v>14347</v>
      </c>
    </row>
    <row r="75" spans="1:16">
      <c r="A75" s="707"/>
      <c r="B75" s="705" t="s">
        <v>3386</v>
      </c>
      <c r="C75" s="693" t="s">
        <v>3080</v>
      </c>
      <c r="D75" s="506">
        <v>1</v>
      </c>
      <c r="E75" s="506" t="s">
        <v>2619</v>
      </c>
      <c r="F75" s="694">
        <v>179190</v>
      </c>
      <c r="G75" s="684">
        <f>D75*F75</f>
        <v>179190</v>
      </c>
      <c r="H75" s="694"/>
      <c r="I75" s="694"/>
      <c r="J75" s="694"/>
      <c r="K75" s="506">
        <v>1</v>
      </c>
      <c r="L75" s="694" t="s">
        <v>2619</v>
      </c>
      <c r="M75" s="694">
        <v>179190</v>
      </c>
      <c r="N75" s="684">
        <f>G75-H75-I75-J75</f>
        <v>179190</v>
      </c>
      <c r="O75" s="695">
        <v>0</v>
      </c>
      <c r="P75" s="691">
        <f>ROUND(N75*O75,0)</f>
        <v>0</v>
      </c>
    </row>
    <row r="76" spans="1:16" ht="26.4">
      <c r="A76" s="707"/>
      <c r="B76" s="705" t="s">
        <v>3477</v>
      </c>
      <c r="C76" s="693" t="s">
        <v>3147</v>
      </c>
      <c r="D76" s="506">
        <v>1</v>
      </c>
      <c r="E76" s="506" t="s">
        <v>2619</v>
      </c>
      <c r="F76" s="694">
        <v>22572</v>
      </c>
      <c r="G76" s="684">
        <f>D76*F76</f>
        <v>22572</v>
      </c>
      <c r="H76" s="694"/>
      <c r="I76" s="694"/>
      <c r="J76" s="694"/>
      <c r="K76" s="506">
        <v>1</v>
      </c>
      <c r="L76" s="694" t="s">
        <v>2619</v>
      </c>
      <c r="M76" s="694">
        <v>22572</v>
      </c>
      <c r="N76" s="684">
        <f>G76-H76-I76-J76</f>
        <v>22572</v>
      </c>
      <c r="O76" s="695">
        <v>0</v>
      </c>
      <c r="P76" s="691">
        <f>ROUND(N76*O76,0)</f>
        <v>0</v>
      </c>
    </row>
    <row r="77" spans="1:16">
      <c r="A77" s="707"/>
      <c r="B77" s="705" t="s">
        <v>3500</v>
      </c>
      <c r="C77" s="693" t="s">
        <v>3148</v>
      </c>
      <c r="D77" s="506">
        <v>1</v>
      </c>
      <c r="E77" s="506" t="s">
        <v>2619</v>
      </c>
      <c r="F77" s="694">
        <v>28694</v>
      </c>
      <c r="G77" s="684">
        <f>D77*F77</f>
        <v>28694</v>
      </c>
      <c r="H77" s="694">
        <v>14347</v>
      </c>
      <c r="I77" s="694"/>
      <c r="J77" s="694"/>
      <c r="K77" s="506">
        <v>1</v>
      </c>
      <c r="L77" s="694" t="s">
        <v>2619</v>
      </c>
      <c r="M77" s="694">
        <v>14347</v>
      </c>
      <c r="N77" s="684">
        <f>G77-H77-I77-J77</f>
        <v>14347</v>
      </c>
      <c r="O77" s="695">
        <f>'SI 130 - Progress'!Q71</f>
        <v>1</v>
      </c>
      <c r="P77" s="691">
        <f>ROUND(N77*O77,0)</f>
        <v>14347</v>
      </c>
    </row>
    <row r="78" spans="1:16" ht="26.4">
      <c r="A78" s="707"/>
      <c r="B78" s="705" t="s">
        <v>3387</v>
      </c>
      <c r="C78" s="693" t="s">
        <v>3348</v>
      </c>
      <c r="D78" s="506">
        <v>1</v>
      </c>
      <c r="E78" s="506" t="s">
        <v>2619</v>
      </c>
      <c r="F78" s="694">
        <v>18081</v>
      </c>
      <c r="G78" s="684">
        <f>D78*F78</f>
        <v>18081</v>
      </c>
      <c r="H78" s="694"/>
      <c r="I78" s="694"/>
      <c r="J78" s="694"/>
      <c r="K78" s="506">
        <v>1</v>
      </c>
      <c r="L78" s="694" t="s">
        <v>2619</v>
      </c>
      <c r="M78" s="694">
        <v>18081</v>
      </c>
      <c r="N78" s="684">
        <f>G78-H78-I78-J78</f>
        <v>18081</v>
      </c>
      <c r="O78" s="695">
        <v>0</v>
      </c>
      <c r="P78" s="691">
        <f>ROUND(N78*O78,0)</f>
        <v>0</v>
      </c>
    </row>
    <row r="79" spans="1:16">
      <c r="A79" s="707"/>
      <c r="B79" s="705"/>
      <c r="C79" s="709"/>
      <c r="D79" s="705"/>
      <c r="E79" s="705"/>
      <c r="F79" s="694"/>
      <c r="G79" s="684"/>
      <c r="H79" s="694"/>
      <c r="I79" s="694"/>
      <c r="J79" s="694"/>
      <c r="K79" s="705"/>
      <c r="L79" s="694"/>
      <c r="M79" s="694"/>
      <c r="N79" s="684"/>
      <c r="O79" s="699"/>
      <c r="P79" s="691"/>
    </row>
    <row r="80" spans="1:16">
      <c r="A80" s="703">
        <v>4</v>
      </c>
      <c r="B80" s="705"/>
      <c r="C80" s="704" t="s">
        <v>3501</v>
      </c>
      <c r="D80" s="705"/>
      <c r="E80" s="705"/>
      <c r="F80" s="694"/>
      <c r="G80" s="696">
        <f>SUM(G81)</f>
        <v>1485000</v>
      </c>
      <c r="H80" s="696">
        <f>SUM(H81)</f>
        <v>0</v>
      </c>
      <c r="I80" s="696">
        <f>SUM(I81)</f>
        <v>0</v>
      </c>
      <c r="J80" s="696">
        <f>SUM(J81)</f>
        <v>0</v>
      </c>
      <c r="K80" s="705"/>
      <c r="L80" s="694"/>
      <c r="M80" s="694"/>
      <c r="N80" s="706">
        <f>SUM(N81)</f>
        <v>1485000</v>
      </c>
      <c r="O80" s="695"/>
      <c r="P80" s="688">
        <f>SUM(P81)</f>
        <v>1155000</v>
      </c>
    </row>
    <row r="81" spans="1:43">
      <c r="A81" s="707"/>
      <c r="B81" s="705"/>
      <c r="C81" s="710" t="s">
        <v>3502</v>
      </c>
      <c r="D81" s="705">
        <v>9</v>
      </c>
      <c r="E81" s="705" t="s">
        <v>3503</v>
      </c>
      <c r="F81" s="694">
        <v>165000</v>
      </c>
      <c r="G81" s="684">
        <f>D81*F81</f>
        <v>1485000</v>
      </c>
      <c r="H81" s="694"/>
      <c r="I81" s="694"/>
      <c r="J81" s="694"/>
      <c r="K81" s="705">
        <v>1</v>
      </c>
      <c r="L81" s="694" t="s">
        <v>2619</v>
      </c>
      <c r="M81" s="694">
        <v>1485000</v>
      </c>
      <c r="N81" s="684">
        <f>G81-H81-I81-J81</f>
        <v>1485000</v>
      </c>
      <c r="O81" s="1015">
        <f>7/9</f>
        <v>0.77777777777777779</v>
      </c>
      <c r="P81" s="691">
        <f>N81*O81</f>
        <v>1155000</v>
      </c>
    </row>
    <row r="82" spans="1:43">
      <c r="A82" s="707"/>
      <c r="B82" s="705"/>
      <c r="C82" s="709"/>
      <c r="D82" s="705"/>
      <c r="E82" s="705"/>
      <c r="F82" s="694"/>
      <c r="G82" s="694"/>
      <c r="H82" s="694"/>
      <c r="I82" s="694"/>
      <c r="J82" s="694"/>
      <c r="K82" s="694"/>
      <c r="L82" s="694"/>
      <c r="M82" s="694"/>
      <c r="N82" s="694"/>
      <c r="O82" s="695"/>
      <c r="P82" s="691"/>
    </row>
    <row r="83" spans="1:43" ht="9.9" customHeight="1">
      <c r="A83" s="711"/>
      <c r="B83" s="711"/>
      <c r="C83" s="711"/>
      <c r="D83" s="515"/>
      <c r="E83" s="515"/>
      <c r="F83" s="712"/>
      <c r="G83" s="712"/>
      <c r="H83" s="712"/>
      <c r="I83" s="712"/>
      <c r="J83" s="712"/>
      <c r="K83" s="712"/>
      <c r="L83" s="712"/>
      <c r="M83" s="712"/>
      <c r="N83" s="713"/>
      <c r="O83" s="714"/>
      <c r="P83" s="715"/>
    </row>
    <row r="84" spans="1:43" ht="24.9" customHeight="1">
      <c r="A84" s="716"/>
      <c r="B84" s="717"/>
      <c r="C84" s="1018" t="s">
        <v>27</v>
      </c>
      <c r="D84" s="1018"/>
      <c r="E84" s="1018"/>
      <c r="F84" s="1018"/>
      <c r="G84" s="718">
        <f>SUM(G8,G35,G43,G46,G49,G55,G74,G80)</f>
        <v>23156631</v>
      </c>
      <c r="H84" s="718">
        <f>SUM(H8,H35,H43,H46,H49,H55,H74,H80)</f>
        <v>18293354</v>
      </c>
      <c r="I84" s="718">
        <f>SUM(I8,I35,I43,I46,I49,I55,I74,I80)</f>
        <v>301000</v>
      </c>
      <c r="J84" s="718">
        <f>SUM(J8,J35,J43,J46,J49,J55,J74,J80)</f>
        <v>406622</v>
      </c>
      <c r="K84" s="718"/>
      <c r="L84" s="718"/>
      <c r="M84" s="718"/>
      <c r="N84" s="718">
        <f>SUM(N12,N16,N20,N24,N26,N30,N32,N37,N39,N44,N47,N49,N55,N74,N80)</f>
        <v>4155655</v>
      </c>
      <c r="O84" s="719"/>
      <c r="P84" s="720">
        <f>SUM(P12,P16,P20,P24,P26,P30,P32,P37,P39,P44,P47,P49,P55,P74,P80)</f>
        <v>2012471</v>
      </c>
    </row>
    <row r="85" spans="1:43" ht="20.100000000000001" customHeight="1">
      <c r="A85" s="721"/>
      <c r="B85" s="721"/>
      <c r="C85" s="721"/>
      <c r="D85" s="722"/>
      <c r="E85" s="722"/>
      <c r="F85" s="722"/>
      <c r="G85" s="723"/>
      <c r="H85" s="724"/>
      <c r="I85" s="722"/>
      <c r="J85" s="722"/>
      <c r="K85" s="722"/>
      <c r="L85" s="722"/>
      <c r="M85" s="722"/>
      <c r="N85" s="723"/>
      <c r="O85" s="725"/>
      <c r="P85" s="726"/>
    </row>
    <row r="86" spans="1:43" s="732" customFormat="1" ht="20.100000000000001" customHeight="1">
      <c r="A86" s="727"/>
      <c r="B86" s="727"/>
      <c r="C86" s="728" t="s">
        <v>28</v>
      </c>
      <c r="D86" s="729"/>
      <c r="E86" s="729"/>
      <c r="F86" s="729"/>
      <c r="G86" s="730">
        <f>G84</f>
        <v>23156631</v>
      </c>
      <c r="H86" s="730">
        <f>H84</f>
        <v>18293354</v>
      </c>
      <c r="I86" s="730">
        <f>I84</f>
        <v>301000</v>
      </c>
      <c r="J86" s="730">
        <f>J84</f>
        <v>406622</v>
      </c>
      <c r="K86" s="730"/>
      <c r="L86" s="730"/>
      <c r="M86" s="730"/>
      <c r="N86" s="731">
        <f>N84</f>
        <v>4155655</v>
      </c>
      <c r="O86" s="719"/>
      <c r="P86" s="720">
        <f>P84</f>
        <v>2012471</v>
      </c>
      <c r="S86" s="733"/>
      <c r="T86" s="733"/>
      <c r="U86" s="733"/>
      <c r="V86" s="733"/>
      <c r="W86" s="733"/>
      <c r="X86" s="733"/>
      <c r="Y86" s="733"/>
      <c r="Z86" s="733"/>
      <c r="AA86" s="733"/>
      <c r="AB86" s="733"/>
      <c r="AC86" s="733"/>
      <c r="AD86" s="733"/>
      <c r="AE86" s="733"/>
      <c r="AF86" s="733"/>
      <c r="AG86" s="733"/>
      <c r="AH86" s="733"/>
      <c r="AI86" s="733"/>
      <c r="AJ86" s="733"/>
      <c r="AK86" s="733"/>
      <c r="AL86" s="733"/>
      <c r="AM86" s="733"/>
      <c r="AN86" s="733"/>
      <c r="AO86" s="733"/>
      <c r="AP86" s="733"/>
      <c r="AQ86" s="733"/>
    </row>
    <row r="87" spans="1:43" ht="20.100000000000001" customHeight="1">
      <c r="A87" s="734"/>
      <c r="B87" s="734"/>
      <c r="C87" s="734"/>
      <c r="D87" s="735"/>
      <c r="E87" s="735"/>
      <c r="F87" s="735"/>
      <c r="G87" s="735"/>
      <c r="H87" s="735"/>
      <c r="I87" s="735"/>
      <c r="J87" s="735"/>
      <c r="K87" s="735"/>
      <c r="L87" s="735"/>
      <c r="M87" s="735"/>
      <c r="N87" s="736"/>
      <c r="O87" s="737"/>
      <c r="P87" s="738"/>
    </row>
    <row r="88" spans="1:43">
      <c r="O88" s="668"/>
      <c r="P88" s="668"/>
      <c r="Q88" s="668"/>
      <c r="R88" s="668"/>
      <c r="AN88" s="661"/>
      <c r="AO88" s="661"/>
      <c r="AP88" s="661"/>
      <c r="AQ88" s="661"/>
    </row>
    <row r="89" spans="1:43">
      <c r="O89" s="668"/>
      <c r="P89" s="668"/>
      <c r="Q89" s="668"/>
      <c r="R89" s="668"/>
      <c r="AN89" s="661"/>
      <c r="AO89" s="661"/>
      <c r="AP89" s="661"/>
      <c r="AQ89" s="661"/>
    </row>
    <row r="90" spans="1:43">
      <c r="O90" s="668"/>
      <c r="P90" s="668"/>
      <c r="Q90" s="668"/>
      <c r="R90" s="668"/>
      <c r="AN90" s="661"/>
      <c r="AO90" s="661"/>
      <c r="AP90" s="661"/>
      <c r="AQ90" s="661"/>
    </row>
    <row r="91" spans="1:43">
      <c r="O91" s="668"/>
      <c r="P91" s="668"/>
      <c r="Q91" s="668"/>
      <c r="R91" s="668"/>
      <c r="AN91" s="661"/>
      <c r="AO91" s="661"/>
      <c r="AP91" s="661"/>
      <c r="AQ91" s="661"/>
    </row>
    <row r="92" spans="1:43">
      <c r="O92" s="668"/>
      <c r="P92" s="668"/>
      <c r="Q92" s="668"/>
      <c r="R92" s="668"/>
      <c r="AN92" s="661"/>
      <c r="AO92" s="661"/>
      <c r="AP92" s="661"/>
      <c r="AQ92" s="661"/>
    </row>
    <row r="93" spans="1:43">
      <c r="O93" s="668"/>
      <c r="P93" s="668"/>
      <c r="Q93" s="668"/>
      <c r="R93" s="668"/>
      <c r="AN93" s="661"/>
      <c r="AO93" s="661"/>
      <c r="AP93" s="661"/>
      <c r="AQ93" s="661"/>
    </row>
    <row r="94" spans="1:43">
      <c r="O94" s="668"/>
      <c r="P94" s="668"/>
      <c r="Q94" s="668"/>
      <c r="R94" s="668"/>
      <c r="AN94" s="661"/>
      <c r="AO94" s="661"/>
      <c r="AP94" s="661"/>
      <c r="AQ94" s="661"/>
    </row>
    <row r="95" spans="1:43">
      <c r="O95" s="668"/>
      <c r="P95" s="668"/>
      <c r="Q95" s="668"/>
      <c r="R95" s="668"/>
      <c r="AN95" s="661"/>
      <c r="AO95" s="661"/>
      <c r="AP95" s="661"/>
      <c r="AQ95" s="661"/>
    </row>
    <row r="96" spans="1:43">
      <c r="O96" s="668"/>
      <c r="P96" s="668"/>
      <c r="Q96" s="668"/>
      <c r="R96" s="668"/>
      <c r="AN96" s="661"/>
      <c r="AO96" s="661"/>
      <c r="AP96" s="661"/>
      <c r="AQ96" s="661"/>
    </row>
    <row r="97" spans="15:43">
      <c r="O97" s="668"/>
      <c r="P97" s="668"/>
      <c r="Q97" s="668"/>
      <c r="R97" s="668"/>
      <c r="AN97" s="661"/>
      <c r="AO97" s="661"/>
      <c r="AP97" s="661"/>
      <c r="AQ97" s="661"/>
    </row>
    <row r="98" spans="15:43">
      <c r="O98" s="668"/>
      <c r="P98" s="668"/>
      <c r="Q98" s="668"/>
      <c r="R98" s="668"/>
      <c r="AN98" s="661"/>
      <c r="AO98" s="661"/>
      <c r="AP98" s="661"/>
      <c r="AQ98" s="661"/>
    </row>
    <row r="99" spans="15:43">
      <c r="O99" s="668"/>
      <c r="P99" s="668"/>
      <c r="Q99" s="668"/>
      <c r="R99" s="668"/>
      <c r="AN99" s="661"/>
      <c r="AO99" s="661"/>
      <c r="AP99" s="661"/>
      <c r="AQ99" s="661"/>
    </row>
    <row r="100" spans="15:43">
      <c r="O100" s="668"/>
      <c r="P100" s="668"/>
      <c r="Q100" s="668"/>
      <c r="R100" s="668"/>
      <c r="AN100" s="661"/>
      <c r="AO100" s="661"/>
      <c r="AP100" s="661"/>
      <c r="AQ100" s="661"/>
    </row>
    <row r="101" spans="15:43">
      <c r="O101" s="668"/>
      <c r="P101" s="668"/>
      <c r="Q101" s="668"/>
      <c r="R101" s="668"/>
      <c r="AN101" s="661"/>
      <c r="AO101" s="661"/>
      <c r="AP101" s="661"/>
      <c r="AQ101" s="661"/>
    </row>
    <row r="102" spans="15:43">
      <c r="O102" s="668"/>
      <c r="P102" s="668"/>
      <c r="Q102" s="668"/>
      <c r="R102" s="668"/>
      <c r="AN102" s="661"/>
      <c r="AO102" s="661"/>
      <c r="AP102" s="661"/>
      <c r="AQ102" s="661"/>
    </row>
    <row r="103" spans="15:43">
      <c r="O103" s="668"/>
      <c r="P103" s="668"/>
      <c r="Q103" s="668"/>
      <c r="R103" s="668"/>
      <c r="AN103" s="661"/>
      <c r="AO103" s="661"/>
      <c r="AP103" s="661"/>
      <c r="AQ103" s="661"/>
    </row>
    <row r="104" spans="15:43">
      <c r="O104" s="668"/>
      <c r="P104" s="668"/>
      <c r="Q104" s="668"/>
      <c r="R104" s="668"/>
      <c r="AN104" s="661"/>
      <c r="AO104" s="661"/>
      <c r="AP104" s="661"/>
      <c r="AQ104" s="661"/>
    </row>
    <row r="105" spans="15:43">
      <c r="O105" s="668"/>
      <c r="P105" s="668"/>
      <c r="Q105" s="668"/>
      <c r="R105" s="668"/>
      <c r="AN105" s="661"/>
      <c r="AO105" s="661"/>
      <c r="AP105" s="661"/>
      <c r="AQ105" s="661"/>
    </row>
    <row r="106" spans="15:43">
      <c r="O106" s="668"/>
      <c r="P106" s="668"/>
      <c r="Q106" s="668"/>
      <c r="R106" s="668"/>
      <c r="AN106" s="661"/>
      <c r="AO106" s="661"/>
      <c r="AP106" s="661"/>
      <c r="AQ106" s="661"/>
    </row>
    <row r="107" spans="15:43">
      <c r="O107" s="668"/>
      <c r="P107" s="668"/>
      <c r="Q107" s="668"/>
      <c r="R107" s="668"/>
      <c r="AN107" s="661"/>
      <c r="AO107" s="661"/>
      <c r="AP107" s="661"/>
      <c r="AQ107" s="661"/>
    </row>
    <row r="108" spans="15:43">
      <c r="O108" s="668"/>
      <c r="P108" s="668"/>
      <c r="Q108" s="668"/>
      <c r="R108" s="668"/>
      <c r="AN108" s="661"/>
      <c r="AO108" s="661"/>
      <c r="AP108" s="661"/>
      <c r="AQ108" s="661"/>
    </row>
    <row r="109" spans="15:43">
      <c r="O109" s="668"/>
      <c r="P109" s="668"/>
      <c r="Q109" s="668"/>
      <c r="R109" s="668"/>
      <c r="AN109" s="661"/>
      <c r="AO109" s="661"/>
      <c r="AP109" s="661"/>
      <c r="AQ109" s="661"/>
    </row>
    <row r="110" spans="15:43">
      <c r="O110" s="668"/>
      <c r="P110" s="668"/>
      <c r="Q110" s="668"/>
      <c r="R110" s="668"/>
      <c r="AN110" s="661"/>
      <c r="AO110" s="661"/>
      <c r="AP110" s="661"/>
      <c r="AQ110" s="661"/>
    </row>
    <row r="111" spans="15:43">
      <c r="O111" s="668"/>
      <c r="P111" s="668"/>
      <c r="Q111" s="668"/>
      <c r="R111" s="668"/>
      <c r="AN111" s="661"/>
      <c r="AO111" s="661"/>
      <c r="AP111" s="661"/>
      <c r="AQ111" s="661"/>
    </row>
    <row r="112" spans="15:43">
      <c r="O112" s="668"/>
      <c r="P112" s="668"/>
      <c r="Q112" s="668"/>
      <c r="R112" s="668"/>
      <c r="AN112" s="661"/>
      <c r="AO112" s="661"/>
      <c r="AP112" s="661"/>
      <c r="AQ112" s="661"/>
    </row>
    <row r="113" spans="15:43">
      <c r="O113" s="668"/>
      <c r="P113" s="668"/>
      <c r="Q113" s="668"/>
      <c r="R113" s="668"/>
      <c r="AN113" s="661"/>
      <c r="AO113" s="661"/>
      <c r="AP113" s="661"/>
      <c r="AQ113" s="661"/>
    </row>
    <row r="114" spans="15:43">
      <c r="O114" s="668"/>
      <c r="P114" s="668"/>
      <c r="Q114" s="668"/>
      <c r="R114" s="668"/>
      <c r="AN114" s="661"/>
      <c r="AO114" s="661"/>
      <c r="AP114" s="661"/>
      <c r="AQ114" s="661"/>
    </row>
    <row r="115" spans="15:43">
      <c r="O115" s="668"/>
      <c r="P115" s="668"/>
      <c r="Q115" s="668"/>
      <c r="R115" s="668"/>
      <c r="AN115" s="661"/>
      <c r="AO115" s="661"/>
      <c r="AP115" s="661"/>
      <c r="AQ115" s="661"/>
    </row>
    <row r="116" spans="15:43">
      <c r="O116" s="668"/>
      <c r="P116" s="668"/>
      <c r="Q116" s="668"/>
      <c r="R116" s="668"/>
      <c r="AN116" s="661"/>
      <c r="AO116" s="661"/>
      <c r="AP116" s="661"/>
      <c r="AQ116" s="661"/>
    </row>
    <row r="117" spans="15:43">
      <c r="O117" s="668"/>
      <c r="P117" s="668"/>
      <c r="Q117" s="668"/>
      <c r="R117" s="668"/>
      <c r="AN117" s="661"/>
      <c r="AO117" s="661"/>
      <c r="AP117" s="661"/>
      <c r="AQ117" s="661"/>
    </row>
    <row r="118" spans="15:43">
      <c r="O118" s="668"/>
      <c r="P118" s="668"/>
      <c r="Q118" s="668"/>
      <c r="R118" s="668"/>
      <c r="AN118" s="661"/>
      <c r="AO118" s="661"/>
      <c r="AP118" s="661"/>
      <c r="AQ118" s="661"/>
    </row>
    <row r="119" spans="15:43">
      <c r="O119" s="668"/>
      <c r="P119" s="668"/>
      <c r="Q119" s="668"/>
      <c r="R119" s="668"/>
      <c r="AN119" s="661"/>
      <c r="AO119" s="661"/>
      <c r="AP119" s="661"/>
      <c r="AQ119" s="661"/>
    </row>
    <row r="120" spans="15:43">
      <c r="O120" s="668"/>
      <c r="P120" s="668"/>
      <c r="Q120" s="668"/>
      <c r="R120" s="668"/>
      <c r="AN120" s="661"/>
      <c r="AO120" s="661"/>
      <c r="AP120" s="661"/>
      <c r="AQ120" s="661"/>
    </row>
    <row r="121" spans="15:43">
      <c r="O121" s="668"/>
      <c r="P121" s="668"/>
      <c r="Q121" s="668"/>
      <c r="R121" s="668"/>
      <c r="AN121" s="661"/>
      <c r="AO121" s="661"/>
      <c r="AP121" s="661"/>
      <c r="AQ121" s="661"/>
    </row>
    <row r="122" spans="15:43">
      <c r="O122" s="668"/>
      <c r="P122" s="668"/>
      <c r="Q122" s="668"/>
      <c r="R122" s="668"/>
      <c r="AN122" s="661"/>
      <c r="AO122" s="661"/>
      <c r="AP122" s="661"/>
      <c r="AQ122" s="661"/>
    </row>
    <row r="123" spans="15:43">
      <c r="O123" s="668"/>
      <c r="P123" s="668"/>
      <c r="Q123" s="668"/>
      <c r="R123" s="668"/>
      <c r="AN123" s="661"/>
      <c r="AO123" s="661"/>
      <c r="AP123" s="661"/>
      <c r="AQ123" s="661"/>
    </row>
    <row r="124" spans="15:43">
      <c r="O124" s="668"/>
      <c r="P124" s="668"/>
      <c r="Q124" s="668"/>
      <c r="R124" s="668"/>
      <c r="AN124" s="661"/>
      <c r="AO124" s="661"/>
      <c r="AP124" s="661"/>
      <c r="AQ124" s="661"/>
    </row>
    <row r="125" spans="15:43">
      <c r="O125" s="668"/>
      <c r="P125" s="668"/>
      <c r="Q125" s="668"/>
      <c r="R125" s="668"/>
      <c r="AN125" s="661"/>
      <c r="AO125" s="661"/>
      <c r="AP125" s="661"/>
      <c r="AQ125" s="661"/>
    </row>
    <row r="126" spans="15:43">
      <c r="O126" s="668"/>
      <c r="P126" s="668"/>
      <c r="Q126" s="668"/>
      <c r="R126" s="668"/>
      <c r="AN126" s="661"/>
      <c r="AO126" s="661"/>
      <c r="AP126" s="661"/>
      <c r="AQ126" s="661"/>
    </row>
    <row r="127" spans="15:43">
      <c r="O127" s="668"/>
      <c r="P127" s="668"/>
      <c r="Q127" s="668"/>
      <c r="R127" s="668"/>
      <c r="AN127" s="661"/>
      <c r="AO127" s="661"/>
      <c r="AP127" s="661"/>
      <c r="AQ127" s="661"/>
    </row>
    <row r="128" spans="15:43">
      <c r="O128" s="668"/>
      <c r="P128" s="668"/>
      <c r="Q128" s="668"/>
      <c r="R128" s="668"/>
      <c r="AN128" s="661"/>
      <c r="AO128" s="661"/>
      <c r="AP128" s="661"/>
      <c r="AQ128" s="661"/>
    </row>
    <row r="129" spans="15:43">
      <c r="O129" s="668"/>
      <c r="P129" s="668"/>
      <c r="Q129" s="668"/>
      <c r="R129" s="668"/>
      <c r="AN129" s="661"/>
      <c r="AO129" s="661"/>
      <c r="AP129" s="661"/>
      <c r="AQ129" s="661"/>
    </row>
    <row r="130" spans="15:43">
      <c r="O130" s="668"/>
      <c r="P130" s="668"/>
      <c r="Q130" s="668"/>
      <c r="R130" s="668"/>
      <c r="AN130" s="661"/>
      <c r="AO130" s="661"/>
      <c r="AP130" s="661"/>
      <c r="AQ130" s="661"/>
    </row>
    <row r="131" spans="15:43">
      <c r="O131" s="668"/>
      <c r="P131" s="668"/>
      <c r="Q131" s="668"/>
      <c r="R131" s="668"/>
      <c r="AN131" s="661"/>
      <c r="AO131" s="661"/>
      <c r="AP131" s="661"/>
      <c r="AQ131" s="661"/>
    </row>
    <row r="132" spans="15:43">
      <c r="O132" s="668"/>
      <c r="P132" s="668"/>
      <c r="Q132" s="668"/>
      <c r="R132" s="668"/>
      <c r="AN132" s="661"/>
      <c r="AO132" s="661"/>
      <c r="AP132" s="661"/>
      <c r="AQ132" s="661"/>
    </row>
    <row r="133" spans="15:43">
      <c r="O133" s="668"/>
      <c r="P133" s="668"/>
      <c r="Q133" s="668"/>
      <c r="R133" s="668"/>
      <c r="AN133" s="661"/>
      <c r="AO133" s="661"/>
      <c r="AP133" s="661"/>
      <c r="AQ133" s="661"/>
    </row>
    <row r="134" spans="15:43">
      <c r="O134" s="668"/>
      <c r="P134" s="668"/>
      <c r="Q134" s="668"/>
      <c r="R134" s="668"/>
      <c r="AN134" s="661"/>
      <c r="AO134" s="661"/>
      <c r="AP134" s="661"/>
      <c r="AQ134" s="661"/>
    </row>
    <row r="135" spans="15:43">
      <c r="O135" s="668"/>
      <c r="P135" s="668"/>
      <c r="Q135" s="668"/>
      <c r="R135" s="668"/>
      <c r="AN135" s="661"/>
      <c r="AO135" s="661"/>
      <c r="AP135" s="661"/>
      <c r="AQ135" s="661"/>
    </row>
    <row r="136" spans="15:43">
      <c r="O136" s="668"/>
      <c r="P136" s="668"/>
      <c r="Q136" s="668"/>
      <c r="R136" s="668"/>
      <c r="AN136" s="661"/>
      <c r="AO136" s="661"/>
      <c r="AP136" s="661"/>
      <c r="AQ136" s="661"/>
    </row>
    <row r="137" spans="15:43">
      <c r="O137" s="668"/>
      <c r="P137" s="668"/>
      <c r="Q137" s="668"/>
      <c r="R137" s="668"/>
      <c r="AN137" s="661"/>
      <c r="AO137" s="661"/>
      <c r="AP137" s="661"/>
      <c r="AQ137" s="661"/>
    </row>
    <row r="138" spans="15:43">
      <c r="O138" s="668"/>
      <c r="P138" s="668"/>
      <c r="Q138" s="668"/>
      <c r="R138" s="668"/>
      <c r="AN138" s="661"/>
      <c r="AO138" s="661"/>
      <c r="AP138" s="661"/>
      <c r="AQ138" s="661"/>
    </row>
    <row r="139" spans="15:43">
      <c r="O139" s="668"/>
      <c r="P139" s="668"/>
      <c r="Q139" s="668"/>
      <c r="R139" s="668"/>
      <c r="AN139" s="661"/>
      <c r="AO139" s="661"/>
      <c r="AP139" s="661"/>
      <c r="AQ139" s="661"/>
    </row>
    <row r="140" spans="15:43">
      <c r="O140" s="668"/>
      <c r="P140" s="668"/>
      <c r="Q140" s="668"/>
      <c r="R140" s="668"/>
      <c r="AN140" s="661"/>
      <c r="AO140" s="661"/>
      <c r="AP140" s="661"/>
      <c r="AQ140" s="661"/>
    </row>
    <row r="141" spans="15:43">
      <c r="O141" s="668"/>
      <c r="P141" s="668"/>
      <c r="Q141" s="668"/>
      <c r="R141" s="668"/>
      <c r="AN141" s="661"/>
      <c r="AO141" s="661"/>
      <c r="AP141" s="661"/>
      <c r="AQ141" s="661"/>
    </row>
    <row r="142" spans="15:43">
      <c r="O142" s="668"/>
      <c r="P142" s="668"/>
      <c r="Q142" s="668"/>
      <c r="R142" s="668"/>
      <c r="AN142" s="661"/>
      <c r="AO142" s="661"/>
      <c r="AP142" s="661"/>
      <c r="AQ142" s="661"/>
    </row>
    <row r="143" spans="15:43">
      <c r="O143" s="668"/>
      <c r="P143" s="668"/>
      <c r="Q143" s="668"/>
      <c r="R143" s="668"/>
      <c r="AN143" s="661"/>
      <c r="AO143" s="661"/>
      <c r="AP143" s="661"/>
      <c r="AQ143" s="661"/>
    </row>
    <row r="144" spans="15:43">
      <c r="O144" s="668"/>
      <c r="P144" s="668"/>
      <c r="Q144" s="668"/>
      <c r="R144" s="668"/>
      <c r="AN144" s="661"/>
      <c r="AO144" s="661"/>
      <c r="AP144" s="661"/>
      <c r="AQ144" s="661"/>
    </row>
    <row r="145" spans="15:43">
      <c r="O145" s="668"/>
      <c r="P145" s="668"/>
      <c r="Q145" s="668"/>
      <c r="R145" s="668"/>
      <c r="AN145" s="661"/>
      <c r="AO145" s="661"/>
      <c r="AP145" s="661"/>
      <c r="AQ145" s="661"/>
    </row>
    <row r="146" spans="15:43">
      <c r="O146" s="668"/>
      <c r="P146" s="668"/>
      <c r="Q146" s="668"/>
      <c r="R146" s="668"/>
      <c r="AN146" s="661"/>
      <c r="AO146" s="661"/>
      <c r="AP146" s="661"/>
      <c r="AQ146" s="661"/>
    </row>
  </sheetData>
  <mergeCells count="7">
    <mergeCell ref="O5:P5"/>
    <mergeCell ref="C84:F84"/>
    <mergeCell ref="A1:B1"/>
    <mergeCell ref="A2:B2"/>
    <mergeCell ref="C2:E2"/>
    <mergeCell ref="A3:B3"/>
    <mergeCell ref="C3:E3"/>
  </mergeCells>
  <pageMargins left="0.7" right="0.2" top="0.75" bottom="0.75" header="0.3" footer="0.3"/>
  <pageSetup paperSize="9" scale="67" orientation="portrait" r:id="rId1"/>
  <headerFooter>
    <oddFooter>&amp;C&amp;P of &amp;N</oddFooter>
  </headerFooter>
  <rowBreaks count="1" manualBreakCount="1">
    <brk id="73" max="14" man="1"/>
  </rowBreaks>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7"/>
  <dimension ref="A1:AC26"/>
  <sheetViews>
    <sheetView showGridLines="0" view="pageBreakPreview" topLeftCell="D1" zoomScale="85" zoomScaleNormal="70" zoomScaleSheetLayoutView="85" workbookViewId="0">
      <selection activeCell="K13" sqref="K13"/>
    </sheetView>
  </sheetViews>
  <sheetFormatPr defaultColWidth="10" defaultRowHeight="13.2"/>
  <cols>
    <col min="1" max="1" width="0.88671875" style="52" customWidth="1"/>
    <col min="2" max="2" width="6.44140625" style="52" customWidth="1"/>
    <col min="3" max="3" width="55.44140625" style="52" customWidth="1"/>
    <col min="4" max="4" width="10.109375" style="52" customWidth="1"/>
    <col min="5" max="5" width="10.109375" style="52" hidden="1" customWidth="1"/>
    <col min="6" max="6" width="10.6640625" style="52" hidden="1" customWidth="1"/>
    <col min="7" max="7" width="5.33203125" style="52" customWidth="1"/>
    <col min="8" max="8" width="11.33203125" style="52" customWidth="1"/>
    <col min="9" max="9" width="11" style="52" bestFit="1" customWidth="1"/>
    <col min="10" max="10" width="11" style="52" customWidth="1"/>
    <col min="11" max="11" width="10.6640625" style="52" customWidth="1"/>
    <col min="12" max="12" width="11.6640625" style="52" customWidth="1"/>
    <col min="13" max="13" width="12.6640625" style="52" bestFit="1" customWidth="1"/>
    <col min="14" max="14" width="16" style="52" customWidth="1"/>
    <col min="15" max="15" width="12.33203125" style="52" customWidth="1"/>
    <col min="16" max="16" width="1.109375" style="54" customWidth="1"/>
    <col min="17" max="17" width="9.6640625" style="55" customWidth="1"/>
    <col min="18" max="19" width="12.6640625" style="55" customWidth="1"/>
    <col min="20" max="20" width="12.6640625" style="55" bestFit="1" customWidth="1"/>
    <col min="21" max="22" width="10.6640625" style="55" customWidth="1"/>
    <col min="23" max="23" width="10" style="55"/>
    <col min="24" max="25" width="12.6640625" style="56" customWidth="1"/>
    <col min="26" max="26" width="10" style="57"/>
    <col min="27" max="27" width="10" style="57" customWidth="1"/>
    <col min="28" max="29" width="10" style="57"/>
    <col min="30" max="16384" width="10" style="52"/>
  </cols>
  <sheetData>
    <row r="1" spans="2:29" ht="15">
      <c r="C1" s="114" t="s">
        <v>89</v>
      </c>
      <c r="D1" s="53"/>
      <c r="E1" s="53"/>
      <c r="F1" s="53"/>
      <c r="G1" s="53"/>
      <c r="H1" s="53"/>
      <c r="L1" s="123" t="e">
        <f>#REF!</f>
        <v>#REF!</v>
      </c>
    </row>
    <row r="2" spans="2:29" ht="15">
      <c r="C2" s="114" t="s">
        <v>91</v>
      </c>
      <c r="D2" s="53"/>
      <c r="E2" s="53"/>
      <c r="F2" s="53"/>
      <c r="G2" s="53"/>
      <c r="H2" s="53"/>
      <c r="L2" s="122" t="e">
        <f>#REF!</f>
        <v>#REF!</v>
      </c>
      <c r="M2" s="134" t="e">
        <f>#REF!</f>
        <v>#REF!</v>
      </c>
    </row>
    <row r="3" spans="2:29" ht="15">
      <c r="C3" s="115" t="s">
        <v>90</v>
      </c>
      <c r="F3" s="53"/>
      <c r="G3" s="53"/>
      <c r="H3" s="53"/>
      <c r="L3" s="53"/>
      <c r="M3" s="53"/>
    </row>
    <row r="4" spans="2:29" ht="9.9" customHeight="1">
      <c r="C4" s="115"/>
    </row>
    <row r="5" spans="2:29" ht="17.100000000000001" customHeight="1">
      <c r="B5" s="1146" t="s">
        <v>35</v>
      </c>
      <c r="C5" s="1146"/>
      <c r="D5" s="1146"/>
      <c r="E5" s="1146"/>
      <c r="F5" s="1146"/>
      <c r="G5" s="1146"/>
      <c r="H5" s="1146"/>
      <c r="I5" s="1146"/>
      <c r="J5" s="1146"/>
      <c r="K5" s="1146"/>
      <c r="L5" s="1146"/>
      <c r="M5" s="1146"/>
      <c r="N5" s="1146"/>
      <c r="O5" s="1146"/>
    </row>
    <row r="6" spans="2:29" ht="9.9" customHeight="1" thickBot="1"/>
    <row r="7" spans="2:29" ht="27" customHeight="1" thickTop="1">
      <c r="B7" s="1147" t="s">
        <v>36</v>
      </c>
      <c r="C7" s="1147" t="s">
        <v>37</v>
      </c>
      <c r="D7" s="1150" t="s">
        <v>38</v>
      </c>
      <c r="E7" s="1152" t="s">
        <v>39</v>
      </c>
      <c r="F7" s="1129" t="s">
        <v>40</v>
      </c>
      <c r="G7" s="1154" t="s">
        <v>41</v>
      </c>
      <c r="H7" s="1100" t="s">
        <v>3142</v>
      </c>
      <c r="I7" s="1101"/>
      <c r="J7" s="1102"/>
      <c r="K7" s="1125" t="s">
        <v>3140</v>
      </c>
      <c r="L7" s="1127" t="s">
        <v>3141</v>
      </c>
      <c r="M7" s="1129" t="s">
        <v>53</v>
      </c>
      <c r="N7" s="1105" t="s">
        <v>42</v>
      </c>
      <c r="O7" s="1105" t="s">
        <v>43</v>
      </c>
      <c r="P7" s="59"/>
      <c r="Q7" s="60"/>
      <c r="R7" s="1144" t="s">
        <v>318</v>
      </c>
      <c r="S7" s="1137" t="s">
        <v>319</v>
      </c>
      <c r="T7" s="1113" t="s">
        <v>320</v>
      </c>
      <c r="U7" s="1115" t="s">
        <v>50</v>
      </c>
      <c r="V7" s="1113" t="s">
        <v>2308</v>
      </c>
      <c r="W7" s="60"/>
      <c r="X7" s="1105" t="s">
        <v>322</v>
      </c>
      <c r="Y7" s="1105" t="s">
        <v>2</v>
      </c>
    </row>
    <row r="8" spans="2:29" ht="27" customHeight="1" thickBot="1">
      <c r="B8" s="1148"/>
      <c r="C8" s="1149"/>
      <c r="D8" s="1151"/>
      <c r="E8" s="1153"/>
      <c r="F8" s="1130"/>
      <c r="G8" s="1155"/>
      <c r="H8" s="110" t="s">
        <v>44</v>
      </c>
      <c r="I8" s="111" t="s">
        <v>45</v>
      </c>
      <c r="J8" s="112" t="s">
        <v>46</v>
      </c>
      <c r="K8" s="1126"/>
      <c r="L8" s="1128"/>
      <c r="M8" s="1130"/>
      <c r="N8" s="1106"/>
      <c r="O8" s="1106"/>
      <c r="Q8" s="60"/>
      <c r="R8" s="1145"/>
      <c r="S8" s="1138"/>
      <c r="T8" s="1114"/>
      <c r="U8" s="1116"/>
      <c r="V8" s="1119"/>
      <c r="W8" s="60"/>
      <c r="X8" s="1106"/>
      <c r="Y8" s="1106"/>
    </row>
    <row r="9" spans="2:29" s="65" customFormat="1" ht="7.5" customHeight="1" thickTop="1">
      <c r="B9" s="116"/>
      <c r="C9" s="117"/>
      <c r="D9" s="96"/>
      <c r="E9" s="66"/>
      <c r="F9" s="73"/>
      <c r="G9" s="74"/>
      <c r="H9" s="67"/>
      <c r="I9" s="75"/>
      <c r="J9" s="76"/>
      <c r="K9" s="77"/>
      <c r="L9" s="118"/>
      <c r="M9" s="78"/>
      <c r="N9" s="68"/>
      <c r="O9" s="68"/>
      <c r="P9" s="63"/>
      <c r="Q9" s="57"/>
      <c r="R9" s="363"/>
      <c r="S9" s="362"/>
      <c r="T9" s="364"/>
      <c r="U9" s="363"/>
      <c r="V9" s="364"/>
      <c r="W9" s="64"/>
      <c r="X9" s="64"/>
      <c r="Y9" s="64"/>
      <c r="Z9" s="57"/>
      <c r="AA9" s="57"/>
      <c r="AB9" s="57"/>
      <c r="AC9" s="57"/>
    </row>
    <row r="10" spans="2:29" s="65" customFormat="1">
      <c r="B10" s="99"/>
      <c r="C10" s="138" t="s">
        <v>48</v>
      </c>
      <c r="D10" s="100"/>
      <c r="E10" s="101"/>
      <c r="F10" s="102"/>
      <c r="G10" s="103"/>
      <c r="H10" s="104"/>
      <c r="I10" s="105"/>
      <c r="J10" s="106"/>
      <c r="K10" s="107"/>
      <c r="L10" s="119"/>
      <c r="M10" s="108"/>
      <c r="N10" s="109"/>
      <c r="O10" s="109"/>
      <c r="P10" s="63"/>
      <c r="Q10" s="57"/>
      <c r="R10" s="363"/>
      <c r="S10" s="362"/>
      <c r="T10" s="364"/>
      <c r="U10" s="363"/>
      <c r="V10" s="364"/>
      <c r="W10" s="64"/>
      <c r="X10" s="64"/>
      <c r="Y10" s="64"/>
      <c r="Z10" s="57"/>
      <c r="AA10" s="57"/>
      <c r="AB10" s="57"/>
      <c r="AC10" s="57"/>
    </row>
    <row r="11" spans="2:29" s="72" customFormat="1" ht="30" customHeight="1">
      <c r="B11" s="125">
        <v>1</v>
      </c>
      <c r="C11" s="182" t="s">
        <v>149</v>
      </c>
      <c r="D11" s="126" t="s">
        <v>2318</v>
      </c>
      <c r="E11" s="127"/>
      <c r="F11" s="128"/>
      <c r="G11" s="129" t="s">
        <v>73</v>
      </c>
      <c r="H11" s="135">
        <v>22.599999999999994</v>
      </c>
      <c r="I11" s="130">
        <f t="shared" ref="I11:I16" si="0">J11-H11</f>
        <v>0</v>
      </c>
      <c r="J11" s="136">
        <f>('Res &amp; Hotel - 800mm(Qty)'!O280+'Res &amp; Hotel - 800mm(Qty)'!O281)-86</f>
        <v>22.599999999999994</v>
      </c>
      <c r="K11" s="131">
        <f>'Res &amp; Hotel - 800mm(Qty)'!S280+'Res &amp; Hotel - 800mm(Qty)'!S281</f>
        <v>22.198</v>
      </c>
      <c r="L11" s="132">
        <f t="shared" ref="L11:L16" si="1">ROUND(J11-K11,0)</f>
        <v>0</v>
      </c>
      <c r="M11" s="137">
        <v>1904</v>
      </c>
      <c r="N11" s="133">
        <f t="shared" ref="N11:N16" si="2">ROUND(L11*M11,0)</f>
        <v>0</v>
      </c>
      <c r="O11" s="133"/>
      <c r="P11" s="59"/>
      <c r="Q11" s="60"/>
      <c r="R11" s="363"/>
      <c r="S11" s="362"/>
      <c r="T11" s="365">
        <f>'Res &amp; Hotel - 800mm(Qty)'!H280+'Res &amp; Hotel - 800mm(Qty)'!H281</f>
        <v>155.83999999999997</v>
      </c>
      <c r="U11" s="368">
        <f t="shared" ref="U11:U16" si="3">J11/T11</f>
        <v>0.14502053388090347</v>
      </c>
      <c r="V11" s="365">
        <f t="shared" ref="V11:V16" si="4">ROUND(T11*U11,0)</f>
        <v>23</v>
      </c>
      <c r="W11" s="61"/>
      <c r="X11" s="253">
        <v>2380</v>
      </c>
      <c r="Y11" s="255">
        <f t="shared" ref="Y11:Y16" si="5">L11*X11</f>
        <v>0</v>
      </c>
      <c r="Z11" s="60"/>
      <c r="AA11" s="60"/>
      <c r="AB11" s="60"/>
      <c r="AC11" s="60"/>
    </row>
    <row r="12" spans="2:29" s="72" customFormat="1" ht="30" customHeight="1">
      <c r="B12" s="139">
        <v>2</v>
      </c>
      <c r="C12" s="180" t="s">
        <v>146</v>
      </c>
      <c r="D12" s="140" t="s">
        <v>6</v>
      </c>
      <c r="E12" s="141"/>
      <c r="F12" s="142"/>
      <c r="G12" s="143" t="s">
        <v>73</v>
      </c>
      <c r="H12" s="144">
        <v>0</v>
      </c>
      <c r="I12" s="145">
        <f t="shared" si="0"/>
        <v>0</v>
      </c>
      <c r="J12" s="146">
        <f>('Residential - 600mm(Qty)'!O1031)-26.94</f>
        <v>0</v>
      </c>
      <c r="K12" s="147">
        <f>'Residential - 600mm(Qty)'!S1031</f>
        <v>0</v>
      </c>
      <c r="L12" s="148">
        <f t="shared" si="1"/>
        <v>0</v>
      </c>
      <c r="M12" s="149">
        <v>2136</v>
      </c>
      <c r="N12" s="150">
        <f t="shared" si="2"/>
        <v>0</v>
      </c>
      <c r="O12" s="150"/>
      <c r="P12" s="59"/>
      <c r="Q12" s="60"/>
      <c r="R12" s="363"/>
      <c r="S12" s="362"/>
      <c r="T12" s="365">
        <f>'Residential - 600mm(Qty)'!H1031</f>
        <v>26.940000000000005</v>
      </c>
      <c r="U12" s="368">
        <f t="shared" si="3"/>
        <v>0</v>
      </c>
      <c r="V12" s="365">
        <f t="shared" si="4"/>
        <v>0</v>
      </c>
      <c r="W12" s="61"/>
      <c r="X12" s="253">
        <v>2670</v>
      </c>
      <c r="Y12" s="255">
        <f t="shared" si="5"/>
        <v>0</v>
      </c>
      <c r="Z12" s="60"/>
      <c r="AA12" s="60"/>
      <c r="AB12" s="60"/>
      <c r="AC12" s="60"/>
    </row>
    <row r="13" spans="2:29" s="72" customFormat="1" ht="30" customHeight="1">
      <c r="B13" s="139">
        <v>3</v>
      </c>
      <c r="C13" s="181" t="s">
        <v>148</v>
      </c>
      <c r="D13" s="140" t="s">
        <v>152</v>
      </c>
      <c r="E13" s="141"/>
      <c r="F13" s="142"/>
      <c r="G13" s="143" t="s">
        <v>73</v>
      </c>
      <c r="H13" s="144">
        <v>126.56670000000008</v>
      </c>
      <c r="I13" s="145">
        <f t="shared" si="0"/>
        <v>0</v>
      </c>
      <c r="J13" s="146">
        <f>('Residential - 600mm(Qty)'!O1032+'Hotel - 600mm(Qty)'!O975)-212</f>
        <v>126.56670000000008</v>
      </c>
      <c r="K13" s="147">
        <f>'Residential - 600mm(Qty)'!S1032+'Hotel - 600mm(Qty)'!S975</f>
        <v>144.15700000000004</v>
      </c>
      <c r="L13" s="148">
        <f t="shared" si="1"/>
        <v>-18</v>
      </c>
      <c r="M13" s="149">
        <v>764</v>
      </c>
      <c r="N13" s="150">
        <f t="shared" si="2"/>
        <v>-13752</v>
      </c>
      <c r="O13" s="150"/>
      <c r="P13" s="59"/>
      <c r="Q13" s="60"/>
      <c r="R13" s="363">
        <f>'Residential - 600mm(Qty)'!H1032</f>
        <v>286.48600000000033</v>
      </c>
      <c r="S13" s="362">
        <f>'Hotel - 600mm(Qty)'!H975</f>
        <v>234.50000000000014</v>
      </c>
      <c r="T13" s="365">
        <f>'Residential - 600mm(Qty)'!H1032+'Hotel - 600mm(Qty)'!H975</f>
        <v>520.98600000000044</v>
      </c>
      <c r="U13" s="368">
        <f t="shared" si="3"/>
        <v>0.24293685434925311</v>
      </c>
      <c r="V13" s="365">
        <f t="shared" si="4"/>
        <v>127</v>
      </c>
      <c r="W13" s="61"/>
      <c r="X13" s="253">
        <v>955</v>
      </c>
      <c r="Y13" s="255">
        <f t="shared" si="5"/>
        <v>-17190</v>
      </c>
      <c r="Z13" s="60"/>
      <c r="AA13" s="60"/>
      <c r="AB13" s="60"/>
      <c r="AC13" s="60"/>
    </row>
    <row r="14" spans="2:29" s="72" customFormat="1" ht="30" customHeight="1">
      <c r="B14" s="139">
        <v>4</v>
      </c>
      <c r="C14" s="180" t="s">
        <v>151</v>
      </c>
      <c r="D14" s="140" t="s">
        <v>153</v>
      </c>
      <c r="E14" s="141"/>
      <c r="F14" s="142"/>
      <c r="G14" s="143" t="s">
        <v>73</v>
      </c>
      <c r="H14" s="144">
        <v>0</v>
      </c>
      <c r="I14" s="145">
        <f t="shared" si="0"/>
        <v>0</v>
      </c>
      <c r="J14" s="146">
        <f>'Residential - 900mm(Qty)'!O162</f>
        <v>0</v>
      </c>
      <c r="K14" s="369">
        <f>'Residential - 900mm(Qty)'!S162</f>
        <v>0</v>
      </c>
      <c r="L14" s="148">
        <f t="shared" si="1"/>
        <v>0</v>
      </c>
      <c r="M14" s="149">
        <v>1084</v>
      </c>
      <c r="N14" s="150">
        <f t="shared" si="2"/>
        <v>0</v>
      </c>
      <c r="O14" s="150"/>
      <c r="P14" s="59"/>
      <c r="Q14" s="60"/>
      <c r="R14" s="367">
        <f>'Residential - 900mm(Qty)'!H162</f>
        <v>17.96</v>
      </c>
      <c r="S14" s="334">
        <v>0</v>
      </c>
      <c r="T14" s="366">
        <f>'Residential - 900mm(Qty)'!H162</f>
        <v>17.96</v>
      </c>
      <c r="U14" s="368">
        <f t="shared" si="3"/>
        <v>0</v>
      </c>
      <c r="V14" s="365">
        <f t="shared" si="4"/>
        <v>0</v>
      </c>
      <c r="W14" s="61"/>
      <c r="X14" s="253">
        <v>1355</v>
      </c>
      <c r="Y14" s="255">
        <f t="shared" si="5"/>
        <v>0</v>
      </c>
      <c r="Z14" s="60"/>
      <c r="AA14" s="60"/>
      <c r="AB14" s="60"/>
      <c r="AC14" s="60"/>
    </row>
    <row r="15" spans="2:29" s="72" customFormat="1" ht="30" customHeight="1">
      <c r="B15" s="139">
        <v>5</v>
      </c>
      <c r="C15" s="180" t="s">
        <v>2315</v>
      </c>
      <c r="D15" s="140" t="s">
        <v>4</v>
      </c>
      <c r="E15" s="141"/>
      <c r="F15" s="142"/>
      <c r="G15" s="143" t="s">
        <v>2317</v>
      </c>
      <c r="H15" s="144">
        <v>0</v>
      </c>
      <c r="I15" s="145">
        <f t="shared" si="0"/>
        <v>0</v>
      </c>
      <c r="J15" s="146">
        <f>('Breakdown - Divider'!F11)-3</f>
        <v>0</v>
      </c>
      <c r="K15" s="369">
        <f>'Breakdown - Divider'!F12</f>
        <v>0</v>
      </c>
      <c r="L15" s="148">
        <f t="shared" si="1"/>
        <v>0</v>
      </c>
      <c r="M15" s="149">
        <v>4386.4000000000005</v>
      </c>
      <c r="N15" s="150">
        <f t="shared" si="2"/>
        <v>0</v>
      </c>
      <c r="O15" s="150"/>
      <c r="P15" s="59"/>
      <c r="Q15" s="60"/>
      <c r="R15" s="363"/>
      <c r="S15" s="362"/>
      <c r="T15" s="365">
        <f>'Breakdown - Divider'!F9</f>
        <v>4</v>
      </c>
      <c r="U15" s="368">
        <f t="shared" si="3"/>
        <v>0</v>
      </c>
      <c r="V15" s="365">
        <f t="shared" si="4"/>
        <v>0</v>
      </c>
      <c r="W15" s="61"/>
      <c r="X15" s="253">
        <v>5483</v>
      </c>
      <c r="Y15" s="255">
        <f t="shared" si="5"/>
        <v>0</v>
      </c>
      <c r="Z15" s="60"/>
      <c r="AA15" s="60"/>
      <c r="AB15" s="60"/>
      <c r="AC15" s="60"/>
    </row>
    <row r="16" spans="2:29" s="72" customFormat="1" ht="30" customHeight="1">
      <c r="B16" s="371">
        <v>6</v>
      </c>
      <c r="C16" s="372" t="s">
        <v>2316</v>
      </c>
      <c r="D16" s="373" t="s">
        <v>5</v>
      </c>
      <c r="E16" s="374"/>
      <c r="F16" s="375"/>
      <c r="G16" s="376" t="s">
        <v>2317</v>
      </c>
      <c r="H16" s="878">
        <v>7</v>
      </c>
      <c r="I16" s="876">
        <f t="shared" si="0"/>
        <v>0</v>
      </c>
      <c r="J16" s="877">
        <f>('Breakdown - Divider'!F225)-13</f>
        <v>7</v>
      </c>
      <c r="K16" s="487">
        <f>'Breakdown - Divider'!F226</f>
        <v>7</v>
      </c>
      <c r="L16" s="148">
        <f t="shared" si="1"/>
        <v>0</v>
      </c>
      <c r="M16" s="377">
        <v>3836</v>
      </c>
      <c r="N16" s="150">
        <f t="shared" si="2"/>
        <v>0</v>
      </c>
      <c r="O16" s="378"/>
      <c r="P16" s="59"/>
      <c r="Q16" s="60"/>
      <c r="R16" s="363"/>
      <c r="S16" s="362"/>
      <c r="T16" s="365">
        <f>'Breakdown - Divider'!F223</f>
        <v>18</v>
      </c>
      <c r="U16" s="368">
        <f t="shared" si="3"/>
        <v>0.3888888888888889</v>
      </c>
      <c r="V16" s="365">
        <f t="shared" si="4"/>
        <v>7</v>
      </c>
      <c r="W16" s="61"/>
      <c r="X16" s="253">
        <v>4795</v>
      </c>
      <c r="Y16" s="255">
        <f t="shared" si="5"/>
        <v>0</v>
      </c>
      <c r="Z16" s="60"/>
      <c r="AA16" s="60"/>
      <c r="AB16" s="60"/>
      <c r="AC16" s="60"/>
    </row>
    <row r="17" spans="1:29" s="72" customFormat="1" ht="30" customHeight="1">
      <c r="B17" s="151"/>
      <c r="C17" s="183"/>
      <c r="D17" s="152"/>
      <c r="E17" s="153"/>
      <c r="F17" s="154"/>
      <c r="G17" s="155"/>
      <c r="H17" s="156"/>
      <c r="I17" s="157"/>
      <c r="J17" s="158"/>
      <c r="K17" s="370"/>
      <c r="L17" s="159"/>
      <c r="M17" s="160"/>
      <c r="N17" s="161"/>
      <c r="O17" s="161"/>
      <c r="P17" s="59"/>
      <c r="Q17" s="60"/>
      <c r="R17" s="363"/>
      <c r="S17" s="362"/>
      <c r="T17" s="365"/>
      <c r="U17" s="368"/>
      <c r="V17" s="365"/>
      <c r="W17" s="61"/>
      <c r="X17" s="253"/>
      <c r="Y17" s="255"/>
      <c r="Z17" s="60"/>
      <c r="AA17" s="60"/>
      <c r="AB17" s="60"/>
      <c r="AC17" s="60"/>
    </row>
    <row r="18" spans="1:29" s="65" customFormat="1">
      <c r="B18" s="120"/>
      <c r="C18" s="1098" t="s">
        <v>24</v>
      </c>
      <c r="D18" s="97"/>
      <c r="E18" s="70"/>
      <c r="F18" s="62"/>
      <c r="G18" s="71"/>
      <c r="H18" s="69"/>
      <c r="I18" s="70"/>
      <c r="J18" s="1096"/>
      <c r="K18" s="1139" t="s">
        <v>47</v>
      </c>
      <c r="L18" s="1140"/>
      <c r="M18" s="1141"/>
      <c r="N18" s="1096">
        <f>SUM(N11:N17)</f>
        <v>-13752</v>
      </c>
      <c r="O18" s="1096"/>
      <c r="P18" s="63"/>
      <c r="Q18" s="57"/>
      <c r="R18" s="1111">
        <f>SUM(R11:R14)</f>
        <v>304.44600000000031</v>
      </c>
      <c r="S18" s="1109">
        <f>SUM(S11:S14)</f>
        <v>234.50000000000014</v>
      </c>
      <c r="T18" s="1103">
        <f>SUM(T11:T14)</f>
        <v>721.72600000000045</v>
      </c>
      <c r="U18" s="1111"/>
      <c r="V18" s="1103">
        <f>SUM(V11:V14)</f>
        <v>150</v>
      </c>
      <c r="W18" s="57"/>
      <c r="X18" s="1107"/>
      <c r="Y18" s="1107">
        <f>SUM(Y11:Y17)</f>
        <v>-17190</v>
      </c>
      <c r="Z18" s="57"/>
      <c r="AA18" s="57"/>
      <c r="AB18" s="57"/>
      <c r="AC18" s="57"/>
    </row>
    <row r="19" spans="1:29" s="65" customFormat="1" ht="16.5" customHeight="1" thickBot="1">
      <c r="B19" s="79"/>
      <c r="C19" s="1099"/>
      <c r="D19" s="98"/>
      <c r="E19" s="80"/>
      <c r="F19" s="81"/>
      <c r="G19" s="82"/>
      <c r="H19" s="83"/>
      <c r="I19" s="84"/>
      <c r="J19" s="1097"/>
      <c r="K19" s="1142"/>
      <c r="L19" s="1123"/>
      <c r="M19" s="1143"/>
      <c r="N19" s="1097"/>
      <c r="O19" s="1097"/>
      <c r="P19" s="63"/>
      <c r="Q19" s="85"/>
      <c r="R19" s="1112"/>
      <c r="S19" s="1110"/>
      <c r="T19" s="1104"/>
      <c r="U19" s="1112"/>
      <c r="V19" s="1104"/>
      <c r="W19" s="57"/>
      <c r="X19" s="1108"/>
      <c r="Y19" s="1108"/>
      <c r="Z19" s="57"/>
      <c r="AA19" s="57"/>
      <c r="AB19" s="57"/>
      <c r="AC19" s="57"/>
    </row>
    <row r="20" spans="1:29" ht="16.5" customHeight="1" thickTop="1">
      <c r="B20" s="86"/>
      <c r="C20" s="87"/>
      <c r="D20" s="87"/>
      <c r="E20" s="87"/>
      <c r="F20" s="87"/>
      <c r="G20" s="87"/>
      <c r="H20" s="87"/>
      <c r="I20" s="87"/>
      <c r="J20" s="87"/>
      <c r="K20" s="87"/>
      <c r="L20" s="1131" t="s">
        <v>321</v>
      </c>
      <c r="M20" s="1132"/>
      <c r="N20" s="1135">
        <v>0.75</v>
      </c>
      <c r="O20" s="88"/>
      <c r="Q20" s="89"/>
      <c r="R20" s="1111"/>
      <c r="S20" s="1109"/>
      <c r="T20" s="1103">
        <f>SUM(T15:T17)</f>
        <v>22</v>
      </c>
      <c r="U20" s="1111"/>
      <c r="V20" s="1103">
        <f>SUM(V15:V17)</f>
        <v>7</v>
      </c>
    </row>
    <row r="21" spans="1:29" ht="16.5" customHeight="1" thickBot="1">
      <c r="B21" s="90"/>
      <c r="C21" s="58"/>
      <c r="L21" s="1133"/>
      <c r="M21" s="1134"/>
      <c r="N21" s="1136"/>
      <c r="O21" s="88"/>
      <c r="Q21" s="91"/>
      <c r="R21" s="1112"/>
      <c r="S21" s="1110"/>
      <c r="T21" s="1104"/>
      <c r="U21" s="1112"/>
      <c r="V21" s="1104"/>
    </row>
    <row r="22" spans="1:29" ht="15.75" customHeight="1">
      <c r="B22" s="90"/>
      <c r="L22" s="1120" t="s">
        <v>49</v>
      </c>
      <c r="M22" s="1121"/>
      <c r="N22" s="1124">
        <f>ROUND(N18*N20,0)</f>
        <v>-10314</v>
      </c>
      <c r="O22" s="88"/>
      <c r="Q22" s="91"/>
      <c r="R22" s="91"/>
      <c r="S22" s="91"/>
      <c r="X22" s="254"/>
      <c r="Y22" s="1117">
        <f>N22/Y18</f>
        <v>0.6</v>
      </c>
    </row>
    <row r="23" spans="1:29" ht="16.5" customHeight="1" thickBot="1">
      <c r="B23" s="90"/>
      <c r="L23" s="1122"/>
      <c r="M23" s="1123"/>
      <c r="N23" s="1097"/>
      <c r="O23" s="88"/>
      <c r="Q23" s="92"/>
      <c r="R23" s="92"/>
      <c r="S23" s="92"/>
      <c r="Y23" s="1118"/>
    </row>
    <row r="24" spans="1:29" s="57" customFormat="1" ht="14.4" thickTop="1" thickBot="1">
      <c r="A24" s="52"/>
      <c r="B24" s="93"/>
      <c r="C24" s="94"/>
      <c r="D24" s="94"/>
      <c r="E24" s="94"/>
      <c r="F24" s="94"/>
      <c r="G24" s="94"/>
      <c r="H24" s="94"/>
      <c r="I24" s="94"/>
      <c r="J24" s="94"/>
      <c r="K24" s="94"/>
      <c r="L24" s="113"/>
      <c r="M24" s="113"/>
      <c r="N24" s="121"/>
      <c r="O24" s="95"/>
      <c r="P24" s="54"/>
      <c r="Q24" s="55"/>
      <c r="R24" s="55"/>
      <c r="S24" s="55"/>
      <c r="T24" s="55"/>
      <c r="U24" s="55"/>
      <c r="V24" s="55"/>
      <c r="W24" s="55"/>
      <c r="X24" s="56"/>
      <c r="Y24" s="56"/>
    </row>
    <row r="25" spans="1:29" ht="13.8" thickTop="1">
      <c r="M25" s="54"/>
      <c r="N25" s="55"/>
      <c r="O25" s="55"/>
      <c r="P25" s="55"/>
      <c r="U25" s="56"/>
      <c r="V25" s="57"/>
      <c r="W25" s="57"/>
      <c r="X25" s="57"/>
      <c r="Y25" s="57"/>
      <c r="AA25" s="52"/>
      <c r="AB25" s="52"/>
      <c r="AC25" s="52"/>
    </row>
    <row r="26" spans="1:29">
      <c r="M26" s="54"/>
      <c r="N26" s="55"/>
      <c r="O26" s="55"/>
      <c r="P26" s="55"/>
      <c r="U26" s="56"/>
      <c r="V26" s="57"/>
      <c r="W26" s="57"/>
      <c r="X26" s="57"/>
      <c r="Y26" s="57"/>
      <c r="AA26" s="52"/>
      <c r="AB26" s="52"/>
      <c r="AC26" s="52"/>
    </row>
  </sheetData>
  <mergeCells count="42">
    <mergeCell ref="R20:R21"/>
    <mergeCell ref="S20:S21"/>
    <mergeCell ref="T20:T21"/>
    <mergeCell ref="U20:U21"/>
    <mergeCell ref="V20:V21"/>
    <mergeCell ref="B5:O5"/>
    <mergeCell ref="B7:B8"/>
    <mergeCell ref="C7:C8"/>
    <mergeCell ref="D7:D8"/>
    <mergeCell ref="E7:E8"/>
    <mergeCell ref="G7:G8"/>
    <mergeCell ref="O7:O8"/>
    <mergeCell ref="F7:F8"/>
    <mergeCell ref="N7:N8"/>
    <mergeCell ref="Y22:Y23"/>
    <mergeCell ref="V7:V8"/>
    <mergeCell ref="L22:M23"/>
    <mergeCell ref="N22:N23"/>
    <mergeCell ref="K7:K8"/>
    <mergeCell ref="L7:L8"/>
    <mergeCell ref="M7:M8"/>
    <mergeCell ref="L20:M21"/>
    <mergeCell ref="N20:N21"/>
    <mergeCell ref="S7:S8"/>
    <mergeCell ref="K18:M19"/>
    <mergeCell ref="N18:N19"/>
    <mergeCell ref="O18:O19"/>
    <mergeCell ref="R7:R8"/>
    <mergeCell ref="T18:T19"/>
    <mergeCell ref="U18:U19"/>
    <mergeCell ref="Y7:Y8"/>
    <mergeCell ref="Y18:Y19"/>
    <mergeCell ref="X18:X19"/>
    <mergeCell ref="S18:S19"/>
    <mergeCell ref="R18:R19"/>
    <mergeCell ref="T7:T8"/>
    <mergeCell ref="U7:U8"/>
    <mergeCell ref="J18:J19"/>
    <mergeCell ref="C18:C19"/>
    <mergeCell ref="H7:J7"/>
    <mergeCell ref="V18:V19"/>
    <mergeCell ref="X7:X8"/>
  </mergeCells>
  <pageMargins left="0.2" right="0.2" top="0.75" bottom="0.75" header="0.3" footer="0.3"/>
  <pageSetup paperSize="9" scale="84"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2:J38"/>
  <sheetViews>
    <sheetView showGridLines="0" view="pageBreakPreview" topLeftCell="A19" zoomScaleNormal="100" zoomScaleSheetLayoutView="100" workbookViewId="0">
      <selection activeCell="G25" sqref="G25"/>
    </sheetView>
  </sheetViews>
  <sheetFormatPr defaultColWidth="9.21875" defaultRowHeight="13.2"/>
  <cols>
    <col min="1" max="1" width="8.5546875" style="494" customWidth="1"/>
    <col min="2" max="2" width="28.77734375" style="494" customWidth="1"/>
    <col min="3" max="3" width="9.21875" style="494"/>
    <col min="4" max="4" width="9.21875" style="494" customWidth="1"/>
    <col min="5" max="5" width="12.21875" style="494" customWidth="1"/>
    <col min="6" max="8" width="12.5546875" style="497" customWidth="1"/>
    <col min="9" max="9" width="17.44140625" style="497" customWidth="1"/>
    <col min="10" max="10" width="1.77734375" style="494" customWidth="1"/>
    <col min="11" max="16384" width="9.21875" style="494"/>
  </cols>
  <sheetData>
    <row r="2" spans="1:9" ht="14.4">
      <c r="A2" s="489" t="s">
        <v>2604</v>
      </c>
      <c r="B2" s="490" t="s">
        <v>3821</v>
      </c>
      <c r="C2" s="491"/>
      <c r="D2" s="491"/>
      <c r="E2" s="491"/>
      <c r="F2" s="492"/>
      <c r="G2" s="492"/>
      <c r="H2" s="492"/>
      <c r="I2" s="493"/>
    </row>
    <row r="3" spans="1:9" ht="14.4">
      <c r="A3" s="495" t="s">
        <v>2606</v>
      </c>
      <c r="B3" s="496" t="s">
        <v>3863</v>
      </c>
      <c r="I3" s="498"/>
    </row>
    <row r="4" spans="1:9" ht="14.4">
      <c r="A4" s="495"/>
      <c r="B4" s="496"/>
      <c r="G4" s="1156" t="s">
        <v>3</v>
      </c>
      <c r="H4" s="1157"/>
      <c r="I4" s="498"/>
    </row>
    <row r="5" spans="1:9" ht="39.6">
      <c r="A5" s="567" t="s">
        <v>2608</v>
      </c>
      <c r="B5" s="567" t="s">
        <v>2609</v>
      </c>
      <c r="C5" s="567" t="s">
        <v>41</v>
      </c>
      <c r="D5" s="566" t="s">
        <v>380</v>
      </c>
      <c r="E5" s="566" t="s">
        <v>2626</v>
      </c>
      <c r="F5" s="565" t="s">
        <v>2627</v>
      </c>
      <c r="G5" s="566" t="s">
        <v>380</v>
      </c>
      <c r="H5" s="565" t="s">
        <v>2627</v>
      </c>
      <c r="I5" s="568" t="s">
        <v>43</v>
      </c>
    </row>
    <row r="6" spans="1:9">
      <c r="A6" s="503"/>
      <c r="B6" s="504"/>
      <c r="C6" s="504"/>
      <c r="D6" s="504"/>
      <c r="E6" s="504"/>
      <c r="F6" s="505"/>
      <c r="G6" s="505"/>
      <c r="H6" s="505"/>
      <c r="I6" s="505"/>
    </row>
    <row r="7" spans="1:9" ht="28.8">
      <c r="A7" s="506">
        <v>1</v>
      </c>
      <c r="B7" s="507" t="s">
        <v>3864</v>
      </c>
      <c r="C7" s="506"/>
      <c r="D7" s="508"/>
      <c r="E7" s="508"/>
      <c r="F7" s="509"/>
      <c r="G7" s="509"/>
      <c r="H7" s="509"/>
      <c r="I7" s="510"/>
    </row>
    <row r="8" spans="1:9" ht="14.4">
      <c r="A8" s="511">
        <v>1.1000000000000001</v>
      </c>
      <c r="B8" s="512" t="s">
        <v>3824</v>
      </c>
      <c r="C8" s="506" t="s">
        <v>71</v>
      </c>
      <c r="D8" s="508">
        <f>SUM(D9:D20)</f>
        <v>156.66000000000003</v>
      </c>
      <c r="E8" s="508">
        <v>598</v>
      </c>
      <c r="F8" s="509">
        <f>ROUND(D8*E8,0)</f>
        <v>93683</v>
      </c>
      <c r="G8" s="509"/>
      <c r="H8" s="509"/>
      <c r="I8" s="510"/>
    </row>
    <row r="9" spans="1:9" ht="14.4">
      <c r="A9" s="511"/>
      <c r="B9" s="956" t="s">
        <v>2635</v>
      </c>
      <c r="C9" s="506"/>
      <c r="D9" s="957">
        <v>9.15</v>
      </c>
      <c r="E9" s="508"/>
      <c r="F9" s="509"/>
      <c r="G9" s="509"/>
      <c r="H9" s="509"/>
      <c r="I9" s="510"/>
    </row>
    <row r="10" spans="1:9" ht="14.4">
      <c r="A10" s="511"/>
      <c r="B10" s="956" t="s">
        <v>2638</v>
      </c>
      <c r="C10" s="506"/>
      <c r="D10" s="957">
        <v>9.3000000000000007</v>
      </c>
      <c r="E10" s="508"/>
      <c r="F10" s="509"/>
      <c r="G10" s="509"/>
      <c r="H10" s="509"/>
      <c r="I10" s="510"/>
    </row>
    <row r="11" spans="1:9" ht="14.4">
      <c r="A11" s="511"/>
      <c r="B11" s="956" t="s">
        <v>2639</v>
      </c>
      <c r="C11" s="506"/>
      <c r="D11" s="957">
        <v>38.5</v>
      </c>
      <c r="E11" s="508"/>
      <c r="F11" s="509"/>
      <c r="G11" s="509"/>
      <c r="H11" s="509"/>
      <c r="I11" s="510"/>
    </row>
    <row r="12" spans="1:9" ht="14.4">
      <c r="A12" s="511"/>
      <c r="B12" s="956" t="s">
        <v>2641</v>
      </c>
      <c r="C12" s="506"/>
      <c r="D12" s="957">
        <v>8.65</v>
      </c>
      <c r="E12" s="508"/>
      <c r="F12" s="509"/>
      <c r="G12" s="509"/>
      <c r="H12" s="509"/>
      <c r="I12" s="510"/>
    </row>
    <row r="13" spans="1:9" ht="14.4">
      <c r="A13" s="511"/>
      <c r="B13" s="956" t="s">
        <v>2643</v>
      </c>
      <c r="C13" s="506"/>
      <c r="D13" s="957">
        <v>8.65</v>
      </c>
      <c r="E13" s="508"/>
      <c r="F13" s="509"/>
      <c r="G13" s="509"/>
      <c r="H13" s="509"/>
      <c r="I13" s="510"/>
    </row>
    <row r="14" spans="1:9" ht="14.4">
      <c r="A14" s="511"/>
      <c r="B14" s="956" t="s">
        <v>2645</v>
      </c>
      <c r="C14" s="506"/>
      <c r="D14" s="957">
        <v>9.1199999999999992</v>
      </c>
      <c r="E14" s="508"/>
      <c r="F14" s="509"/>
      <c r="G14" s="990">
        <v>9.1199999999999992</v>
      </c>
      <c r="H14" s="1013">
        <f>ROUND($E$8*G14,0)</f>
        <v>5454</v>
      </c>
      <c r="I14" s="510"/>
    </row>
    <row r="15" spans="1:9" ht="14.4">
      <c r="A15" s="511"/>
      <c r="B15" s="956" t="s">
        <v>2647</v>
      </c>
      <c r="C15" s="506"/>
      <c r="D15" s="957">
        <v>9.1199999999999992</v>
      </c>
      <c r="E15" s="508"/>
      <c r="F15" s="509"/>
      <c r="G15" s="990">
        <v>9.1199999999999992</v>
      </c>
      <c r="H15" s="1013">
        <f>ROUND($E$8*G15,0)</f>
        <v>5454</v>
      </c>
      <c r="I15" s="510"/>
    </row>
    <row r="16" spans="1:9" ht="14.4">
      <c r="A16" s="511"/>
      <c r="B16" s="956" t="s">
        <v>2649</v>
      </c>
      <c r="C16" s="506"/>
      <c r="D16" s="957">
        <v>9.1199999999999992</v>
      </c>
      <c r="E16" s="508"/>
      <c r="F16" s="509"/>
      <c r="G16" s="990">
        <v>9.1199999999999992</v>
      </c>
      <c r="H16" s="1013">
        <f>ROUND($E$8*G16,0)</f>
        <v>5454</v>
      </c>
      <c r="I16" s="510"/>
    </row>
    <row r="17" spans="1:9" ht="14.4">
      <c r="A17" s="511"/>
      <c r="B17" s="956" t="s">
        <v>2650</v>
      </c>
      <c r="C17" s="506"/>
      <c r="D17" s="957">
        <v>37.75</v>
      </c>
      <c r="E17" s="508"/>
      <c r="F17" s="509"/>
      <c r="G17" s="509"/>
      <c r="H17" s="509"/>
      <c r="I17" s="510"/>
    </row>
    <row r="18" spans="1:9" ht="14.4">
      <c r="A18" s="511"/>
      <c r="B18" s="956" t="s">
        <v>2651</v>
      </c>
      <c r="C18" s="506"/>
      <c r="D18" s="957">
        <v>8.65</v>
      </c>
      <c r="E18" s="508"/>
      <c r="F18" s="509"/>
      <c r="G18" s="1013">
        <v>8.65</v>
      </c>
      <c r="H18" s="1013">
        <f>ROUND($E$8*G18,0)</f>
        <v>5173</v>
      </c>
      <c r="I18" s="510" t="s">
        <v>3865</v>
      </c>
    </row>
    <row r="19" spans="1:9" ht="14.4">
      <c r="A19" s="511"/>
      <c r="B19" s="956" t="s">
        <v>2653</v>
      </c>
      <c r="C19" s="506"/>
      <c r="D19" s="957">
        <v>8.65</v>
      </c>
      <c r="E19" s="508"/>
      <c r="F19" s="509"/>
      <c r="G19" s="1013">
        <v>8.65</v>
      </c>
      <c r="H19" s="1013">
        <f>ROUND($E$8*G19,0)</f>
        <v>5173</v>
      </c>
      <c r="I19" s="510" t="s">
        <v>3865</v>
      </c>
    </row>
    <row r="20" spans="1:9" ht="14.4">
      <c r="A20" s="511"/>
      <c r="B20" s="512"/>
      <c r="C20" s="506"/>
      <c r="D20" s="508"/>
      <c r="E20" s="508"/>
      <c r="F20" s="509"/>
      <c r="G20" s="509"/>
      <c r="H20" s="509"/>
      <c r="I20" s="510"/>
    </row>
    <row r="21" spans="1:9" ht="14.4">
      <c r="A21" s="511">
        <v>1.2</v>
      </c>
      <c r="B21" s="512" t="s">
        <v>3866</v>
      </c>
      <c r="C21" s="506" t="s">
        <v>71</v>
      </c>
      <c r="D21" s="508">
        <f>SUM(D22:D29)</f>
        <v>51.019999999999996</v>
      </c>
      <c r="E21" s="508">
        <v>598</v>
      </c>
      <c r="F21" s="509">
        <f>ROUND(D21*E21,0)</f>
        <v>30510</v>
      </c>
      <c r="G21" s="509"/>
      <c r="H21" s="509"/>
      <c r="I21" s="510"/>
    </row>
    <row r="22" spans="1:9" ht="14.4">
      <c r="A22" s="511"/>
      <c r="B22" s="956" t="s">
        <v>2657</v>
      </c>
      <c r="C22" s="506"/>
      <c r="D22" s="957">
        <v>4.74</v>
      </c>
      <c r="E22" s="508"/>
      <c r="F22" s="509"/>
      <c r="G22" s="509"/>
      <c r="H22" s="509"/>
      <c r="I22" s="510"/>
    </row>
    <row r="23" spans="1:9" ht="14.4">
      <c r="A23" s="511"/>
      <c r="B23" s="956" t="s">
        <v>2664</v>
      </c>
      <c r="C23" s="506"/>
      <c r="D23" s="957">
        <v>40.4</v>
      </c>
      <c r="E23" s="508"/>
      <c r="F23" s="509"/>
      <c r="G23" s="509"/>
      <c r="H23" s="509"/>
      <c r="I23" s="510"/>
    </row>
    <row r="24" spans="1:9" ht="14.4">
      <c r="A24" s="511"/>
      <c r="B24" s="956" t="s">
        <v>2671</v>
      </c>
      <c r="C24" s="506"/>
      <c r="D24" s="957">
        <v>1.97</v>
      </c>
      <c r="E24" s="508"/>
      <c r="F24" s="509"/>
      <c r="G24" s="509"/>
      <c r="H24" s="509"/>
      <c r="I24" s="510"/>
    </row>
    <row r="25" spans="1:9" ht="14.4">
      <c r="A25" s="511"/>
      <c r="B25" s="956" t="s">
        <v>3876</v>
      </c>
      <c r="C25" s="506"/>
      <c r="D25" s="957"/>
      <c r="E25" s="508"/>
      <c r="F25" s="509"/>
      <c r="G25" s="1013">
        <f>4.76+4.76</f>
        <v>9.52</v>
      </c>
      <c r="H25" s="1013">
        <f>ROUND($E$8*G25,0)</f>
        <v>5693</v>
      </c>
      <c r="I25" s="510"/>
    </row>
    <row r="26" spans="1:9" ht="14.4">
      <c r="A26" s="511"/>
      <c r="B26" s="956" t="s">
        <v>3877</v>
      </c>
      <c r="C26" s="506"/>
      <c r="D26" s="957"/>
      <c r="E26" s="508"/>
      <c r="F26" s="509"/>
      <c r="G26" s="1013">
        <f>4.76+4.76</f>
        <v>9.52</v>
      </c>
      <c r="H26" s="1013">
        <f>ROUND($E$8*G26,0)</f>
        <v>5693</v>
      </c>
      <c r="I26" s="510"/>
    </row>
    <row r="27" spans="1:9" ht="14.4">
      <c r="A27" s="511"/>
      <c r="B27" s="956" t="s">
        <v>2672</v>
      </c>
      <c r="C27" s="506"/>
      <c r="D27" s="957">
        <v>1.97</v>
      </c>
      <c r="E27" s="508"/>
      <c r="F27" s="509"/>
      <c r="G27" s="509"/>
      <c r="H27" s="509"/>
      <c r="I27" s="510"/>
    </row>
    <row r="28" spans="1:9" ht="14.4">
      <c r="A28" s="511"/>
      <c r="B28" s="956" t="s">
        <v>3216</v>
      </c>
      <c r="C28" s="506"/>
      <c r="D28" s="957">
        <v>1.94</v>
      </c>
      <c r="E28" s="508"/>
      <c r="F28" s="509"/>
      <c r="G28" s="1013">
        <f>4.76+4.76</f>
        <v>9.52</v>
      </c>
      <c r="H28" s="1013">
        <f>ROUND($E$8*G28,0)</f>
        <v>5693</v>
      </c>
      <c r="I28" s="510"/>
    </row>
    <row r="29" spans="1:9" ht="14.4">
      <c r="A29" s="511"/>
      <c r="B29" s="512"/>
      <c r="C29" s="506"/>
      <c r="D29" s="508"/>
      <c r="E29" s="508"/>
      <c r="F29" s="509"/>
      <c r="G29" s="509"/>
      <c r="H29" s="509"/>
      <c r="I29" s="510"/>
    </row>
    <row r="30" spans="1:9" ht="57.6">
      <c r="A30" s="511">
        <v>1.3</v>
      </c>
      <c r="B30" s="512" t="s">
        <v>3827</v>
      </c>
      <c r="C30" s="506" t="s">
        <v>2619</v>
      </c>
      <c r="D30" s="508">
        <v>1</v>
      </c>
      <c r="E30" s="508">
        <f>SUM(F8:F27)*15.6%</f>
        <v>19374.108</v>
      </c>
      <c r="F30" s="509">
        <f>ROUND(D30*E30,0)</f>
        <v>19374</v>
      </c>
      <c r="G30" s="1014">
        <f>SUM(H7:H29)/SUM(F7:F29)</f>
        <v>0.35257220616298823</v>
      </c>
      <c r="H30" s="1013">
        <f>ROUND($E$8*G30,0)</f>
        <v>211</v>
      </c>
      <c r="I30" s="510"/>
    </row>
    <row r="31" spans="1:9" ht="14.4">
      <c r="A31" s="511"/>
      <c r="B31" s="514"/>
      <c r="C31" s="506"/>
      <c r="D31" s="508"/>
      <c r="E31" s="508"/>
      <c r="F31" s="509"/>
      <c r="G31" s="509"/>
      <c r="H31" s="509"/>
      <c r="I31" s="510"/>
    </row>
    <row r="32" spans="1:9" ht="14.4">
      <c r="A32" s="511"/>
      <c r="B32" s="514" t="s">
        <v>3828</v>
      </c>
      <c r="C32" s="506"/>
      <c r="D32" s="508"/>
      <c r="E32" s="508"/>
      <c r="F32" s="938" t="s">
        <v>72</v>
      </c>
      <c r="G32" s="961"/>
      <c r="H32" s="961"/>
      <c r="I32" s="958" t="s">
        <v>3829</v>
      </c>
    </row>
    <row r="33" spans="1:10" ht="14.4">
      <c r="A33" s="511"/>
      <c r="B33" s="514"/>
      <c r="C33" s="506"/>
      <c r="D33" s="508"/>
      <c r="E33" s="508"/>
      <c r="F33" s="509"/>
      <c r="G33" s="509"/>
      <c r="H33" s="509"/>
      <c r="I33" s="510"/>
    </row>
    <row r="34" spans="1:10" ht="43.2">
      <c r="A34" s="506"/>
      <c r="B34" s="514" t="s">
        <v>3830</v>
      </c>
      <c r="C34" s="506"/>
      <c r="D34" s="508"/>
      <c r="E34" s="508"/>
      <c r="F34" s="938" t="s">
        <v>72</v>
      </c>
      <c r="G34" s="961"/>
      <c r="H34" s="961"/>
      <c r="I34" s="958"/>
    </row>
    <row r="35" spans="1:10" ht="14.4">
      <c r="A35" s="515"/>
      <c r="B35" s="516"/>
      <c r="C35" s="516"/>
      <c r="D35" s="516"/>
      <c r="E35" s="516"/>
      <c r="F35" s="517"/>
      <c r="G35" s="517"/>
      <c r="H35" s="517"/>
      <c r="I35" s="518"/>
    </row>
    <row r="36" spans="1:10" ht="25.5" customHeight="1">
      <c r="A36" s="519"/>
      <c r="B36" s="520" t="s">
        <v>2632</v>
      </c>
      <c r="C36" s="521"/>
      <c r="D36" s="522"/>
      <c r="E36" s="522"/>
      <c r="F36" s="522">
        <f>SUM(F7:F35)</f>
        <v>143567</v>
      </c>
      <c r="G36" s="1003">
        <f>H36/F36</f>
        <v>0.30646318443653486</v>
      </c>
      <c r="H36" s="522">
        <f>SUM(H7:H35)</f>
        <v>43998</v>
      </c>
      <c r="I36" s="522"/>
      <c r="J36" s="661"/>
    </row>
    <row r="37" spans="1:10">
      <c r="A37" s="491"/>
      <c r="B37" s="491"/>
      <c r="C37" s="491"/>
      <c r="D37" s="491"/>
      <c r="E37" s="491"/>
      <c r="F37" s="492"/>
      <c r="G37" s="492"/>
      <c r="H37" s="492"/>
      <c r="I37" s="492"/>
    </row>
    <row r="38" spans="1:10">
      <c r="A38" s="959" t="s">
        <v>3867</v>
      </c>
      <c r="B38" s="1095"/>
      <c r="C38" s="1095"/>
      <c r="D38" s="1095"/>
      <c r="E38" s="1095"/>
      <c r="F38" s="1095"/>
      <c r="G38" s="1095"/>
      <c r="H38" s="1095"/>
      <c r="I38" s="1095"/>
    </row>
  </sheetData>
  <mergeCells count="2">
    <mergeCell ref="G4:H4"/>
    <mergeCell ref="B38:I38"/>
  </mergeCells>
  <pageMargins left="0.7" right="0.7" top="0.75" bottom="0.75" header="0.3" footer="0.3"/>
  <pageSetup paperSize="9" scale="72"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2:M33"/>
  <sheetViews>
    <sheetView showGridLines="0" view="pageBreakPreview" topLeftCell="A13" zoomScaleNormal="100" zoomScaleSheetLayoutView="100" workbookViewId="0">
      <selection activeCell="J26" sqref="J26"/>
    </sheetView>
  </sheetViews>
  <sheetFormatPr defaultColWidth="9.21875" defaultRowHeight="13.2"/>
  <cols>
    <col min="1" max="1" width="8.77734375" style="494" customWidth="1"/>
    <col min="2" max="2" width="34.77734375" style="494" customWidth="1"/>
    <col min="3" max="3" width="3.77734375" style="494" bestFit="1" customWidth="1"/>
    <col min="4" max="5" width="8.77734375" style="494" customWidth="1"/>
    <col min="6" max="6" width="9.21875" style="494" customWidth="1"/>
    <col min="7" max="7" width="9.21875" style="494"/>
    <col min="8" max="8" width="12.21875" style="494" customWidth="1"/>
    <col min="9" max="11" width="12.5546875" style="497" customWidth="1"/>
    <col min="12" max="12" width="16.77734375" style="497" customWidth="1"/>
    <col min="13" max="16384" width="9.21875" style="494"/>
  </cols>
  <sheetData>
    <row r="2" spans="1:12" ht="14.4">
      <c r="A2" s="489" t="s">
        <v>2604</v>
      </c>
      <c r="B2" s="490" t="s">
        <v>2625</v>
      </c>
      <c r="C2" s="490"/>
      <c r="D2" s="490"/>
      <c r="E2" s="490"/>
      <c r="F2" s="491"/>
      <c r="G2" s="491"/>
      <c r="H2" s="491"/>
      <c r="I2" s="492"/>
      <c r="J2" s="492"/>
      <c r="K2" s="492"/>
      <c r="L2" s="493"/>
    </row>
    <row r="3" spans="1:12" ht="14.4">
      <c r="A3" s="495" t="s">
        <v>2606</v>
      </c>
      <c r="B3" s="496" t="s">
        <v>3868</v>
      </c>
      <c r="C3" s="496"/>
      <c r="D3" s="496"/>
      <c r="E3" s="496"/>
      <c r="L3" s="498"/>
    </row>
    <row r="4" spans="1:12" ht="14.4">
      <c r="A4" s="495"/>
      <c r="B4" s="496"/>
      <c r="C4" s="496"/>
      <c r="D4" s="496"/>
      <c r="E4" s="496"/>
      <c r="L4" s="498"/>
    </row>
    <row r="5" spans="1:12" ht="14.4">
      <c r="A5" s="499"/>
      <c r="B5" s="500"/>
      <c r="C5" s="500"/>
      <c r="D5" s="500"/>
      <c r="E5" s="500"/>
      <c r="F5" s="500"/>
      <c r="G5" s="500"/>
      <c r="H5" s="500"/>
      <c r="I5" s="501"/>
      <c r="J5" s="1156" t="s">
        <v>3</v>
      </c>
      <c r="K5" s="1157"/>
      <c r="L5" s="502"/>
    </row>
    <row r="6" spans="1:12" ht="39.6">
      <c r="A6" s="566" t="s">
        <v>2608</v>
      </c>
      <c r="B6" s="567" t="s">
        <v>2609</v>
      </c>
      <c r="C6" s="567" t="s">
        <v>3120</v>
      </c>
      <c r="D6" s="566" t="s">
        <v>3777</v>
      </c>
      <c r="E6" s="567" t="s">
        <v>377</v>
      </c>
      <c r="F6" s="566" t="s">
        <v>380</v>
      </c>
      <c r="G6" s="567" t="s">
        <v>41</v>
      </c>
      <c r="H6" s="566" t="s">
        <v>2626</v>
      </c>
      <c r="I6" s="565" t="s">
        <v>2627</v>
      </c>
      <c r="J6" s="566" t="s">
        <v>380</v>
      </c>
      <c r="K6" s="565" t="s">
        <v>2627</v>
      </c>
      <c r="L6" s="568" t="s">
        <v>43</v>
      </c>
    </row>
    <row r="7" spans="1:12">
      <c r="A7" s="503"/>
      <c r="B7" s="504"/>
      <c r="C7" s="504"/>
      <c r="D7" s="504"/>
      <c r="E7" s="504"/>
      <c r="F7" s="504"/>
      <c r="G7" s="504"/>
      <c r="H7" s="504"/>
      <c r="I7" s="505"/>
      <c r="J7" s="505"/>
      <c r="K7" s="505"/>
      <c r="L7" s="505"/>
    </row>
    <row r="8" spans="1:12" ht="57.6">
      <c r="A8" s="506">
        <v>1</v>
      </c>
      <c r="B8" s="507" t="s">
        <v>3869</v>
      </c>
      <c r="C8" s="507"/>
      <c r="D8" s="507"/>
      <c r="E8" s="507"/>
      <c r="F8" s="508"/>
      <c r="G8" s="506"/>
      <c r="H8" s="508"/>
      <c r="I8" s="509"/>
      <c r="J8" s="509"/>
      <c r="K8" s="509"/>
      <c r="L8" s="510"/>
    </row>
    <row r="9" spans="1:12" ht="14.4">
      <c r="A9" s="511"/>
      <c r="B9" s="935" t="s">
        <v>3786</v>
      </c>
      <c r="C9" s="512"/>
      <c r="D9" s="512"/>
      <c r="E9" s="512"/>
      <c r="F9" s="508"/>
      <c r="G9" s="506"/>
      <c r="H9" s="508"/>
      <c r="I9" s="513"/>
      <c r="J9" s="513"/>
      <c r="K9" s="513"/>
      <c r="L9" s="510"/>
    </row>
    <row r="10" spans="1:12" ht="14.4">
      <c r="A10" s="936"/>
      <c r="B10" s="512" t="s">
        <v>3787</v>
      </c>
      <c r="C10" s="554">
        <v>1</v>
      </c>
      <c r="D10" s="555">
        <v>3.85</v>
      </c>
      <c r="E10" s="555">
        <f>15.3+3.5</f>
        <v>18.8</v>
      </c>
      <c r="F10" s="508">
        <f>C10*D10*E10</f>
        <v>72.38000000000001</v>
      </c>
      <c r="G10" s="506" t="s">
        <v>71</v>
      </c>
      <c r="H10" s="508">
        <f>1428+288</f>
        <v>1716</v>
      </c>
      <c r="I10" s="513">
        <f>ROUND(F10*H10,0)</f>
        <v>124204</v>
      </c>
      <c r="J10" s="513">
        <v>46.2</v>
      </c>
      <c r="K10" s="513">
        <f>ROUND(J10*H10,0)</f>
        <v>79279</v>
      </c>
      <c r="L10" s="509"/>
    </row>
    <row r="11" spans="1:12" ht="14.4">
      <c r="A11" s="936"/>
      <c r="B11" s="512" t="s">
        <v>3788</v>
      </c>
      <c r="C11" s="554">
        <v>-1</v>
      </c>
      <c r="D11" s="555">
        <v>2.5</v>
      </c>
      <c r="E11" s="555">
        <v>1.6</v>
      </c>
      <c r="F11" s="508">
        <f>C11*D11*E11</f>
        <v>-4</v>
      </c>
      <c r="G11" s="506" t="s">
        <v>71</v>
      </c>
      <c r="H11" s="508">
        <f>1428+288</f>
        <v>1716</v>
      </c>
      <c r="I11" s="513">
        <f>ROUND(F11*H11,0)</f>
        <v>-6864</v>
      </c>
      <c r="J11" s="513"/>
      <c r="K11" s="513"/>
      <c r="L11" s="509"/>
    </row>
    <row r="12" spans="1:12" ht="14.4">
      <c r="A12" s="936"/>
      <c r="B12" s="1004" t="s">
        <v>3870</v>
      </c>
      <c r="C12" s="554">
        <v>1</v>
      </c>
      <c r="D12" s="555">
        <v>0.25</v>
      </c>
      <c r="E12" s="555">
        <f>(1.6+2.5+2.5)</f>
        <v>6.6</v>
      </c>
      <c r="F12" s="508">
        <f>C12*D12*E12</f>
        <v>1.65</v>
      </c>
      <c r="G12" s="506" t="s">
        <v>71</v>
      </c>
      <c r="H12" s="508">
        <f>1428+288</f>
        <v>1716</v>
      </c>
      <c r="I12" s="513">
        <f>ROUND(F12*H12,0)</f>
        <v>2831</v>
      </c>
      <c r="J12" s="513"/>
      <c r="K12" s="513"/>
      <c r="L12" s="509"/>
    </row>
    <row r="13" spans="1:12" ht="14.4">
      <c r="A13" s="511"/>
      <c r="B13" s="935" t="s">
        <v>3789</v>
      </c>
      <c r="C13" s="512"/>
      <c r="D13" s="512"/>
      <c r="E13" s="512"/>
      <c r="F13" s="508"/>
      <c r="G13" s="506"/>
      <c r="H13" s="508"/>
      <c r="I13" s="513"/>
      <c r="J13" s="513"/>
      <c r="K13" s="513"/>
      <c r="L13" s="510"/>
    </row>
    <row r="14" spans="1:12" ht="14.4">
      <c r="A14" s="936"/>
      <c r="B14" s="512" t="s">
        <v>3787</v>
      </c>
      <c r="C14" s="554">
        <v>1</v>
      </c>
      <c r="D14" s="555">
        <v>3.85</v>
      </c>
      <c r="E14" s="555">
        <v>29.5</v>
      </c>
      <c r="F14" s="508">
        <f>C14*D14*E14</f>
        <v>113.575</v>
      </c>
      <c r="G14" s="506" t="s">
        <v>71</v>
      </c>
      <c r="H14" s="508">
        <f>1428+288</f>
        <v>1716</v>
      </c>
      <c r="I14" s="513">
        <f>ROUND(F14*H14,0)</f>
        <v>194895</v>
      </c>
      <c r="J14" s="513"/>
      <c r="K14" s="513"/>
      <c r="L14" s="509"/>
    </row>
    <row r="15" spans="1:12" ht="14.4">
      <c r="A15" s="936"/>
      <c r="B15" s="512" t="s">
        <v>3788</v>
      </c>
      <c r="C15" s="554">
        <v>-2</v>
      </c>
      <c r="D15" s="555">
        <v>2.5</v>
      </c>
      <c r="E15" s="555">
        <v>1</v>
      </c>
      <c r="F15" s="508">
        <f>C15*D15*E15</f>
        <v>-5</v>
      </c>
      <c r="G15" s="506" t="s">
        <v>71</v>
      </c>
      <c r="H15" s="508">
        <f>1428+288</f>
        <v>1716</v>
      </c>
      <c r="I15" s="513">
        <f>ROUND(F15*H15,0)</f>
        <v>-8580</v>
      </c>
      <c r="J15" s="513"/>
      <c r="K15" s="513"/>
      <c r="L15" s="509"/>
    </row>
    <row r="16" spans="1:12" ht="14.4">
      <c r="A16" s="936"/>
      <c r="B16" s="512" t="s">
        <v>3788</v>
      </c>
      <c r="C16" s="554">
        <v>-1</v>
      </c>
      <c r="D16" s="555">
        <v>2.5</v>
      </c>
      <c r="E16" s="555">
        <v>2.6</v>
      </c>
      <c r="F16" s="508">
        <f>C16*D16*E16</f>
        <v>-6.5</v>
      </c>
      <c r="G16" s="506" t="s">
        <v>71</v>
      </c>
      <c r="H16" s="508">
        <f>1428+288</f>
        <v>1716</v>
      </c>
      <c r="I16" s="513">
        <f>ROUND(F16*H16,0)</f>
        <v>-11154</v>
      </c>
      <c r="J16" s="513"/>
      <c r="K16" s="513"/>
      <c r="L16" s="509"/>
    </row>
    <row r="17" spans="1:13" ht="14.4">
      <c r="A17" s="936"/>
      <c r="B17" s="512" t="s">
        <v>3790</v>
      </c>
      <c r="C17" s="554">
        <v>-2</v>
      </c>
      <c r="D17" s="555">
        <v>1.5</v>
      </c>
      <c r="E17" s="555">
        <v>0.8</v>
      </c>
      <c r="F17" s="508">
        <f>C17*D17*E17</f>
        <v>-2.4000000000000004</v>
      </c>
      <c r="G17" s="506" t="s">
        <v>71</v>
      </c>
      <c r="H17" s="508">
        <f>1428+288</f>
        <v>1716</v>
      </c>
      <c r="I17" s="513">
        <f>ROUND(F17*H17,0)</f>
        <v>-4118</v>
      </c>
      <c r="J17" s="513"/>
      <c r="K17" s="513"/>
      <c r="L17" s="509"/>
    </row>
    <row r="18" spans="1:13" ht="14.4">
      <c r="A18" s="936"/>
      <c r="B18" s="1004" t="s">
        <v>3870</v>
      </c>
      <c r="C18" s="554">
        <v>1</v>
      </c>
      <c r="D18" s="555">
        <v>0.25</v>
      </c>
      <c r="E18" s="555">
        <f>(1+2.5+2.5)+(1+2.5+2.5)+(2.6+2.5+2.5)</f>
        <v>19.600000000000001</v>
      </c>
      <c r="F18" s="508">
        <f>C18*D18*E18</f>
        <v>4.9000000000000004</v>
      </c>
      <c r="G18" s="506" t="s">
        <v>71</v>
      </c>
      <c r="H18" s="508">
        <f>1428+288</f>
        <v>1716</v>
      </c>
      <c r="I18" s="513">
        <f>ROUND(F18*H18,0)</f>
        <v>8408</v>
      </c>
      <c r="J18" s="513"/>
      <c r="K18" s="513"/>
      <c r="L18" s="509"/>
    </row>
    <row r="19" spans="1:13" ht="14.4">
      <c r="A19" s="936"/>
      <c r="B19" s="935" t="s">
        <v>3791</v>
      </c>
      <c r="C19" s="554">
        <v>1</v>
      </c>
      <c r="D19" s="555"/>
      <c r="E19" s="555"/>
      <c r="F19" s="508"/>
      <c r="G19" s="506"/>
      <c r="H19" s="508"/>
      <c r="I19" s="513"/>
      <c r="J19" s="513"/>
      <c r="K19" s="513"/>
      <c r="L19" s="509"/>
    </row>
    <row r="20" spans="1:13" ht="14.4">
      <c r="A20" s="936"/>
      <c r="B20" s="512" t="s">
        <v>3787</v>
      </c>
      <c r="C20" s="554">
        <v>1</v>
      </c>
      <c r="D20" s="555">
        <v>3.85</v>
      </c>
      <c r="E20" s="555">
        <f>(2.82+5+2.73+0.97)</f>
        <v>11.520000000000001</v>
      </c>
      <c r="F20" s="508">
        <f>C20*D20*E20</f>
        <v>44.352000000000004</v>
      </c>
      <c r="G20" s="506" t="s">
        <v>71</v>
      </c>
      <c r="H20" s="508">
        <f>1428+288</f>
        <v>1716</v>
      </c>
      <c r="I20" s="513">
        <f>ROUND(F20*H20,0)</f>
        <v>76108</v>
      </c>
      <c r="J20" s="1010">
        <v>44.352000000000004</v>
      </c>
      <c r="K20" s="1010">
        <f>ROUND(J20*H20,0)</f>
        <v>76108</v>
      </c>
      <c r="L20" s="509"/>
    </row>
    <row r="21" spans="1:13" ht="14.4">
      <c r="A21" s="936"/>
      <c r="B21" s="512" t="s">
        <v>3788</v>
      </c>
      <c r="C21" s="554">
        <v>-1</v>
      </c>
      <c r="D21" s="555">
        <v>2.5</v>
      </c>
      <c r="E21" s="555">
        <v>0.45</v>
      </c>
      <c r="F21" s="508">
        <f>C21*D21*E21</f>
        <v>-1.125</v>
      </c>
      <c r="G21" s="506" t="s">
        <v>71</v>
      </c>
      <c r="H21" s="508">
        <f>1428+288</f>
        <v>1716</v>
      </c>
      <c r="I21" s="513">
        <f>ROUND(F21*H21,0)</f>
        <v>-1931</v>
      </c>
      <c r="J21" s="1010">
        <v>-1.125</v>
      </c>
      <c r="K21" s="1010">
        <f>ROUND(J21*H21,0)</f>
        <v>-1931</v>
      </c>
      <c r="L21" s="509"/>
    </row>
    <row r="22" spans="1:13" ht="14.4">
      <c r="A22" s="936"/>
      <c r="B22" s="1004" t="s">
        <v>3871</v>
      </c>
      <c r="C22" s="554">
        <v>1</v>
      </c>
      <c r="D22" s="555">
        <v>0.25</v>
      </c>
      <c r="E22" s="555">
        <f>(0.45+2.5+2.5)</f>
        <v>5.45</v>
      </c>
      <c r="F22" s="508">
        <f>C22*D22*E22</f>
        <v>1.3625</v>
      </c>
      <c r="G22" s="506" t="s">
        <v>71</v>
      </c>
      <c r="H22" s="508">
        <f>1428+288</f>
        <v>1716</v>
      </c>
      <c r="I22" s="513">
        <f>ROUND(F22*H22,0)</f>
        <v>2338</v>
      </c>
      <c r="J22" s="1010">
        <v>1.3625</v>
      </c>
      <c r="K22" s="1010">
        <f>ROUND(J22*H22,0)</f>
        <v>2338</v>
      </c>
      <c r="L22" s="509"/>
    </row>
    <row r="23" spans="1:13" ht="14.4">
      <c r="A23" s="936"/>
      <c r="B23" s="512"/>
      <c r="C23" s="554"/>
      <c r="D23" s="555"/>
      <c r="E23" s="555"/>
      <c r="F23" s="937"/>
      <c r="G23" s="506"/>
      <c r="H23" s="508"/>
      <c r="I23" s="513"/>
      <c r="J23" s="513"/>
      <c r="K23" s="513"/>
      <c r="L23" s="509"/>
    </row>
    <row r="24" spans="1:13" ht="43.2">
      <c r="A24" s="511">
        <v>1.2</v>
      </c>
      <c r="B24" s="507" t="s">
        <v>3872</v>
      </c>
      <c r="C24" s="512"/>
      <c r="D24" s="512"/>
      <c r="E24" s="512"/>
      <c r="F24" s="508">
        <v>1</v>
      </c>
      <c r="G24" s="506" t="s">
        <v>2619</v>
      </c>
      <c r="H24" s="508">
        <f>ROUND(SUM(I9:I23)*14.19%,0)</f>
        <v>53374</v>
      </c>
      <c r="I24" s="513">
        <f>ROUND(SUM(I9:I23)*14.19%,0)</f>
        <v>53374</v>
      </c>
      <c r="J24" s="1011">
        <f>SUM(K9:K23)/SUM(I9:I23)</f>
        <v>0.41419482794832735</v>
      </c>
      <c r="K24" s="1010">
        <f>ROUND(J24*H24,0)</f>
        <v>22107</v>
      </c>
      <c r="L24" s="509"/>
    </row>
    <row r="25" spans="1:13" ht="14.4">
      <c r="A25" s="511"/>
      <c r="B25" s="507"/>
      <c r="C25" s="512"/>
      <c r="D25" s="512"/>
      <c r="E25" s="512"/>
      <c r="F25" s="508"/>
      <c r="G25" s="506"/>
      <c r="H25" s="508"/>
      <c r="I25" s="513"/>
      <c r="J25" s="513"/>
      <c r="K25" s="513"/>
      <c r="L25" s="509"/>
    </row>
    <row r="26" spans="1:13" ht="43.2">
      <c r="A26" s="511">
        <v>1.3</v>
      </c>
      <c r="B26" s="507" t="s">
        <v>3130</v>
      </c>
      <c r="C26" s="514"/>
      <c r="D26" s="514"/>
      <c r="E26" s="514"/>
      <c r="F26" s="508">
        <v>1</v>
      </c>
      <c r="G26" s="506" t="s">
        <v>2619</v>
      </c>
      <c r="H26" s="508">
        <f>ROUND(SUM(I9:I23)*15.99%,0)</f>
        <v>60144</v>
      </c>
      <c r="I26" s="513">
        <f>ROUND(SUM(I9:I23)*15.99%,0)</f>
        <v>60144</v>
      </c>
      <c r="J26" s="1011">
        <f>SUM(K9:K23)/SUM(I9:I23)</f>
        <v>0.41419482794832735</v>
      </c>
      <c r="K26" s="1010">
        <f>ROUND(J26*H26,0)</f>
        <v>24911</v>
      </c>
      <c r="L26" s="509"/>
    </row>
    <row r="27" spans="1:13" ht="14.4">
      <c r="A27" s="511"/>
      <c r="B27" s="507"/>
      <c r="C27" s="514"/>
      <c r="D27" s="514"/>
      <c r="E27" s="514"/>
      <c r="F27" s="508"/>
      <c r="G27" s="506"/>
      <c r="H27" s="508"/>
      <c r="I27" s="513"/>
      <c r="J27" s="513"/>
      <c r="K27" s="513"/>
      <c r="L27" s="509"/>
    </row>
    <row r="28" spans="1:13" ht="14.4">
      <c r="A28" s="511">
        <v>1.4</v>
      </c>
      <c r="B28" s="512" t="s">
        <v>3131</v>
      </c>
      <c r="C28" s="512"/>
      <c r="D28" s="512"/>
      <c r="E28" s="512"/>
      <c r="F28" s="508"/>
      <c r="G28" s="506"/>
      <c r="H28" s="508"/>
      <c r="I28" s="938" t="s">
        <v>72</v>
      </c>
      <c r="J28" s="938"/>
      <c r="K28" s="938"/>
      <c r="L28" s="509" t="s">
        <v>3132</v>
      </c>
    </row>
    <row r="29" spans="1:13" ht="14.4">
      <c r="A29" s="515"/>
      <c r="B29" s="516"/>
      <c r="C29" s="516"/>
      <c r="D29" s="516"/>
      <c r="E29" s="516"/>
      <c r="F29" s="516"/>
      <c r="G29" s="516"/>
      <c r="H29" s="516"/>
      <c r="I29" s="517"/>
      <c r="J29" s="517"/>
      <c r="K29" s="517"/>
      <c r="L29" s="518"/>
    </row>
    <row r="30" spans="1:13" ht="25.5" customHeight="1">
      <c r="A30" s="519"/>
      <c r="B30" s="520" t="s">
        <v>2632</v>
      </c>
      <c r="C30" s="520"/>
      <c r="D30" s="520"/>
      <c r="E30" s="520"/>
      <c r="F30" s="522"/>
      <c r="G30" s="521"/>
      <c r="H30" s="522"/>
      <c r="I30" s="522">
        <f>SUM(I9:I29)</f>
        <v>489655</v>
      </c>
      <c r="J30" s="1003">
        <f>K30/I30</f>
        <v>0.41419366696960103</v>
      </c>
      <c r="K30" s="522">
        <f>SUM(K9:K29)</f>
        <v>202812</v>
      </c>
      <c r="L30" s="522"/>
      <c r="M30" s="661"/>
    </row>
    <row r="31" spans="1:13" ht="25.5" customHeight="1">
      <c r="A31" s="519"/>
      <c r="B31" s="978" t="s">
        <v>3593</v>
      </c>
      <c r="C31" s="978"/>
      <c r="D31" s="978"/>
      <c r="E31" s="978"/>
      <c r="F31" s="979"/>
      <c r="G31" s="980"/>
      <c r="H31" s="979"/>
      <c r="I31" s="986">
        <f>-25856+10</f>
        <v>-25846</v>
      </c>
      <c r="J31" s="986"/>
      <c r="K31" s="986"/>
      <c r="L31" s="979"/>
    </row>
    <row r="32" spans="1:13" ht="25.5" customHeight="1">
      <c r="A32" s="519"/>
      <c r="B32" s="978" t="s">
        <v>3594</v>
      </c>
      <c r="C32" s="978"/>
      <c r="D32" s="978"/>
      <c r="E32" s="978"/>
      <c r="F32" s="979"/>
      <c r="G32" s="980"/>
      <c r="H32" s="979"/>
      <c r="I32" s="979">
        <f>SUM(I30:I31)</f>
        <v>463809</v>
      </c>
      <c r="J32" s="1005">
        <f>J30</f>
        <v>0.41419366696960103</v>
      </c>
      <c r="K32" s="979">
        <f>ROUND(I32*J32,0)</f>
        <v>192107</v>
      </c>
      <c r="L32" s="1005"/>
    </row>
    <row r="33" spans="1:12">
      <c r="A33" s="491"/>
      <c r="B33" s="491"/>
      <c r="C33" s="491"/>
      <c r="D33" s="491"/>
      <c r="E33" s="491"/>
      <c r="F33" s="491"/>
      <c r="G33" s="491"/>
      <c r="H33" s="491"/>
      <c r="I33" s="492"/>
      <c r="J33" s="492"/>
      <c r="K33" s="492"/>
      <c r="L33" s="492"/>
    </row>
  </sheetData>
  <mergeCells count="1">
    <mergeCell ref="J5:K5"/>
  </mergeCells>
  <pageMargins left="0.7" right="0.7" top="0.75" bottom="0.75" header="0.3" footer="0.3"/>
  <pageSetup paperSize="9" scale="5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dimension ref="A2:T286"/>
  <sheetViews>
    <sheetView showGridLines="0" view="pageBreakPreview" zoomScale="85" zoomScaleNormal="100" zoomScaleSheetLayoutView="85" workbookViewId="0">
      <selection activeCell="Q273" sqref="Q6:Q273"/>
    </sheetView>
  </sheetViews>
  <sheetFormatPr defaultColWidth="9.109375" defaultRowHeight="14.4"/>
  <cols>
    <col min="1" max="1" width="6.88671875" style="306" customWidth="1"/>
    <col min="2" max="2" width="10.33203125" style="306" customWidth="1"/>
    <col min="3" max="5" width="7.88671875" style="306" customWidth="1"/>
    <col min="6" max="6" width="12.6640625" style="306" customWidth="1"/>
    <col min="7" max="7" width="11.109375" style="306" customWidth="1"/>
    <col min="8" max="8" width="8.6640625" style="306" customWidth="1"/>
    <col min="9" max="10" width="7.88671875" style="325" customWidth="1"/>
    <col min="11" max="11" width="13.6640625" style="325" customWidth="1"/>
    <col min="12" max="13" width="11.33203125" style="325" customWidth="1"/>
    <col min="14" max="14" width="7.88671875" style="306" customWidth="1"/>
    <col min="15" max="15" width="13.6640625" style="306" customWidth="1"/>
    <col min="16" max="18" width="10.6640625" style="306" customWidth="1"/>
    <col min="19" max="19" width="15.6640625" style="306" customWidth="1"/>
    <col min="20" max="20" width="18" style="306" customWidth="1"/>
    <col min="21" max="16384" width="9.109375" style="306"/>
  </cols>
  <sheetData>
    <row r="2" spans="1:20" ht="18">
      <c r="A2" s="305" t="s">
        <v>2322</v>
      </c>
      <c r="I2" s="306"/>
      <c r="J2" s="306"/>
      <c r="K2" s="306"/>
      <c r="L2" s="306"/>
      <c r="M2" s="306"/>
    </row>
    <row r="3" spans="1:20" ht="63.6" customHeight="1">
      <c r="A3" s="308" t="s">
        <v>376</v>
      </c>
      <c r="B3" s="309" t="s">
        <v>2285</v>
      </c>
      <c r="C3" s="308" t="s">
        <v>377</v>
      </c>
      <c r="D3" s="309" t="s">
        <v>378</v>
      </c>
      <c r="E3" s="309" t="s">
        <v>2286</v>
      </c>
      <c r="F3" s="310"/>
      <c r="G3" s="311"/>
      <c r="H3" s="335"/>
      <c r="I3" s="309"/>
      <c r="J3" s="1021" t="s">
        <v>2997</v>
      </c>
      <c r="K3" s="1022"/>
      <c r="L3" s="1021" t="s">
        <v>2998</v>
      </c>
      <c r="M3" s="1023"/>
      <c r="N3" s="1023"/>
      <c r="O3" s="1022"/>
      <c r="P3" s="1021" t="s">
        <v>2310</v>
      </c>
      <c r="Q3" s="1023"/>
      <c r="R3" s="1023"/>
      <c r="S3" s="1022"/>
      <c r="T3" s="309" t="s">
        <v>43</v>
      </c>
    </row>
    <row r="4" spans="1:20" ht="27.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3513</v>
      </c>
      <c r="S4" s="315" t="s">
        <v>3506</v>
      </c>
      <c r="T4" s="314"/>
    </row>
    <row r="5" spans="1:20" ht="6.75" customHeight="1">
      <c r="A5" s="316"/>
      <c r="B5" s="317"/>
      <c r="C5" s="316"/>
      <c r="D5" s="316"/>
      <c r="E5" s="317"/>
      <c r="F5" s="317"/>
      <c r="G5" s="316"/>
      <c r="H5" s="316"/>
      <c r="I5" s="316"/>
      <c r="J5" s="316"/>
      <c r="K5" s="316"/>
      <c r="L5" s="316"/>
      <c r="M5" s="316"/>
      <c r="N5" s="316"/>
      <c r="O5" s="316"/>
      <c r="P5" s="752"/>
      <c r="Q5" s="752"/>
      <c r="R5" s="316"/>
      <c r="S5" s="316"/>
      <c r="T5" s="317"/>
    </row>
    <row r="6" spans="1:20">
      <c r="A6" s="318">
        <v>1</v>
      </c>
      <c r="B6" s="319" t="s">
        <v>383</v>
      </c>
      <c r="C6" s="318">
        <v>800</v>
      </c>
      <c r="D6" s="318">
        <v>2</v>
      </c>
      <c r="E6" s="319">
        <v>1</v>
      </c>
      <c r="F6" s="336"/>
      <c r="G6" s="318" t="s">
        <v>2323</v>
      </c>
      <c r="H6" s="318">
        <v>2.84</v>
      </c>
      <c r="I6" s="318">
        <v>1</v>
      </c>
      <c r="J6" s="318">
        <f>IF(N6&gt;0,1,0)</f>
        <v>1</v>
      </c>
      <c r="K6" s="318">
        <f t="shared" ref="K6:K12" si="0">H6*J6</f>
        <v>2.84</v>
      </c>
      <c r="L6" s="350" t="s">
        <v>3028</v>
      </c>
      <c r="M6" s="350" t="s">
        <v>3024</v>
      </c>
      <c r="N6" s="318">
        <v>1</v>
      </c>
      <c r="O6" s="318">
        <f>H6*N6</f>
        <v>2.84</v>
      </c>
      <c r="P6" s="750">
        <v>1</v>
      </c>
      <c r="Q6" s="750"/>
      <c r="R6" s="337">
        <v>1</v>
      </c>
      <c r="S6" s="348">
        <f>H6*R6</f>
        <v>2.84</v>
      </c>
      <c r="T6" s="319"/>
    </row>
    <row r="7" spans="1:20">
      <c r="A7" s="318"/>
      <c r="B7" s="319"/>
      <c r="C7" s="318"/>
      <c r="D7" s="318"/>
      <c r="E7" s="319"/>
      <c r="F7" s="319"/>
      <c r="G7" s="318" t="s">
        <v>2324</v>
      </c>
      <c r="H7" s="318">
        <v>2.84</v>
      </c>
      <c r="I7" s="318">
        <v>1</v>
      </c>
      <c r="J7" s="318">
        <f t="shared" ref="J7:J70" si="1">IF(N7&gt;0,1,0)</f>
        <v>1</v>
      </c>
      <c r="K7" s="318">
        <f t="shared" si="0"/>
        <v>2.84</v>
      </c>
      <c r="L7" s="350" t="s">
        <v>3042</v>
      </c>
      <c r="M7" s="318"/>
      <c r="N7" s="318">
        <v>1</v>
      </c>
      <c r="O7" s="318">
        <f t="shared" ref="O7:O77" si="2">H7*N7</f>
        <v>2.84</v>
      </c>
      <c r="P7" s="750">
        <v>1</v>
      </c>
      <c r="Q7" s="750"/>
      <c r="R7" s="337">
        <v>1</v>
      </c>
      <c r="S7" s="348">
        <f>H7*R7</f>
        <v>2.84</v>
      </c>
      <c r="T7" s="319"/>
    </row>
    <row r="8" spans="1:20">
      <c r="A8" s="318"/>
      <c r="B8" s="319"/>
      <c r="C8" s="318"/>
      <c r="D8" s="318"/>
      <c r="E8" s="319"/>
      <c r="F8" s="319"/>
      <c r="G8" s="318" t="s">
        <v>2325</v>
      </c>
      <c r="H8" s="318">
        <v>3.08</v>
      </c>
      <c r="I8" s="318">
        <v>1</v>
      </c>
      <c r="J8" s="318">
        <f t="shared" si="1"/>
        <v>1</v>
      </c>
      <c r="K8" s="318">
        <f t="shared" si="0"/>
        <v>3.08</v>
      </c>
      <c r="L8" s="350" t="s">
        <v>3046</v>
      </c>
      <c r="M8" s="350" t="s">
        <v>3052</v>
      </c>
      <c r="N8" s="318">
        <v>1</v>
      </c>
      <c r="O8" s="318">
        <f t="shared" si="2"/>
        <v>3.08</v>
      </c>
      <c r="P8" s="750">
        <v>1</v>
      </c>
      <c r="Q8" s="750"/>
      <c r="R8" s="337">
        <v>1</v>
      </c>
      <c r="S8" s="348">
        <f t="shared" ref="S8:S71" si="3">H8*R8</f>
        <v>3.08</v>
      </c>
      <c r="T8" s="319"/>
    </row>
    <row r="9" spans="1:20">
      <c r="A9" s="318"/>
      <c r="B9" s="319"/>
      <c r="C9" s="318"/>
      <c r="D9" s="318"/>
      <c r="E9" s="319"/>
      <c r="F9" s="319"/>
      <c r="G9" s="318" t="s">
        <v>2326</v>
      </c>
      <c r="H9" s="318">
        <v>3.31</v>
      </c>
      <c r="I9" s="318">
        <v>1</v>
      </c>
      <c r="J9" s="318">
        <f t="shared" si="1"/>
        <v>1</v>
      </c>
      <c r="K9" s="318">
        <f t="shared" si="0"/>
        <v>3.31</v>
      </c>
      <c r="L9" s="350" t="s">
        <v>3049</v>
      </c>
      <c r="M9" s="350" t="s">
        <v>3052</v>
      </c>
      <c r="N9" s="318">
        <v>1</v>
      </c>
      <c r="O9" s="318">
        <f t="shared" si="2"/>
        <v>3.31</v>
      </c>
      <c r="P9" s="750">
        <v>1</v>
      </c>
      <c r="Q9" s="750"/>
      <c r="R9" s="337">
        <v>1</v>
      </c>
      <c r="S9" s="348">
        <f t="shared" si="3"/>
        <v>3.31</v>
      </c>
      <c r="T9" s="319"/>
    </row>
    <row r="10" spans="1:20">
      <c r="A10" s="318"/>
      <c r="B10" s="319"/>
      <c r="C10" s="318"/>
      <c r="D10" s="318"/>
      <c r="E10" s="319"/>
      <c r="F10" s="319"/>
      <c r="G10" s="318" t="s">
        <v>2327</v>
      </c>
      <c r="H10" s="318">
        <v>3.75</v>
      </c>
      <c r="I10" s="318">
        <v>1</v>
      </c>
      <c r="J10" s="318">
        <f t="shared" si="1"/>
        <v>1</v>
      </c>
      <c r="K10" s="318">
        <f t="shared" si="0"/>
        <v>3.75</v>
      </c>
      <c r="L10" s="350" t="s">
        <v>3048</v>
      </c>
      <c r="M10" s="350" t="s">
        <v>3052</v>
      </c>
      <c r="N10" s="318">
        <v>1</v>
      </c>
      <c r="O10" s="318">
        <f t="shared" si="2"/>
        <v>3.75</v>
      </c>
      <c r="P10" s="750">
        <v>1</v>
      </c>
      <c r="Q10" s="750"/>
      <c r="R10" s="337">
        <v>1</v>
      </c>
      <c r="S10" s="348">
        <f t="shared" si="3"/>
        <v>3.75</v>
      </c>
      <c r="T10" s="319"/>
    </row>
    <row r="11" spans="1:20">
      <c r="A11" s="318"/>
      <c r="B11" s="319"/>
      <c r="C11" s="318"/>
      <c r="D11" s="318"/>
      <c r="E11" s="319"/>
      <c r="F11" s="319"/>
      <c r="G11" s="318" t="s">
        <v>2328</v>
      </c>
      <c r="H11" s="318">
        <v>3.4</v>
      </c>
      <c r="I11" s="318">
        <v>1</v>
      </c>
      <c r="J11" s="318">
        <f t="shared" si="1"/>
        <v>1</v>
      </c>
      <c r="K11" s="318">
        <f t="shared" si="0"/>
        <v>3.4</v>
      </c>
      <c r="L11" s="350" t="s">
        <v>3047</v>
      </c>
      <c r="M11" s="350" t="s">
        <v>3052</v>
      </c>
      <c r="N11" s="318">
        <v>1</v>
      </c>
      <c r="O11" s="318">
        <f t="shared" si="2"/>
        <v>3.4</v>
      </c>
      <c r="P11" s="750">
        <v>1</v>
      </c>
      <c r="Q11" s="750"/>
      <c r="R11" s="337">
        <v>1</v>
      </c>
      <c r="S11" s="348">
        <f t="shared" si="3"/>
        <v>3.4</v>
      </c>
      <c r="T11" s="319"/>
    </row>
    <row r="12" spans="1:20">
      <c r="A12" s="318"/>
      <c r="B12" s="319"/>
      <c r="C12" s="318"/>
      <c r="D12" s="318"/>
      <c r="E12" s="319"/>
      <c r="F12" s="319"/>
      <c r="G12" s="318" t="s">
        <v>2329</v>
      </c>
      <c r="H12" s="318">
        <v>4.49</v>
      </c>
      <c r="I12" s="318">
        <v>1</v>
      </c>
      <c r="J12" s="318">
        <f t="shared" si="1"/>
        <v>1</v>
      </c>
      <c r="K12" s="318">
        <f t="shared" si="0"/>
        <v>4.49</v>
      </c>
      <c r="L12" s="350" t="s">
        <v>3047</v>
      </c>
      <c r="M12" s="350" t="s">
        <v>3052</v>
      </c>
      <c r="N12" s="318">
        <v>1</v>
      </c>
      <c r="O12" s="318">
        <f t="shared" si="2"/>
        <v>4.49</v>
      </c>
      <c r="P12" s="750">
        <v>1</v>
      </c>
      <c r="Q12" s="750"/>
      <c r="R12" s="337">
        <v>1</v>
      </c>
      <c r="S12" s="348">
        <f t="shared" si="3"/>
        <v>4.49</v>
      </c>
      <c r="T12" s="319"/>
    </row>
    <row r="13" spans="1:20">
      <c r="A13" s="318"/>
      <c r="B13" s="319"/>
      <c r="C13" s="318"/>
      <c r="D13" s="318"/>
      <c r="E13" s="319"/>
      <c r="F13" s="319"/>
      <c r="G13" s="318" t="s">
        <v>2330</v>
      </c>
      <c r="H13" s="318">
        <v>4.49</v>
      </c>
      <c r="I13" s="318">
        <v>1</v>
      </c>
      <c r="J13" s="318">
        <f t="shared" si="1"/>
        <v>1</v>
      </c>
      <c r="K13" s="318">
        <f>H13*J13</f>
        <v>4.49</v>
      </c>
      <c r="L13" s="350" t="s">
        <v>2962</v>
      </c>
      <c r="M13" s="350" t="s">
        <v>2945</v>
      </c>
      <c r="N13" s="318">
        <v>1</v>
      </c>
      <c r="O13" s="318">
        <f t="shared" si="2"/>
        <v>4.49</v>
      </c>
      <c r="P13" s="750">
        <v>1</v>
      </c>
      <c r="Q13" s="750"/>
      <c r="R13" s="337">
        <v>1</v>
      </c>
      <c r="S13" s="348">
        <f t="shared" si="3"/>
        <v>4.49</v>
      </c>
      <c r="T13" s="319"/>
    </row>
    <row r="14" spans="1:20">
      <c r="A14" s="318"/>
      <c r="B14" s="319"/>
      <c r="C14" s="318"/>
      <c r="D14" s="318"/>
      <c r="E14" s="319"/>
      <c r="F14" s="319"/>
      <c r="G14" s="318" t="s">
        <v>2331</v>
      </c>
      <c r="H14" s="318">
        <v>4.49</v>
      </c>
      <c r="I14" s="318">
        <v>1</v>
      </c>
      <c r="J14" s="318">
        <f t="shared" si="1"/>
        <v>1</v>
      </c>
      <c r="K14" s="318">
        <f t="shared" ref="K14:K77" si="4">H14*J14</f>
        <v>4.49</v>
      </c>
      <c r="L14" s="350" t="s">
        <v>2992</v>
      </c>
      <c r="M14" s="318"/>
      <c r="N14" s="318">
        <v>1</v>
      </c>
      <c r="O14" s="318">
        <f t="shared" si="2"/>
        <v>4.49</v>
      </c>
      <c r="P14" s="750">
        <v>1</v>
      </c>
      <c r="Q14" s="750"/>
      <c r="R14" s="337">
        <v>1</v>
      </c>
      <c r="S14" s="348">
        <f t="shared" si="3"/>
        <v>4.49</v>
      </c>
      <c r="T14" s="319"/>
    </row>
    <row r="15" spans="1:20">
      <c r="A15" s="318"/>
      <c r="B15" s="319"/>
      <c r="C15" s="318"/>
      <c r="D15" s="318"/>
      <c r="E15" s="319"/>
      <c r="F15" s="319"/>
      <c r="G15" s="318" t="s">
        <v>2332</v>
      </c>
      <c r="H15" s="318">
        <v>4.49</v>
      </c>
      <c r="I15" s="318">
        <v>1</v>
      </c>
      <c r="J15" s="318">
        <f t="shared" si="1"/>
        <v>1</v>
      </c>
      <c r="K15" s="318">
        <f t="shared" si="4"/>
        <v>4.49</v>
      </c>
      <c r="L15" s="352" t="s">
        <v>2980</v>
      </c>
      <c r="M15" s="350" t="s">
        <v>2975</v>
      </c>
      <c r="N15" s="318">
        <v>1</v>
      </c>
      <c r="O15" s="318">
        <f t="shared" si="2"/>
        <v>4.49</v>
      </c>
      <c r="P15" s="750">
        <v>1</v>
      </c>
      <c r="Q15" s="750"/>
      <c r="R15" s="337">
        <v>1</v>
      </c>
      <c r="S15" s="348">
        <f t="shared" si="3"/>
        <v>4.49</v>
      </c>
      <c r="T15" s="319"/>
    </row>
    <row r="16" spans="1:20">
      <c r="A16" s="318"/>
      <c r="B16" s="319"/>
      <c r="C16" s="318"/>
      <c r="D16" s="318"/>
      <c r="E16" s="319"/>
      <c r="F16" s="319"/>
      <c r="G16" s="318" t="s">
        <v>2333</v>
      </c>
      <c r="H16" s="318">
        <v>4.49</v>
      </c>
      <c r="I16" s="318">
        <v>1</v>
      </c>
      <c r="J16" s="318">
        <f t="shared" si="1"/>
        <v>1</v>
      </c>
      <c r="K16" s="318">
        <f t="shared" si="4"/>
        <v>4.49</v>
      </c>
      <c r="L16" s="481" t="s">
        <v>3000</v>
      </c>
      <c r="M16" s="350" t="s">
        <v>2995</v>
      </c>
      <c r="N16" s="318">
        <v>1</v>
      </c>
      <c r="O16" s="318">
        <f t="shared" si="2"/>
        <v>4.49</v>
      </c>
      <c r="P16" s="750">
        <v>1</v>
      </c>
      <c r="Q16" s="750"/>
      <c r="R16" s="337">
        <v>1</v>
      </c>
      <c r="S16" s="348">
        <f t="shared" si="3"/>
        <v>4.49</v>
      </c>
      <c r="T16" s="319"/>
    </row>
    <row r="17" spans="1:20">
      <c r="A17" s="318"/>
      <c r="B17" s="319"/>
      <c r="C17" s="318"/>
      <c r="D17" s="318"/>
      <c r="E17" s="319"/>
      <c r="F17" s="319"/>
      <c r="G17" s="318" t="s">
        <v>2334</v>
      </c>
      <c r="H17" s="318">
        <v>4.49</v>
      </c>
      <c r="I17" s="318">
        <v>1</v>
      </c>
      <c r="J17" s="318">
        <f t="shared" si="1"/>
        <v>1</v>
      </c>
      <c r="K17" s="318">
        <f t="shared" si="4"/>
        <v>4.49</v>
      </c>
      <c r="L17" s="350" t="s">
        <v>2993</v>
      </c>
      <c r="M17" s="350" t="s">
        <v>2972</v>
      </c>
      <c r="N17" s="318">
        <v>1</v>
      </c>
      <c r="O17" s="318">
        <f t="shared" si="2"/>
        <v>4.49</v>
      </c>
      <c r="P17" s="750">
        <v>1</v>
      </c>
      <c r="Q17" s="750"/>
      <c r="R17" s="337">
        <v>1</v>
      </c>
      <c r="S17" s="348">
        <f t="shared" si="3"/>
        <v>4.49</v>
      </c>
      <c r="T17" s="319"/>
    </row>
    <row r="18" spans="1:20" ht="15" thickBot="1">
      <c r="A18" s="318"/>
      <c r="B18" s="319"/>
      <c r="C18" s="318"/>
      <c r="D18" s="318"/>
      <c r="E18" s="319"/>
      <c r="F18" s="319"/>
      <c r="G18" s="318" t="s">
        <v>2335</v>
      </c>
      <c r="H18" s="318">
        <v>4.49</v>
      </c>
      <c r="I18" s="318">
        <v>1</v>
      </c>
      <c r="J18" s="318">
        <f t="shared" si="1"/>
        <v>1</v>
      </c>
      <c r="K18" s="318">
        <f t="shared" si="4"/>
        <v>4.49</v>
      </c>
      <c r="L18" s="350" t="s">
        <v>2976</v>
      </c>
      <c r="M18" s="350" t="s">
        <v>2975</v>
      </c>
      <c r="N18" s="318">
        <v>1</v>
      </c>
      <c r="O18" s="318">
        <f t="shared" si="2"/>
        <v>4.49</v>
      </c>
      <c r="P18" s="750">
        <v>1</v>
      </c>
      <c r="Q18" s="750"/>
      <c r="R18" s="592">
        <v>1</v>
      </c>
      <c r="S18" s="348">
        <f t="shared" si="3"/>
        <v>4.49</v>
      </c>
      <c r="T18" s="319"/>
    </row>
    <row r="19" spans="1:20" ht="15.6" thickTop="1" thickBot="1">
      <c r="A19" s="318"/>
      <c r="B19" s="319"/>
      <c r="C19" s="318"/>
      <c r="D19" s="318"/>
      <c r="E19" s="319"/>
      <c r="F19" s="319"/>
      <c r="G19" s="649" t="s">
        <v>2336</v>
      </c>
      <c r="H19" s="318">
        <v>4.49</v>
      </c>
      <c r="I19" s="318">
        <v>1</v>
      </c>
      <c r="J19" s="318">
        <f t="shared" si="1"/>
        <v>1</v>
      </c>
      <c r="K19" s="318">
        <f t="shared" si="4"/>
        <v>4.49</v>
      </c>
      <c r="L19" s="350" t="s">
        <v>3071</v>
      </c>
      <c r="M19" s="318">
        <v>230</v>
      </c>
      <c r="N19" s="318">
        <v>1</v>
      </c>
      <c r="O19" s="619">
        <f t="shared" si="2"/>
        <v>4.49</v>
      </c>
      <c r="P19" s="750">
        <v>0.4</v>
      </c>
      <c r="Q19" s="747">
        <f>R19-P19</f>
        <v>0</v>
      </c>
      <c r="R19" s="624">
        <v>0.4</v>
      </c>
      <c r="S19" s="348">
        <f t="shared" si="3"/>
        <v>1.7960000000000003</v>
      </c>
      <c r="T19" s="389" t="s">
        <v>3703</v>
      </c>
    </row>
    <row r="20" spans="1:20" ht="15.6" thickTop="1" thickBot="1">
      <c r="A20" s="318"/>
      <c r="B20" s="319"/>
      <c r="C20" s="318"/>
      <c r="D20" s="318"/>
      <c r="E20" s="319"/>
      <c r="F20" s="319"/>
      <c r="G20" s="649" t="s">
        <v>2337</v>
      </c>
      <c r="H20" s="318">
        <v>4.49</v>
      </c>
      <c r="I20" s="318">
        <v>1</v>
      </c>
      <c r="J20" s="318">
        <f t="shared" si="1"/>
        <v>1</v>
      </c>
      <c r="K20" s="318">
        <f t="shared" si="4"/>
        <v>4.49</v>
      </c>
      <c r="L20" s="350" t="s">
        <v>3049</v>
      </c>
      <c r="M20" s="350" t="s">
        <v>3052</v>
      </c>
      <c r="N20" s="318">
        <v>1</v>
      </c>
      <c r="O20" s="619">
        <f t="shared" si="2"/>
        <v>4.49</v>
      </c>
      <c r="P20" s="750">
        <v>0.4</v>
      </c>
      <c r="Q20" s="747">
        <f>R20-P20</f>
        <v>0</v>
      </c>
      <c r="R20" s="624">
        <v>0.4</v>
      </c>
      <c r="S20" s="348">
        <f t="shared" si="3"/>
        <v>1.7960000000000003</v>
      </c>
      <c r="T20" s="389" t="s">
        <v>3703</v>
      </c>
    </row>
    <row r="21" spans="1:20" ht="15.6" thickTop="1" thickBot="1">
      <c r="A21" s="318"/>
      <c r="B21" s="319"/>
      <c r="C21" s="318"/>
      <c r="D21" s="318"/>
      <c r="E21" s="319"/>
      <c r="F21" s="319"/>
      <c r="G21" s="649" t="s">
        <v>2338</v>
      </c>
      <c r="H21" s="318">
        <v>4.49</v>
      </c>
      <c r="I21" s="318">
        <v>1</v>
      </c>
      <c r="J21" s="318">
        <f t="shared" si="1"/>
        <v>1</v>
      </c>
      <c r="K21" s="318">
        <f t="shared" si="4"/>
        <v>4.49</v>
      </c>
      <c r="L21" s="350" t="s">
        <v>3072</v>
      </c>
      <c r="M21" s="350" t="s">
        <v>3052</v>
      </c>
      <c r="N21" s="318">
        <v>1</v>
      </c>
      <c r="O21" s="619">
        <f t="shared" si="2"/>
        <v>4.49</v>
      </c>
      <c r="P21" s="750">
        <v>0.4</v>
      </c>
      <c r="Q21" s="747">
        <f>R21-P21</f>
        <v>0</v>
      </c>
      <c r="R21" s="624">
        <v>0.4</v>
      </c>
      <c r="S21" s="348">
        <f t="shared" si="3"/>
        <v>1.7960000000000003</v>
      </c>
      <c r="T21" s="389" t="s">
        <v>3703</v>
      </c>
    </row>
    <row r="22" spans="1:20" ht="15.6" thickTop="1" thickBot="1">
      <c r="A22" s="318"/>
      <c r="B22" s="319"/>
      <c r="C22" s="318"/>
      <c r="D22" s="318"/>
      <c r="E22" s="319"/>
      <c r="F22" s="319"/>
      <c r="G22" s="652" t="s">
        <v>2339</v>
      </c>
      <c r="H22" s="318">
        <v>4.49</v>
      </c>
      <c r="I22" s="318">
        <v>1</v>
      </c>
      <c r="J22" s="318">
        <v>1</v>
      </c>
      <c r="K22" s="318">
        <f t="shared" si="4"/>
        <v>4.49</v>
      </c>
      <c r="L22" s="318"/>
      <c r="M22" s="318"/>
      <c r="N22" s="318"/>
      <c r="O22" s="619">
        <f t="shared" si="2"/>
        <v>0</v>
      </c>
      <c r="P22" s="750"/>
      <c r="Q22" s="747"/>
      <c r="R22" s="624"/>
      <c r="S22" s="348">
        <f t="shared" si="3"/>
        <v>0</v>
      </c>
      <c r="T22" s="583" t="s">
        <v>3210</v>
      </c>
    </row>
    <row r="23" spans="1:20" ht="15.6" thickTop="1" thickBot="1">
      <c r="A23" s="318"/>
      <c r="B23" s="319"/>
      <c r="C23" s="318"/>
      <c r="D23" s="318"/>
      <c r="E23" s="319"/>
      <c r="F23" s="319"/>
      <c r="G23" s="652" t="s">
        <v>2340</v>
      </c>
      <c r="H23" s="318">
        <v>4.49</v>
      </c>
      <c r="I23" s="318">
        <v>1</v>
      </c>
      <c r="J23" s="318">
        <v>1</v>
      </c>
      <c r="K23" s="318">
        <f t="shared" si="4"/>
        <v>4.49</v>
      </c>
      <c r="L23" s="318"/>
      <c r="M23" s="318"/>
      <c r="N23" s="318"/>
      <c r="O23" s="619">
        <f t="shared" si="2"/>
        <v>0</v>
      </c>
      <c r="P23" s="750"/>
      <c r="Q23" s="747"/>
      <c r="R23" s="624"/>
      <c r="S23" s="348">
        <f t="shared" si="3"/>
        <v>0</v>
      </c>
      <c r="T23" s="583" t="s">
        <v>3210</v>
      </c>
    </row>
    <row r="24" spans="1:20" ht="15.6" thickTop="1" thickBot="1">
      <c r="A24" s="318"/>
      <c r="B24" s="319"/>
      <c r="C24" s="318"/>
      <c r="D24" s="318"/>
      <c r="E24" s="319"/>
      <c r="F24" s="336"/>
      <c r="G24" s="652" t="s">
        <v>2341</v>
      </c>
      <c r="H24" s="319">
        <v>4.49</v>
      </c>
      <c r="I24" s="318">
        <v>1</v>
      </c>
      <c r="J24" s="318">
        <f t="shared" si="1"/>
        <v>1</v>
      </c>
      <c r="K24" s="318">
        <f t="shared" si="4"/>
        <v>4.49</v>
      </c>
      <c r="L24" s="318"/>
      <c r="M24" s="318"/>
      <c r="N24" s="318">
        <v>0.5</v>
      </c>
      <c r="O24" s="619">
        <f t="shared" si="2"/>
        <v>2.2450000000000001</v>
      </c>
      <c r="P24" s="750"/>
      <c r="Q24" s="747"/>
      <c r="R24" s="624"/>
      <c r="S24" s="348">
        <f t="shared" si="3"/>
        <v>0</v>
      </c>
      <c r="T24" s="583" t="s">
        <v>3210</v>
      </c>
    </row>
    <row r="25" spans="1:20" ht="15.6" thickTop="1" thickBot="1">
      <c r="A25" s="318"/>
      <c r="B25" s="319"/>
      <c r="C25" s="318"/>
      <c r="D25" s="318"/>
      <c r="E25" s="319"/>
      <c r="F25" s="336"/>
      <c r="G25" s="649" t="s">
        <v>2342</v>
      </c>
      <c r="H25" s="318">
        <v>4.49</v>
      </c>
      <c r="I25" s="318">
        <v>1</v>
      </c>
      <c r="J25" s="318">
        <f t="shared" si="1"/>
        <v>1</v>
      </c>
      <c r="K25" s="318">
        <f t="shared" si="4"/>
        <v>4.49</v>
      </c>
      <c r="L25" s="350" t="s">
        <v>2951</v>
      </c>
      <c r="M25" s="350" t="s">
        <v>2952</v>
      </c>
      <c r="N25" s="318">
        <v>1</v>
      </c>
      <c r="O25" s="619">
        <f t="shared" si="2"/>
        <v>4.49</v>
      </c>
      <c r="P25" s="750"/>
      <c r="Q25" s="747"/>
      <c r="R25" s="624"/>
      <c r="S25" s="348">
        <f t="shared" si="3"/>
        <v>0</v>
      </c>
      <c r="T25" s="583" t="s">
        <v>3210</v>
      </c>
    </row>
    <row r="26" spans="1:20" ht="15" thickTop="1">
      <c r="A26" s="318"/>
      <c r="B26" s="319"/>
      <c r="C26" s="318"/>
      <c r="D26" s="318"/>
      <c r="E26" s="319"/>
      <c r="F26" s="336"/>
      <c r="G26" s="318" t="s">
        <v>2368</v>
      </c>
      <c r="H26" s="318">
        <v>4.49</v>
      </c>
      <c r="I26" s="318">
        <v>1</v>
      </c>
      <c r="J26" s="318">
        <f t="shared" si="1"/>
        <v>1</v>
      </c>
      <c r="K26" s="318">
        <f t="shared" si="4"/>
        <v>4.49</v>
      </c>
      <c r="L26" s="350" t="s">
        <v>2961</v>
      </c>
      <c r="M26" s="350" t="s">
        <v>2960</v>
      </c>
      <c r="N26" s="318">
        <v>1</v>
      </c>
      <c r="O26" s="619">
        <f t="shared" si="2"/>
        <v>4.49</v>
      </c>
      <c r="P26" s="750">
        <v>1</v>
      </c>
      <c r="Q26" s="750"/>
      <c r="R26" s="337">
        <v>1</v>
      </c>
      <c r="S26" s="348">
        <f t="shared" si="3"/>
        <v>4.49</v>
      </c>
      <c r="T26" s="319"/>
    </row>
    <row r="27" spans="1:20">
      <c r="A27" s="318"/>
      <c r="B27" s="319"/>
      <c r="C27" s="318"/>
      <c r="D27" s="318"/>
      <c r="E27" s="319"/>
      <c r="F27" s="336"/>
      <c r="G27" s="318" t="s">
        <v>2369</v>
      </c>
      <c r="H27" s="319">
        <v>1.7</v>
      </c>
      <c r="I27" s="318">
        <v>1</v>
      </c>
      <c r="J27" s="318">
        <f t="shared" si="1"/>
        <v>1</v>
      </c>
      <c r="K27" s="318">
        <f t="shared" si="4"/>
        <v>1.7</v>
      </c>
      <c r="L27" s="350" t="s">
        <v>2963</v>
      </c>
      <c r="M27" s="350" t="s">
        <v>2956</v>
      </c>
      <c r="N27" s="318">
        <v>1</v>
      </c>
      <c r="O27" s="619">
        <f t="shared" si="2"/>
        <v>1.7</v>
      </c>
      <c r="P27" s="750">
        <v>1</v>
      </c>
      <c r="Q27" s="750"/>
      <c r="R27" s="337">
        <v>1</v>
      </c>
      <c r="S27" s="348">
        <f t="shared" si="3"/>
        <v>1.7</v>
      </c>
      <c r="T27" s="319"/>
    </row>
    <row r="28" spans="1:20">
      <c r="A28" s="318"/>
      <c r="B28" s="319"/>
      <c r="C28" s="318"/>
      <c r="D28" s="318"/>
      <c r="E28" s="319"/>
      <c r="F28" s="319"/>
      <c r="G28" s="318" t="s">
        <v>2370</v>
      </c>
      <c r="H28" s="318">
        <v>3.75</v>
      </c>
      <c r="I28" s="318">
        <v>1</v>
      </c>
      <c r="J28" s="318">
        <f t="shared" si="1"/>
        <v>1</v>
      </c>
      <c r="K28" s="318">
        <f t="shared" si="4"/>
        <v>3.75</v>
      </c>
      <c r="L28" s="350" t="s">
        <v>2981</v>
      </c>
      <c r="M28" s="350" t="s">
        <v>2972</v>
      </c>
      <c r="N28" s="318">
        <v>1</v>
      </c>
      <c r="O28" s="619">
        <f t="shared" si="2"/>
        <v>3.75</v>
      </c>
      <c r="P28" s="750">
        <v>1</v>
      </c>
      <c r="Q28" s="750"/>
      <c r="R28" s="337">
        <v>1</v>
      </c>
      <c r="S28" s="348">
        <f t="shared" si="3"/>
        <v>3.75</v>
      </c>
      <c r="T28" s="319"/>
    </row>
    <row r="29" spans="1:20">
      <c r="A29" s="318"/>
      <c r="B29" s="319"/>
      <c r="C29" s="318"/>
      <c r="D29" s="318"/>
      <c r="E29" s="319"/>
      <c r="F29" s="336"/>
      <c r="G29" s="318" t="s">
        <v>2371</v>
      </c>
      <c r="H29" s="318">
        <v>3.45</v>
      </c>
      <c r="I29" s="318">
        <v>1</v>
      </c>
      <c r="J29" s="318">
        <f t="shared" si="1"/>
        <v>1</v>
      </c>
      <c r="K29" s="318">
        <f t="shared" si="4"/>
        <v>3.45</v>
      </c>
      <c r="L29" s="350" t="s">
        <v>2979</v>
      </c>
      <c r="M29" s="350" t="s">
        <v>2975</v>
      </c>
      <c r="N29" s="318">
        <v>1</v>
      </c>
      <c r="O29" s="619">
        <f>H29*N29</f>
        <v>3.45</v>
      </c>
      <c r="P29" s="750">
        <v>1</v>
      </c>
      <c r="Q29" s="750"/>
      <c r="R29" s="337">
        <v>1</v>
      </c>
      <c r="S29" s="348">
        <f t="shared" si="3"/>
        <v>3.45</v>
      </c>
      <c r="T29" s="319"/>
    </row>
    <row r="30" spans="1:20">
      <c r="A30" s="318"/>
      <c r="B30" s="319"/>
      <c r="C30" s="318"/>
      <c r="D30" s="318"/>
      <c r="E30" s="319"/>
      <c r="F30" s="336"/>
      <c r="G30" s="318" t="s">
        <v>2343</v>
      </c>
      <c r="H30" s="319">
        <v>4.1500000000000004</v>
      </c>
      <c r="I30" s="318">
        <v>1</v>
      </c>
      <c r="J30" s="318">
        <f t="shared" si="1"/>
        <v>1</v>
      </c>
      <c r="K30" s="318">
        <f t="shared" si="4"/>
        <v>4.1500000000000004</v>
      </c>
      <c r="L30" s="350" t="s">
        <v>3001</v>
      </c>
      <c r="M30" s="350" t="s">
        <v>2994</v>
      </c>
      <c r="N30" s="318">
        <v>1</v>
      </c>
      <c r="O30" s="619">
        <f>H30*N30</f>
        <v>4.1500000000000004</v>
      </c>
      <c r="P30" s="750">
        <v>1</v>
      </c>
      <c r="Q30" s="750"/>
      <c r="R30" s="337">
        <v>1</v>
      </c>
      <c r="S30" s="348">
        <f t="shared" si="3"/>
        <v>4.1500000000000004</v>
      </c>
      <c r="T30" s="319"/>
    </row>
    <row r="31" spans="1:20">
      <c r="A31" s="318"/>
      <c r="B31" s="319"/>
      <c r="C31" s="318"/>
      <c r="D31" s="318"/>
      <c r="E31" s="319"/>
      <c r="F31" s="319"/>
      <c r="G31" s="318" t="s">
        <v>2344</v>
      </c>
      <c r="H31" s="318">
        <v>3.75</v>
      </c>
      <c r="I31" s="318">
        <v>1</v>
      </c>
      <c r="J31" s="318">
        <f t="shared" si="1"/>
        <v>1</v>
      </c>
      <c r="K31" s="318">
        <f t="shared" si="4"/>
        <v>3.75</v>
      </c>
      <c r="L31" s="350" t="s">
        <v>3001</v>
      </c>
      <c r="M31" s="350" t="s">
        <v>2994</v>
      </c>
      <c r="N31" s="318">
        <v>1</v>
      </c>
      <c r="O31" s="619">
        <f t="shared" si="2"/>
        <v>3.75</v>
      </c>
      <c r="P31" s="750">
        <v>1</v>
      </c>
      <c r="Q31" s="750"/>
      <c r="R31" s="337">
        <v>1</v>
      </c>
      <c r="S31" s="348">
        <f t="shared" si="3"/>
        <v>3.75</v>
      </c>
      <c r="T31" s="319"/>
    </row>
    <row r="32" spans="1:20">
      <c r="A32" s="318"/>
      <c r="B32" s="319"/>
      <c r="C32" s="318"/>
      <c r="D32" s="318"/>
      <c r="E32" s="319"/>
      <c r="F32" s="319"/>
      <c r="G32" s="318" t="s">
        <v>2345</v>
      </c>
      <c r="H32" s="318">
        <v>3.75</v>
      </c>
      <c r="I32" s="318">
        <v>1</v>
      </c>
      <c r="J32" s="318">
        <f t="shared" si="1"/>
        <v>1</v>
      </c>
      <c r="K32" s="318">
        <f t="shared" si="4"/>
        <v>3.75</v>
      </c>
      <c r="L32" s="350" t="s">
        <v>2974</v>
      </c>
      <c r="M32" s="350" t="s">
        <v>2975</v>
      </c>
      <c r="N32" s="318">
        <v>1</v>
      </c>
      <c r="O32" s="619">
        <f t="shared" si="2"/>
        <v>3.75</v>
      </c>
      <c r="P32" s="750">
        <v>1</v>
      </c>
      <c r="Q32" s="750"/>
      <c r="R32" s="337">
        <v>1</v>
      </c>
      <c r="S32" s="348">
        <f t="shared" si="3"/>
        <v>3.75</v>
      </c>
      <c r="T32" s="319"/>
    </row>
    <row r="33" spans="1:20">
      <c r="A33" s="318"/>
      <c r="B33" s="319"/>
      <c r="C33" s="318"/>
      <c r="D33" s="318"/>
      <c r="E33" s="319"/>
      <c r="F33" s="319"/>
      <c r="G33" s="318" t="s">
        <v>2346</v>
      </c>
      <c r="H33" s="318">
        <v>3.75</v>
      </c>
      <c r="I33" s="318">
        <v>1</v>
      </c>
      <c r="J33" s="318">
        <f t="shared" si="1"/>
        <v>1</v>
      </c>
      <c r="K33" s="318">
        <f t="shared" si="4"/>
        <v>3.75</v>
      </c>
      <c r="L33" s="350" t="s">
        <v>2974</v>
      </c>
      <c r="M33" s="350" t="s">
        <v>2975</v>
      </c>
      <c r="N33" s="318">
        <v>1</v>
      </c>
      <c r="O33" s="619">
        <f t="shared" si="2"/>
        <v>3.75</v>
      </c>
      <c r="P33" s="750">
        <v>1</v>
      </c>
      <c r="Q33" s="750"/>
      <c r="R33" s="337">
        <v>1</v>
      </c>
      <c r="S33" s="348">
        <f t="shared" si="3"/>
        <v>3.75</v>
      </c>
      <c r="T33" s="319"/>
    </row>
    <row r="34" spans="1:20">
      <c r="A34" s="318"/>
      <c r="B34" s="319"/>
      <c r="C34" s="318"/>
      <c r="D34" s="318"/>
      <c r="E34" s="319"/>
      <c r="F34" s="319"/>
      <c r="G34" s="318" t="s">
        <v>2347</v>
      </c>
      <c r="H34" s="318">
        <v>3.13</v>
      </c>
      <c r="I34" s="318">
        <v>1</v>
      </c>
      <c r="J34" s="318">
        <f t="shared" si="1"/>
        <v>1</v>
      </c>
      <c r="K34" s="318">
        <f t="shared" si="4"/>
        <v>3.13</v>
      </c>
      <c r="L34" s="350" t="s">
        <v>2981</v>
      </c>
      <c r="M34" s="350" t="s">
        <v>2972</v>
      </c>
      <c r="N34" s="318">
        <v>1</v>
      </c>
      <c r="O34" s="619">
        <f t="shared" ref="O34:O58" si="5">H34*N34</f>
        <v>3.13</v>
      </c>
      <c r="P34" s="750">
        <v>1</v>
      </c>
      <c r="Q34" s="750"/>
      <c r="R34" s="337">
        <v>1</v>
      </c>
      <c r="S34" s="348">
        <f t="shared" si="3"/>
        <v>3.13</v>
      </c>
      <c r="T34" s="319"/>
    </row>
    <row r="35" spans="1:20">
      <c r="A35" s="318"/>
      <c r="B35" s="319"/>
      <c r="C35" s="318"/>
      <c r="D35" s="318"/>
      <c r="E35" s="319"/>
      <c r="F35" s="319"/>
      <c r="G35" s="318" t="s">
        <v>2348</v>
      </c>
      <c r="H35" s="318">
        <v>3.2</v>
      </c>
      <c r="I35" s="318">
        <v>1</v>
      </c>
      <c r="J35" s="318">
        <f t="shared" si="1"/>
        <v>1</v>
      </c>
      <c r="K35" s="318">
        <f t="shared" si="4"/>
        <v>3.2</v>
      </c>
      <c r="L35" s="482" t="s">
        <v>3356</v>
      </c>
      <c r="M35" s="352" t="s">
        <v>3318</v>
      </c>
      <c r="N35" s="318">
        <v>1</v>
      </c>
      <c r="O35" s="619">
        <f t="shared" si="5"/>
        <v>3.2</v>
      </c>
      <c r="P35" s="750">
        <v>1</v>
      </c>
      <c r="Q35" s="750"/>
      <c r="R35" s="337">
        <v>1</v>
      </c>
      <c r="S35" s="348">
        <f t="shared" si="3"/>
        <v>3.2</v>
      </c>
      <c r="T35" s="319"/>
    </row>
    <row r="36" spans="1:20">
      <c r="A36" s="318"/>
      <c r="B36" s="319"/>
      <c r="C36" s="318"/>
      <c r="D36" s="318"/>
      <c r="E36" s="319"/>
      <c r="F36" s="319"/>
      <c r="G36" s="318" t="s">
        <v>2349</v>
      </c>
      <c r="H36" s="318">
        <v>3.2</v>
      </c>
      <c r="I36" s="318">
        <v>1</v>
      </c>
      <c r="J36" s="318">
        <f t="shared" si="1"/>
        <v>1</v>
      </c>
      <c r="K36" s="318">
        <f t="shared" si="4"/>
        <v>3.2</v>
      </c>
      <c r="L36" s="481" t="s">
        <v>3357</v>
      </c>
      <c r="M36" s="352" t="s">
        <v>3319</v>
      </c>
      <c r="N36" s="318">
        <v>1</v>
      </c>
      <c r="O36" s="619">
        <f t="shared" si="5"/>
        <v>3.2</v>
      </c>
      <c r="P36" s="750">
        <v>1</v>
      </c>
      <c r="Q36" s="750"/>
      <c r="R36" s="337">
        <v>1</v>
      </c>
      <c r="S36" s="348">
        <f t="shared" si="3"/>
        <v>3.2</v>
      </c>
      <c r="T36" s="319"/>
    </row>
    <row r="37" spans="1:20">
      <c r="A37" s="318"/>
      <c r="B37" s="319"/>
      <c r="C37" s="318"/>
      <c r="D37" s="318"/>
      <c r="E37" s="319"/>
      <c r="F37" s="319"/>
      <c r="G37" s="318" t="s">
        <v>2350</v>
      </c>
      <c r="H37" s="318">
        <v>2.89</v>
      </c>
      <c r="I37" s="318">
        <v>1</v>
      </c>
      <c r="J37" s="318">
        <f t="shared" si="1"/>
        <v>1</v>
      </c>
      <c r="K37" s="318">
        <f t="shared" si="4"/>
        <v>2.89</v>
      </c>
      <c r="L37" s="482" t="s">
        <v>3358</v>
      </c>
      <c r="M37" s="352" t="s">
        <v>3320</v>
      </c>
      <c r="N37" s="318">
        <v>1</v>
      </c>
      <c r="O37" s="619">
        <f t="shared" si="5"/>
        <v>2.89</v>
      </c>
      <c r="P37" s="750">
        <v>1</v>
      </c>
      <c r="Q37" s="750"/>
      <c r="R37" s="337">
        <v>1</v>
      </c>
      <c r="S37" s="348">
        <f t="shared" si="3"/>
        <v>2.89</v>
      </c>
      <c r="T37" s="319"/>
    </row>
    <row r="38" spans="1:20">
      <c r="A38" s="318"/>
      <c r="B38" s="319"/>
      <c r="C38" s="318"/>
      <c r="D38" s="318"/>
      <c r="E38" s="319"/>
      <c r="F38" s="319"/>
      <c r="G38" s="318" t="s">
        <v>2351</v>
      </c>
      <c r="H38" s="318">
        <v>4.49</v>
      </c>
      <c r="I38" s="318">
        <v>1</v>
      </c>
      <c r="J38" s="318">
        <f t="shared" si="1"/>
        <v>1</v>
      </c>
      <c r="K38" s="318">
        <f t="shared" si="4"/>
        <v>4.49</v>
      </c>
      <c r="L38" s="481" t="s">
        <v>3359</v>
      </c>
      <c r="M38" s="352" t="s">
        <v>3321</v>
      </c>
      <c r="N38" s="318">
        <v>1</v>
      </c>
      <c r="O38" s="619">
        <f t="shared" si="5"/>
        <v>4.49</v>
      </c>
      <c r="P38" s="750">
        <v>1</v>
      </c>
      <c r="Q38" s="750"/>
      <c r="R38" s="337">
        <v>1</v>
      </c>
      <c r="S38" s="348">
        <f t="shared" si="3"/>
        <v>4.49</v>
      </c>
      <c r="T38" s="319"/>
    </row>
    <row r="39" spans="1:20">
      <c r="A39" s="318"/>
      <c r="B39" s="319"/>
      <c r="C39" s="318"/>
      <c r="D39" s="318"/>
      <c r="E39" s="319"/>
      <c r="F39" s="319"/>
      <c r="G39" s="318" t="s">
        <v>2352</v>
      </c>
      <c r="H39" s="318">
        <v>4.49</v>
      </c>
      <c r="I39" s="318">
        <v>1</v>
      </c>
      <c r="J39" s="318">
        <f t="shared" si="1"/>
        <v>1</v>
      </c>
      <c r="K39" s="318">
        <f t="shared" si="4"/>
        <v>4.49</v>
      </c>
      <c r="L39" s="481" t="s">
        <v>3360</v>
      </c>
      <c r="M39" s="352" t="s">
        <v>3322</v>
      </c>
      <c r="N39" s="318">
        <v>1</v>
      </c>
      <c r="O39" s="619">
        <f t="shared" si="5"/>
        <v>4.49</v>
      </c>
      <c r="P39" s="750">
        <v>1</v>
      </c>
      <c r="Q39" s="750"/>
      <c r="R39" s="337">
        <v>1</v>
      </c>
      <c r="S39" s="348">
        <f t="shared" si="3"/>
        <v>4.49</v>
      </c>
      <c r="T39" s="319"/>
    </row>
    <row r="40" spans="1:20">
      <c r="A40" s="318"/>
      <c r="B40" s="319"/>
      <c r="C40" s="318"/>
      <c r="D40" s="318"/>
      <c r="E40" s="319"/>
      <c r="F40" s="319"/>
      <c r="G40" s="318" t="s">
        <v>2353</v>
      </c>
      <c r="H40" s="318">
        <v>4.49</v>
      </c>
      <c r="I40" s="318">
        <v>1</v>
      </c>
      <c r="J40" s="318">
        <f t="shared" si="1"/>
        <v>1</v>
      </c>
      <c r="K40" s="318">
        <f t="shared" si="4"/>
        <v>4.49</v>
      </c>
      <c r="L40" s="481" t="s">
        <v>3360</v>
      </c>
      <c r="M40" s="352" t="s">
        <v>3322</v>
      </c>
      <c r="N40" s="318">
        <v>1</v>
      </c>
      <c r="O40" s="619">
        <f t="shared" si="5"/>
        <v>4.49</v>
      </c>
      <c r="P40" s="750">
        <v>1</v>
      </c>
      <c r="Q40" s="750"/>
      <c r="R40" s="337">
        <v>1</v>
      </c>
      <c r="S40" s="348">
        <f t="shared" si="3"/>
        <v>4.49</v>
      </c>
      <c r="T40" s="319"/>
    </row>
    <row r="41" spans="1:20">
      <c r="A41" s="318"/>
      <c r="B41" s="319"/>
      <c r="C41" s="318"/>
      <c r="D41" s="318"/>
      <c r="E41" s="319"/>
      <c r="F41" s="319"/>
      <c r="G41" s="318" t="s">
        <v>2354</v>
      </c>
      <c r="H41" s="318">
        <v>3.32</v>
      </c>
      <c r="I41" s="318">
        <v>1</v>
      </c>
      <c r="J41" s="318">
        <f t="shared" si="1"/>
        <v>1</v>
      </c>
      <c r="K41" s="318">
        <f t="shared" si="4"/>
        <v>3.32</v>
      </c>
      <c r="L41" s="481" t="s">
        <v>3361</v>
      </c>
      <c r="M41" s="352" t="s">
        <v>3323</v>
      </c>
      <c r="N41" s="318">
        <v>1</v>
      </c>
      <c r="O41" s="619">
        <f t="shared" si="5"/>
        <v>3.32</v>
      </c>
      <c r="P41" s="750">
        <v>1</v>
      </c>
      <c r="Q41" s="750"/>
      <c r="R41" s="337">
        <v>1</v>
      </c>
      <c r="S41" s="348">
        <f t="shared" si="3"/>
        <v>3.32</v>
      </c>
      <c r="T41" s="319"/>
    </row>
    <row r="42" spans="1:20">
      <c r="A42" s="318"/>
      <c r="B42" s="319"/>
      <c r="C42" s="318"/>
      <c r="D42" s="318"/>
      <c r="E42" s="319"/>
      <c r="F42" s="319"/>
      <c r="G42" s="318" t="s">
        <v>2355</v>
      </c>
      <c r="H42" s="318">
        <v>3.32</v>
      </c>
      <c r="I42" s="318">
        <v>1</v>
      </c>
      <c r="J42" s="318">
        <f t="shared" si="1"/>
        <v>1</v>
      </c>
      <c r="K42" s="318">
        <f t="shared" si="4"/>
        <v>3.32</v>
      </c>
      <c r="L42" s="481" t="s">
        <v>3362</v>
      </c>
      <c r="M42" s="352" t="s">
        <v>3314</v>
      </c>
      <c r="N42" s="318">
        <v>1</v>
      </c>
      <c r="O42" s="619">
        <f t="shared" si="5"/>
        <v>3.32</v>
      </c>
      <c r="P42" s="750">
        <v>1</v>
      </c>
      <c r="Q42" s="750"/>
      <c r="R42" s="337">
        <v>1</v>
      </c>
      <c r="S42" s="348">
        <f t="shared" si="3"/>
        <v>3.32</v>
      </c>
      <c r="T42" s="319"/>
    </row>
    <row r="43" spans="1:20">
      <c r="A43" s="318"/>
      <c r="B43" s="319"/>
      <c r="C43" s="318"/>
      <c r="D43" s="318"/>
      <c r="E43" s="319"/>
      <c r="F43" s="319"/>
      <c r="G43" s="318" t="s">
        <v>2356</v>
      </c>
      <c r="H43" s="318">
        <v>4.08</v>
      </c>
      <c r="I43" s="318">
        <v>1</v>
      </c>
      <c r="J43" s="318">
        <f t="shared" si="1"/>
        <v>1</v>
      </c>
      <c r="K43" s="318">
        <f t="shared" si="4"/>
        <v>4.08</v>
      </c>
      <c r="L43" s="350" t="s">
        <v>3297</v>
      </c>
      <c r="M43" s="350" t="s">
        <v>3311</v>
      </c>
      <c r="N43" s="318">
        <v>1</v>
      </c>
      <c r="O43" s="619">
        <f t="shared" si="5"/>
        <v>4.08</v>
      </c>
      <c r="P43" s="750">
        <v>1</v>
      </c>
      <c r="Q43" s="750"/>
      <c r="R43" s="337">
        <v>1</v>
      </c>
      <c r="S43" s="348">
        <f t="shared" si="3"/>
        <v>4.08</v>
      </c>
      <c r="T43" s="319"/>
    </row>
    <row r="44" spans="1:20">
      <c r="A44" s="318"/>
      <c r="B44" s="319"/>
      <c r="C44" s="318"/>
      <c r="D44" s="318"/>
      <c r="E44" s="319"/>
      <c r="F44" s="319"/>
      <c r="G44" s="318" t="s">
        <v>2357</v>
      </c>
      <c r="H44" s="318">
        <v>4.08</v>
      </c>
      <c r="I44" s="318">
        <v>1</v>
      </c>
      <c r="J44" s="318">
        <f t="shared" si="1"/>
        <v>1</v>
      </c>
      <c r="K44" s="318">
        <f t="shared" si="4"/>
        <v>4.08</v>
      </c>
      <c r="L44" s="350" t="s">
        <v>3297</v>
      </c>
      <c r="M44" s="350" t="s">
        <v>3311</v>
      </c>
      <c r="N44" s="318">
        <v>1</v>
      </c>
      <c r="O44" s="619">
        <f t="shared" si="5"/>
        <v>4.08</v>
      </c>
      <c r="P44" s="750">
        <v>1</v>
      </c>
      <c r="Q44" s="750"/>
      <c r="R44" s="337">
        <v>1</v>
      </c>
      <c r="S44" s="348">
        <f t="shared" si="3"/>
        <v>4.08</v>
      </c>
      <c r="T44" s="319"/>
    </row>
    <row r="45" spans="1:20">
      <c r="A45" s="318"/>
      <c r="B45" s="319"/>
      <c r="C45" s="318"/>
      <c r="D45" s="318"/>
      <c r="E45" s="319"/>
      <c r="F45" s="319"/>
      <c r="G45" s="318" t="s">
        <v>2358</v>
      </c>
      <c r="H45" s="318">
        <v>4.08</v>
      </c>
      <c r="I45" s="318">
        <v>1</v>
      </c>
      <c r="J45" s="318">
        <f t="shared" si="1"/>
        <v>1</v>
      </c>
      <c r="K45" s="318">
        <f t="shared" si="4"/>
        <v>4.08</v>
      </c>
      <c r="L45" s="350" t="s">
        <v>3297</v>
      </c>
      <c r="M45" s="350" t="s">
        <v>3317</v>
      </c>
      <c r="N45" s="318">
        <v>1</v>
      </c>
      <c r="O45" s="619">
        <f t="shared" si="5"/>
        <v>4.08</v>
      </c>
      <c r="P45" s="750">
        <v>1</v>
      </c>
      <c r="Q45" s="750"/>
      <c r="R45" s="337">
        <v>1</v>
      </c>
      <c r="S45" s="348">
        <f t="shared" si="3"/>
        <v>4.08</v>
      </c>
      <c r="T45" s="319"/>
    </row>
    <row r="46" spans="1:20">
      <c r="A46" s="318"/>
      <c r="B46" s="319"/>
      <c r="C46" s="318"/>
      <c r="D46" s="318"/>
      <c r="E46" s="319"/>
      <c r="F46" s="319"/>
      <c r="G46" s="318" t="s">
        <v>2359</v>
      </c>
      <c r="H46" s="318">
        <v>4.08</v>
      </c>
      <c r="I46" s="318">
        <v>1</v>
      </c>
      <c r="J46" s="318">
        <f t="shared" si="1"/>
        <v>1</v>
      </c>
      <c r="K46" s="318">
        <f t="shared" si="4"/>
        <v>4.08</v>
      </c>
      <c r="L46" s="352" t="s">
        <v>3291</v>
      </c>
      <c r="M46" s="350" t="s">
        <v>3311</v>
      </c>
      <c r="N46" s="318">
        <v>1</v>
      </c>
      <c r="O46" s="619">
        <f t="shared" si="5"/>
        <v>4.08</v>
      </c>
      <c r="P46" s="750">
        <v>1</v>
      </c>
      <c r="Q46" s="750"/>
      <c r="R46" s="337">
        <v>1</v>
      </c>
      <c r="S46" s="348">
        <f t="shared" si="3"/>
        <v>4.08</v>
      </c>
      <c r="T46" s="319"/>
    </row>
    <row r="47" spans="1:20">
      <c r="A47" s="318"/>
      <c r="B47" s="319"/>
      <c r="C47" s="318"/>
      <c r="D47" s="318"/>
      <c r="E47" s="319"/>
      <c r="F47" s="319"/>
      <c r="G47" s="318" t="s">
        <v>2360</v>
      </c>
      <c r="H47" s="318">
        <v>4.08</v>
      </c>
      <c r="I47" s="318">
        <v>1</v>
      </c>
      <c r="J47" s="318">
        <f t="shared" si="1"/>
        <v>1</v>
      </c>
      <c r="K47" s="318">
        <f t="shared" si="4"/>
        <v>4.08</v>
      </c>
      <c r="L47" s="352" t="s">
        <v>3292</v>
      </c>
      <c r="M47" s="350" t="s">
        <v>3312</v>
      </c>
      <c r="N47" s="318">
        <v>1</v>
      </c>
      <c r="O47" s="619">
        <f t="shared" si="5"/>
        <v>4.08</v>
      </c>
      <c r="P47" s="750">
        <v>1</v>
      </c>
      <c r="Q47" s="750"/>
      <c r="R47" s="337">
        <v>1</v>
      </c>
      <c r="S47" s="348">
        <f t="shared" si="3"/>
        <v>4.08</v>
      </c>
      <c r="T47" s="319"/>
    </row>
    <row r="48" spans="1:20">
      <c r="A48" s="318"/>
      <c r="B48" s="319"/>
      <c r="C48" s="318"/>
      <c r="D48" s="318"/>
      <c r="E48" s="319"/>
      <c r="F48" s="319"/>
      <c r="G48" s="318" t="s">
        <v>2361</v>
      </c>
      <c r="H48" s="318">
        <v>4.08</v>
      </c>
      <c r="I48" s="318">
        <v>1</v>
      </c>
      <c r="J48" s="318">
        <f t="shared" si="1"/>
        <v>1</v>
      </c>
      <c r="K48" s="318">
        <f t="shared" si="4"/>
        <v>4.08</v>
      </c>
      <c r="L48" s="352" t="s">
        <v>3293</v>
      </c>
      <c r="M48" s="350" t="s">
        <v>3313</v>
      </c>
      <c r="N48" s="318">
        <v>1</v>
      </c>
      <c r="O48" s="619">
        <f t="shared" si="5"/>
        <v>4.08</v>
      </c>
      <c r="P48" s="750">
        <v>1</v>
      </c>
      <c r="Q48" s="750"/>
      <c r="R48" s="337">
        <v>1</v>
      </c>
      <c r="S48" s="348">
        <f t="shared" si="3"/>
        <v>4.08</v>
      </c>
      <c r="T48" s="319"/>
    </row>
    <row r="49" spans="1:20">
      <c r="A49" s="318"/>
      <c r="B49" s="319"/>
      <c r="C49" s="318"/>
      <c r="D49" s="318"/>
      <c r="E49" s="319"/>
      <c r="F49" s="319"/>
      <c r="G49" s="318" t="s">
        <v>2362</v>
      </c>
      <c r="H49" s="318">
        <v>4.08</v>
      </c>
      <c r="I49" s="318">
        <v>1</v>
      </c>
      <c r="J49" s="318">
        <f t="shared" si="1"/>
        <v>1</v>
      </c>
      <c r="K49" s="318">
        <f t="shared" si="4"/>
        <v>4.08</v>
      </c>
      <c r="L49" s="352" t="s">
        <v>3294</v>
      </c>
      <c r="M49" s="350" t="s">
        <v>3314</v>
      </c>
      <c r="N49" s="318">
        <v>1</v>
      </c>
      <c r="O49" s="619">
        <f t="shared" si="5"/>
        <v>4.08</v>
      </c>
      <c r="P49" s="750">
        <v>1</v>
      </c>
      <c r="Q49" s="750"/>
      <c r="R49" s="337">
        <v>1</v>
      </c>
      <c r="S49" s="348">
        <f t="shared" si="3"/>
        <v>4.08</v>
      </c>
      <c r="T49" s="319"/>
    </row>
    <row r="50" spans="1:20">
      <c r="A50" s="318"/>
      <c r="B50" s="319"/>
      <c r="C50" s="318"/>
      <c r="D50" s="318"/>
      <c r="E50" s="319"/>
      <c r="F50" s="319"/>
      <c r="G50" s="318" t="s">
        <v>2363</v>
      </c>
      <c r="H50" s="318">
        <v>4.08</v>
      </c>
      <c r="I50" s="318">
        <v>1</v>
      </c>
      <c r="J50" s="318">
        <f t="shared" si="1"/>
        <v>1</v>
      </c>
      <c r="K50" s="318">
        <f t="shared" si="4"/>
        <v>4.08</v>
      </c>
      <c r="L50" s="352" t="s">
        <v>3295</v>
      </c>
      <c r="M50" s="350" t="s">
        <v>3315</v>
      </c>
      <c r="N50" s="318">
        <v>1</v>
      </c>
      <c r="O50" s="619">
        <f t="shared" si="5"/>
        <v>4.08</v>
      </c>
      <c r="P50" s="750">
        <v>1</v>
      </c>
      <c r="Q50" s="750"/>
      <c r="R50" s="337">
        <v>1</v>
      </c>
      <c r="S50" s="348">
        <f t="shared" si="3"/>
        <v>4.08</v>
      </c>
      <c r="T50" s="319"/>
    </row>
    <row r="51" spans="1:20">
      <c r="A51" s="318"/>
      <c r="B51" s="319"/>
      <c r="C51" s="318"/>
      <c r="D51" s="318"/>
      <c r="E51" s="319"/>
      <c r="F51" s="336"/>
      <c r="G51" s="318" t="s">
        <v>2364</v>
      </c>
      <c r="H51" s="319">
        <v>3.68</v>
      </c>
      <c r="I51" s="318">
        <v>1</v>
      </c>
      <c r="J51" s="318">
        <f t="shared" si="1"/>
        <v>1</v>
      </c>
      <c r="K51" s="318">
        <f t="shared" si="4"/>
        <v>3.68</v>
      </c>
      <c r="L51" s="352" t="s">
        <v>3296</v>
      </c>
      <c r="M51" s="350" t="s">
        <v>3316</v>
      </c>
      <c r="N51" s="318">
        <v>1</v>
      </c>
      <c r="O51" s="619">
        <f t="shared" si="5"/>
        <v>3.68</v>
      </c>
      <c r="P51" s="750">
        <v>1</v>
      </c>
      <c r="Q51" s="750"/>
      <c r="R51" s="337">
        <v>1</v>
      </c>
      <c r="S51" s="348">
        <f t="shared" si="3"/>
        <v>3.68</v>
      </c>
      <c r="T51" s="319"/>
    </row>
    <row r="52" spans="1:20">
      <c r="A52" s="318"/>
      <c r="B52" s="319"/>
      <c r="C52" s="318"/>
      <c r="D52" s="318"/>
      <c r="E52" s="319"/>
      <c r="F52" s="336"/>
      <c r="G52" s="318" t="s">
        <v>2365</v>
      </c>
      <c r="H52" s="318">
        <v>3.51</v>
      </c>
      <c r="I52" s="318">
        <v>1</v>
      </c>
      <c r="J52" s="318">
        <f t="shared" si="1"/>
        <v>1</v>
      </c>
      <c r="K52" s="318">
        <f t="shared" si="4"/>
        <v>3.51</v>
      </c>
      <c r="L52" s="350" t="s">
        <v>2946</v>
      </c>
      <c r="M52" s="350" t="s">
        <v>2942</v>
      </c>
      <c r="N52" s="318">
        <v>1</v>
      </c>
      <c r="O52" s="619">
        <f t="shared" si="5"/>
        <v>3.51</v>
      </c>
      <c r="P52" s="750">
        <v>1</v>
      </c>
      <c r="Q52" s="750"/>
      <c r="R52" s="337">
        <v>1</v>
      </c>
      <c r="S52" s="348">
        <f t="shared" si="3"/>
        <v>3.51</v>
      </c>
      <c r="T52" s="480"/>
    </row>
    <row r="53" spans="1:20">
      <c r="A53" s="318"/>
      <c r="B53" s="319"/>
      <c r="C53" s="318"/>
      <c r="D53" s="318"/>
      <c r="E53" s="319"/>
      <c r="F53" s="336"/>
      <c r="G53" s="318" t="s">
        <v>2372</v>
      </c>
      <c r="H53" s="318">
        <v>3.51</v>
      </c>
      <c r="I53" s="318">
        <v>1</v>
      </c>
      <c r="J53" s="318">
        <f t="shared" si="1"/>
        <v>1</v>
      </c>
      <c r="K53" s="318">
        <f t="shared" si="4"/>
        <v>3.51</v>
      </c>
      <c r="L53" s="352" t="s">
        <v>3062</v>
      </c>
      <c r="M53" s="350" t="s">
        <v>2942</v>
      </c>
      <c r="N53" s="318">
        <v>1</v>
      </c>
      <c r="O53" s="619">
        <f t="shared" si="5"/>
        <v>3.51</v>
      </c>
      <c r="P53" s="750">
        <v>1</v>
      </c>
      <c r="Q53" s="750"/>
      <c r="R53" s="337">
        <v>1</v>
      </c>
      <c r="S53" s="348">
        <f t="shared" si="3"/>
        <v>3.51</v>
      </c>
      <c r="T53" s="480"/>
    </row>
    <row r="54" spans="1:20">
      <c r="A54" s="318"/>
      <c r="B54" s="319"/>
      <c r="C54" s="318"/>
      <c r="D54" s="318"/>
      <c r="E54" s="319"/>
      <c r="F54" s="336"/>
      <c r="G54" s="318" t="s">
        <v>2366</v>
      </c>
      <c r="H54" s="319">
        <v>3.26</v>
      </c>
      <c r="I54" s="318">
        <v>1</v>
      </c>
      <c r="J54" s="318">
        <f t="shared" si="1"/>
        <v>1</v>
      </c>
      <c r="K54" s="318">
        <f t="shared" si="4"/>
        <v>3.26</v>
      </c>
      <c r="L54" s="350" t="s">
        <v>3004</v>
      </c>
      <c r="M54" s="350" t="s">
        <v>3017</v>
      </c>
      <c r="N54" s="318">
        <v>1</v>
      </c>
      <c r="O54" s="619">
        <f t="shared" si="5"/>
        <v>3.26</v>
      </c>
      <c r="P54" s="750">
        <v>1</v>
      </c>
      <c r="Q54" s="750"/>
      <c r="R54" s="337">
        <v>1</v>
      </c>
      <c r="S54" s="348">
        <f t="shared" si="3"/>
        <v>3.26</v>
      </c>
      <c r="T54" s="319"/>
    </row>
    <row r="55" spans="1:20">
      <c r="A55" s="318"/>
      <c r="B55" s="319"/>
      <c r="C55" s="318"/>
      <c r="D55" s="318"/>
      <c r="E55" s="319"/>
      <c r="F55" s="319"/>
      <c r="G55" s="318" t="s">
        <v>2367</v>
      </c>
      <c r="H55" s="318">
        <v>4.3099999999999996</v>
      </c>
      <c r="I55" s="318">
        <v>1</v>
      </c>
      <c r="J55" s="318">
        <f t="shared" si="1"/>
        <v>1</v>
      </c>
      <c r="K55" s="318">
        <f t="shared" si="4"/>
        <v>4.3099999999999996</v>
      </c>
      <c r="L55" s="350" t="s">
        <v>2971</v>
      </c>
      <c r="M55" s="350" t="s">
        <v>2970</v>
      </c>
      <c r="N55" s="350">
        <v>1</v>
      </c>
      <c r="O55" s="619">
        <f t="shared" si="5"/>
        <v>4.3099999999999996</v>
      </c>
      <c r="P55" s="750">
        <v>1</v>
      </c>
      <c r="Q55" s="750"/>
      <c r="R55" s="337">
        <v>1</v>
      </c>
      <c r="S55" s="348">
        <f t="shared" si="3"/>
        <v>4.3099999999999996</v>
      </c>
      <c r="T55" s="319"/>
    </row>
    <row r="56" spans="1:20">
      <c r="A56" s="318"/>
      <c r="B56" s="319"/>
      <c r="C56" s="318"/>
      <c r="D56" s="318"/>
      <c r="E56" s="319"/>
      <c r="F56" s="319"/>
      <c r="G56" s="318" t="s">
        <v>2373</v>
      </c>
      <c r="H56" s="318">
        <v>4.3099999999999996</v>
      </c>
      <c r="I56" s="318">
        <v>1</v>
      </c>
      <c r="J56" s="318">
        <f t="shared" si="1"/>
        <v>1</v>
      </c>
      <c r="K56" s="318">
        <f t="shared" si="4"/>
        <v>4.3099999999999996</v>
      </c>
      <c r="L56" s="350" t="s">
        <v>2958</v>
      </c>
      <c r="M56" s="350" t="s">
        <v>2956</v>
      </c>
      <c r="N56" s="350">
        <v>1</v>
      </c>
      <c r="O56" s="619">
        <f t="shared" si="5"/>
        <v>4.3099999999999996</v>
      </c>
      <c r="P56" s="750">
        <v>1</v>
      </c>
      <c r="Q56" s="750"/>
      <c r="R56" s="337">
        <v>1</v>
      </c>
      <c r="S56" s="348">
        <f t="shared" si="3"/>
        <v>4.3099999999999996</v>
      </c>
      <c r="T56" s="319"/>
    </row>
    <row r="57" spans="1:20">
      <c r="A57" s="318"/>
      <c r="B57" s="319"/>
      <c r="C57" s="318"/>
      <c r="D57" s="318"/>
      <c r="E57" s="319"/>
      <c r="F57" s="319"/>
      <c r="G57" s="318" t="s">
        <v>2374</v>
      </c>
      <c r="H57" s="318">
        <v>4.3099999999999996</v>
      </c>
      <c r="I57" s="318">
        <v>1</v>
      </c>
      <c r="J57" s="318">
        <f t="shared" si="1"/>
        <v>1</v>
      </c>
      <c r="K57" s="318">
        <f t="shared" si="4"/>
        <v>4.3099999999999996</v>
      </c>
      <c r="L57" s="350" t="s">
        <v>2959</v>
      </c>
      <c r="M57" s="350" t="s">
        <v>2944</v>
      </c>
      <c r="N57" s="350">
        <v>1</v>
      </c>
      <c r="O57" s="619">
        <f t="shared" si="5"/>
        <v>4.3099999999999996</v>
      </c>
      <c r="P57" s="750">
        <v>1</v>
      </c>
      <c r="Q57" s="750"/>
      <c r="R57" s="337">
        <v>1</v>
      </c>
      <c r="S57" s="348">
        <f t="shared" si="3"/>
        <v>4.3099999999999996</v>
      </c>
      <c r="T57" s="480"/>
    </row>
    <row r="58" spans="1:20">
      <c r="A58" s="318"/>
      <c r="B58" s="319"/>
      <c r="C58" s="318"/>
      <c r="D58" s="318"/>
      <c r="E58" s="319"/>
      <c r="F58" s="319"/>
      <c r="G58" s="318" t="s">
        <v>2375</v>
      </c>
      <c r="H58" s="318">
        <v>4.3099999999999996</v>
      </c>
      <c r="I58" s="318">
        <v>1</v>
      </c>
      <c r="J58" s="318">
        <f t="shared" si="1"/>
        <v>1</v>
      </c>
      <c r="K58" s="318">
        <f t="shared" si="4"/>
        <v>4.3099999999999996</v>
      </c>
      <c r="L58" s="350" t="s">
        <v>2962</v>
      </c>
      <c r="M58" s="350" t="s">
        <v>2945</v>
      </c>
      <c r="N58" s="318">
        <v>1</v>
      </c>
      <c r="O58" s="619">
        <f t="shared" si="5"/>
        <v>4.3099999999999996</v>
      </c>
      <c r="P58" s="750">
        <v>1</v>
      </c>
      <c r="Q58" s="750"/>
      <c r="R58" s="337">
        <v>1</v>
      </c>
      <c r="S58" s="348">
        <f t="shared" si="3"/>
        <v>4.3099999999999996</v>
      </c>
      <c r="T58" s="480"/>
    </row>
    <row r="59" spans="1:20">
      <c r="A59" s="318"/>
      <c r="B59" s="319"/>
      <c r="C59" s="318"/>
      <c r="D59" s="318"/>
      <c r="E59" s="319"/>
      <c r="F59" s="319"/>
      <c r="G59" s="318" t="s">
        <v>2376</v>
      </c>
      <c r="H59" s="318">
        <v>4.3099999999999996</v>
      </c>
      <c r="I59" s="318">
        <v>1</v>
      </c>
      <c r="J59" s="318">
        <f t="shared" si="1"/>
        <v>1</v>
      </c>
      <c r="K59" s="318">
        <f t="shared" si="4"/>
        <v>4.3099999999999996</v>
      </c>
      <c r="L59" s="350" t="s">
        <v>2962</v>
      </c>
      <c r="M59" s="350" t="s">
        <v>2945</v>
      </c>
      <c r="N59" s="318">
        <v>1</v>
      </c>
      <c r="O59" s="619">
        <f t="shared" si="2"/>
        <v>4.3099999999999996</v>
      </c>
      <c r="P59" s="750">
        <v>1</v>
      </c>
      <c r="Q59" s="750"/>
      <c r="R59" s="337">
        <v>1</v>
      </c>
      <c r="S59" s="348">
        <f t="shared" si="3"/>
        <v>4.3099999999999996</v>
      </c>
      <c r="T59" s="480"/>
    </row>
    <row r="60" spans="1:20">
      <c r="A60" s="318"/>
      <c r="B60" s="319"/>
      <c r="C60" s="318"/>
      <c r="D60" s="318"/>
      <c r="E60" s="319"/>
      <c r="F60" s="319"/>
      <c r="G60" s="318" t="s">
        <v>2377</v>
      </c>
      <c r="H60" s="318">
        <v>4.3099999999999996</v>
      </c>
      <c r="I60" s="318">
        <v>1</v>
      </c>
      <c r="J60" s="318">
        <f t="shared" si="1"/>
        <v>1</v>
      </c>
      <c r="K60" s="318">
        <f t="shared" si="4"/>
        <v>4.3099999999999996</v>
      </c>
      <c r="L60" s="350" t="s">
        <v>2978</v>
      </c>
      <c r="M60" s="350" t="s">
        <v>2975</v>
      </c>
      <c r="N60" s="318">
        <v>1</v>
      </c>
      <c r="O60" s="619">
        <f t="shared" si="2"/>
        <v>4.3099999999999996</v>
      </c>
      <c r="P60" s="750">
        <v>1</v>
      </c>
      <c r="Q60" s="750"/>
      <c r="R60" s="337">
        <v>1</v>
      </c>
      <c r="S60" s="348">
        <f t="shared" si="3"/>
        <v>4.3099999999999996</v>
      </c>
      <c r="T60" s="319"/>
    </row>
    <row r="61" spans="1:20">
      <c r="A61" s="318"/>
      <c r="B61" s="319"/>
      <c r="C61" s="318"/>
      <c r="D61" s="318"/>
      <c r="E61" s="319"/>
      <c r="F61" s="319"/>
      <c r="G61" s="318" t="s">
        <v>2378</v>
      </c>
      <c r="H61" s="318">
        <v>4.3099999999999996</v>
      </c>
      <c r="I61" s="318">
        <v>1</v>
      </c>
      <c r="J61" s="318">
        <f t="shared" si="1"/>
        <v>1</v>
      </c>
      <c r="K61" s="318">
        <f t="shared" si="4"/>
        <v>4.3099999999999996</v>
      </c>
      <c r="L61" s="350" t="s">
        <v>2978</v>
      </c>
      <c r="M61" s="350" t="s">
        <v>2975</v>
      </c>
      <c r="N61" s="318">
        <v>1</v>
      </c>
      <c r="O61" s="619">
        <f t="shared" si="2"/>
        <v>4.3099999999999996</v>
      </c>
      <c r="P61" s="750">
        <v>1</v>
      </c>
      <c r="Q61" s="750"/>
      <c r="R61" s="337">
        <v>1</v>
      </c>
      <c r="S61" s="348">
        <f t="shared" si="3"/>
        <v>4.3099999999999996</v>
      </c>
      <c r="T61" s="319"/>
    </row>
    <row r="62" spans="1:20">
      <c r="A62" s="318"/>
      <c r="B62" s="319"/>
      <c r="C62" s="318"/>
      <c r="D62" s="318"/>
      <c r="E62" s="319"/>
      <c r="F62" s="319"/>
      <c r="G62" s="318" t="s">
        <v>2379</v>
      </c>
      <c r="H62" s="318">
        <v>4.3099999999999996</v>
      </c>
      <c r="I62" s="318">
        <v>1</v>
      </c>
      <c r="J62" s="318">
        <f t="shared" si="1"/>
        <v>1</v>
      </c>
      <c r="K62" s="318">
        <f t="shared" si="4"/>
        <v>4.3099999999999996</v>
      </c>
      <c r="L62" s="350" t="s">
        <v>2991</v>
      </c>
      <c r="M62" s="350" t="s">
        <v>2945</v>
      </c>
      <c r="N62" s="318">
        <v>1</v>
      </c>
      <c r="O62" s="619">
        <f t="shared" si="2"/>
        <v>4.3099999999999996</v>
      </c>
      <c r="P62" s="750">
        <v>1</v>
      </c>
      <c r="Q62" s="750"/>
      <c r="R62" s="337">
        <v>1</v>
      </c>
      <c r="S62" s="348">
        <f t="shared" si="3"/>
        <v>4.3099999999999996</v>
      </c>
      <c r="T62" s="319"/>
    </row>
    <row r="63" spans="1:20">
      <c r="A63" s="318"/>
      <c r="B63" s="319"/>
      <c r="C63" s="318"/>
      <c r="D63" s="318"/>
      <c r="E63" s="319"/>
      <c r="F63" s="319"/>
      <c r="G63" s="318" t="s">
        <v>2380</v>
      </c>
      <c r="H63" s="318">
        <v>4.3099999999999996</v>
      </c>
      <c r="I63" s="318">
        <v>1</v>
      </c>
      <c r="J63" s="318">
        <f t="shared" si="1"/>
        <v>1</v>
      </c>
      <c r="K63" s="318">
        <f t="shared" si="4"/>
        <v>4.3099999999999996</v>
      </c>
      <c r="L63" s="350" t="s">
        <v>2991</v>
      </c>
      <c r="M63" s="350" t="s">
        <v>2945</v>
      </c>
      <c r="N63" s="318">
        <v>1</v>
      </c>
      <c r="O63" s="619">
        <f t="shared" si="2"/>
        <v>4.3099999999999996</v>
      </c>
      <c r="P63" s="750">
        <v>1</v>
      </c>
      <c r="Q63" s="750"/>
      <c r="R63" s="337">
        <v>1</v>
      </c>
      <c r="S63" s="348">
        <f t="shared" si="3"/>
        <v>4.3099999999999996</v>
      </c>
      <c r="T63" s="319"/>
    </row>
    <row r="64" spans="1:20">
      <c r="A64" s="318"/>
      <c r="B64" s="319"/>
      <c r="C64" s="318"/>
      <c r="D64" s="318"/>
      <c r="E64" s="319"/>
      <c r="F64" s="319"/>
      <c r="G64" s="318" t="s">
        <v>2381</v>
      </c>
      <c r="H64" s="318">
        <v>4.3099999999999996</v>
      </c>
      <c r="I64" s="318">
        <v>1</v>
      </c>
      <c r="J64" s="318">
        <f t="shared" si="1"/>
        <v>1</v>
      </c>
      <c r="K64" s="318">
        <f t="shared" si="4"/>
        <v>4.3099999999999996</v>
      </c>
      <c r="L64" s="350" t="s">
        <v>3008</v>
      </c>
      <c r="M64" s="350" t="s">
        <v>3019</v>
      </c>
      <c r="N64" s="318">
        <v>1</v>
      </c>
      <c r="O64" s="619">
        <f t="shared" si="2"/>
        <v>4.3099999999999996</v>
      </c>
      <c r="P64" s="750">
        <v>1</v>
      </c>
      <c r="Q64" s="750"/>
      <c r="R64" s="337">
        <v>1</v>
      </c>
      <c r="S64" s="348">
        <f t="shared" si="3"/>
        <v>4.3099999999999996</v>
      </c>
      <c r="T64" s="319"/>
    </row>
    <row r="65" spans="1:20">
      <c r="A65" s="318"/>
      <c r="B65" s="319"/>
      <c r="C65" s="318"/>
      <c r="D65" s="318"/>
      <c r="E65" s="319"/>
      <c r="F65" s="319"/>
      <c r="G65" s="318" t="s">
        <v>2382</v>
      </c>
      <c r="H65" s="318">
        <v>4.3099999999999996</v>
      </c>
      <c r="I65" s="318">
        <v>1</v>
      </c>
      <c r="J65" s="318">
        <f t="shared" si="1"/>
        <v>1</v>
      </c>
      <c r="K65" s="318">
        <f t="shared" si="4"/>
        <v>4.3099999999999996</v>
      </c>
      <c r="L65" s="481" t="s">
        <v>2999</v>
      </c>
      <c r="M65" s="350" t="s">
        <v>2994</v>
      </c>
      <c r="N65" s="318">
        <v>1</v>
      </c>
      <c r="O65" s="619">
        <f t="shared" si="2"/>
        <v>4.3099999999999996</v>
      </c>
      <c r="P65" s="750">
        <v>1</v>
      </c>
      <c r="Q65" s="750"/>
      <c r="R65" s="337">
        <v>1</v>
      </c>
      <c r="S65" s="348">
        <f t="shared" si="3"/>
        <v>4.3099999999999996</v>
      </c>
      <c r="T65" s="319"/>
    </row>
    <row r="66" spans="1:20">
      <c r="A66" s="318"/>
      <c r="B66" s="319"/>
      <c r="C66" s="318"/>
      <c r="D66" s="318"/>
      <c r="E66" s="319"/>
      <c r="F66" s="319"/>
      <c r="G66" s="318" t="s">
        <v>2383</v>
      </c>
      <c r="H66" s="318">
        <v>4.3099999999999996</v>
      </c>
      <c r="I66" s="318">
        <v>1</v>
      </c>
      <c r="J66" s="318">
        <f t="shared" si="1"/>
        <v>1</v>
      </c>
      <c r="K66" s="318">
        <f t="shared" si="4"/>
        <v>4.3099999999999996</v>
      </c>
      <c r="L66" s="350" t="s">
        <v>2977</v>
      </c>
      <c r="M66" s="350" t="s">
        <v>2972</v>
      </c>
      <c r="N66" s="318">
        <v>1</v>
      </c>
      <c r="O66" s="619">
        <f t="shared" si="2"/>
        <v>4.3099999999999996</v>
      </c>
      <c r="P66" s="750">
        <v>1</v>
      </c>
      <c r="Q66" s="750"/>
      <c r="R66" s="337">
        <v>1</v>
      </c>
      <c r="S66" s="348">
        <f t="shared" si="3"/>
        <v>4.3099999999999996</v>
      </c>
      <c r="T66" s="319"/>
    </row>
    <row r="67" spans="1:20">
      <c r="A67" s="318"/>
      <c r="B67" s="319"/>
      <c r="C67" s="318"/>
      <c r="D67" s="318"/>
      <c r="E67" s="319"/>
      <c r="F67" s="319"/>
      <c r="G67" s="318" t="s">
        <v>2384</v>
      </c>
      <c r="H67" s="318">
        <v>4.3099999999999996</v>
      </c>
      <c r="I67" s="318">
        <v>1</v>
      </c>
      <c r="J67" s="318">
        <f t="shared" si="1"/>
        <v>1</v>
      </c>
      <c r="K67" s="318">
        <f t="shared" si="4"/>
        <v>4.3099999999999996</v>
      </c>
      <c r="L67" s="350" t="s">
        <v>2973</v>
      </c>
      <c r="M67" s="350" t="s">
        <v>2972</v>
      </c>
      <c r="N67" s="318">
        <v>1</v>
      </c>
      <c r="O67" s="619">
        <f t="shared" si="2"/>
        <v>4.3099999999999996</v>
      </c>
      <c r="P67" s="750">
        <v>1</v>
      </c>
      <c r="Q67" s="750"/>
      <c r="R67" s="337">
        <v>1</v>
      </c>
      <c r="S67" s="348">
        <f t="shared" si="3"/>
        <v>4.3099999999999996</v>
      </c>
      <c r="T67" s="319"/>
    </row>
    <row r="68" spans="1:20">
      <c r="A68" s="318"/>
      <c r="B68" s="319"/>
      <c r="C68" s="318"/>
      <c r="D68" s="318"/>
      <c r="E68" s="319"/>
      <c r="F68" s="319"/>
      <c r="G68" s="318" t="s">
        <v>2385</v>
      </c>
      <c r="H68" s="318">
        <v>4.08</v>
      </c>
      <c r="I68" s="318">
        <v>1</v>
      </c>
      <c r="J68" s="318">
        <f t="shared" si="1"/>
        <v>1</v>
      </c>
      <c r="K68" s="318">
        <f t="shared" si="4"/>
        <v>4.08</v>
      </c>
      <c r="L68" s="352" t="s">
        <v>3088</v>
      </c>
      <c r="M68" s="350" t="s">
        <v>2929</v>
      </c>
      <c r="N68" s="318">
        <v>1</v>
      </c>
      <c r="O68" s="619">
        <f t="shared" si="2"/>
        <v>4.08</v>
      </c>
      <c r="P68" s="750">
        <v>1</v>
      </c>
      <c r="Q68" s="750"/>
      <c r="R68" s="337">
        <v>1</v>
      </c>
      <c r="S68" s="348">
        <f t="shared" si="3"/>
        <v>4.08</v>
      </c>
      <c r="T68" s="319"/>
    </row>
    <row r="69" spans="1:20">
      <c r="A69" s="318"/>
      <c r="B69" s="319"/>
      <c r="C69" s="318"/>
      <c r="D69" s="318"/>
      <c r="E69" s="319"/>
      <c r="F69" s="319"/>
      <c r="G69" s="318" t="s">
        <v>2386</v>
      </c>
      <c r="H69" s="318">
        <v>4.49</v>
      </c>
      <c r="I69" s="318">
        <v>1</v>
      </c>
      <c r="J69" s="318">
        <f t="shared" si="1"/>
        <v>1</v>
      </c>
      <c r="K69" s="318">
        <f t="shared" si="4"/>
        <v>4.49</v>
      </c>
      <c r="L69" s="350" t="s">
        <v>2898</v>
      </c>
      <c r="M69" s="350" t="s">
        <v>2889</v>
      </c>
      <c r="N69" s="318">
        <v>1</v>
      </c>
      <c r="O69" s="619">
        <f t="shared" si="2"/>
        <v>4.49</v>
      </c>
      <c r="P69" s="750">
        <v>1</v>
      </c>
      <c r="Q69" s="750"/>
      <c r="R69" s="337">
        <v>1</v>
      </c>
      <c r="S69" s="348">
        <f t="shared" si="3"/>
        <v>4.49</v>
      </c>
      <c r="T69" s="319"/>
    </row>
    <row r="70" spans="1:20">
      <c r="A70" s="318"/>
      <c r="B70" s="319"/>
      <c r="C70" s="318"/>
      <c r="D70" s="318"/>
      <c r="E70" s="319"/>
      <c r="F70" s="319"/>
      <c r="G70" s="318" t="s">
        <v>2387</v>
      </c>
      <c r="H70" s="318">
        <v>4.49</v>
      </c>
      <c r="I70" s="318">
        <v>1</v>
      </c>
      <c r="J70" s="318">
        <f t="shared" si="1"/>
        <v>1</v>
      </c>
      <c r="K70" s="318">
        <f t="shared" si="4"/>
        <v>4.49</v>
      </c>
      <c r="L70" s="350" t="s">
        <v>2936</v>
      </c>
      <c r="M70" s="350" t="s">
        <v>2929</v>
      </c>
      <c r="N70" s="318">
        <v>1</v>
      </c>
      <c r="O70" s="619">
        <f t="shared" si="2"/>
        <v>4.49</v>
      </c>
      <c r="P70" s="750">
        <v>1</v>
      </c>
      <c r="Q70" s="750"/>
      <c r="R70" s="337">
        <v>1</v>
      </c>
      <c r="S70" s="348">
        <f t="shared" si="3"/>
        <v>4.49</v>
      </c>
      <c r="T70" s="319"/>
    </row>
    <row r="71" spans="1:20" ht="15" thickBot="1">
      <c r="A71" s="318"/>
      <c r="B71" s="319"/>
      <c r="C71" s="318"/>
      <c r="D71" s="318"/>
      <c r="E71" s="319"/>
      <c r="F71" s="336"/>
      <c r="G71" s="318" t="s">
        <v>2388</v>
      </c>
      <c r="H71" s="318">
        <v>4.49</v>
      </c>
      <c r="I71" s="318">
        <v>1</v>
      </c>
      <c r="J71" s="318">
        <f t="shared" ref="J71:J77" si="6">IF(N71&gt;0,1,0)</f>
        <v>1</v>
      </c>
      <c r="K71" s="318">
        <f t="shared" si="4"/>
        <v>4.49</v>
      </c>
      <c r="L71" s="350" t="s">
        <v>3050</v>
      </c>
      <c r="M71" s="350" t="s">
        <v>3052</v>
      </c>
      <c r="N71" s="318">
        <v>1</v>
      </c>
      <c r="O71" s="619">
        <f t="shared" si="2"/>
        <v>4.49</v>
      </c>
      <c r="P71" s="750">
        <v>1</v>
      </c>
      <c r="Q71" s="750"/>
      <c r="R71" s="592">
        <v>1</v>
      </c>
      <c r="S71" s="348">
        <f t="shared" si="3"/>
        <v>4.49</v>
      </c>
      <c r="T71" s="319"/>
    </row>
    <row r="72" spans="1:20" ht="15.6" thickTop="1" thickBot="1">
      <c r="A72" s="318"/>
      <c r="B72" s="319"/>
      <c r="C72" s="318"/>
      <c r="D72" s="318"/>
      <c r="E72" s="319"/>
      <c r="F72" s="319"/>
      <c r="G72" s="318" t="s">
        <v>2389</v>
      </c>
      <c r="H72" s="318">
        <v>2.19</v>
      </c>
      <c r="I72" s="318">
        <v>1</v>
      </c>
      <c r="J72" s="318">
        <f t="shared" si="6"/>
        <v>0</v>
      </c>
      <c r="K72" s="318">
        <f t="shared" si="4"/>
        <v>0</v>
      </c>
      <c r="L72" s="318"/>
      <c r="M72" s="318"/>
      <c r="N72" s="318"/>
      <c r="O72" s="619">
        <f t="shared" si="2"/>
        <v>0</v>
      </c>
      <c r="P72" s="750"/>
      <c r="Q72" s="747"/>
      <c r="R72" s="624"/>
      <c r="S72" s="348">
        <f t="shared" ref="S72:S77" si="7">H72*R72</f>
        <v>0</v>
      </c>
      <c r="T72" s="319"/>
    </row>
    <row r="73" spans="1:20" ht="15.6" thickTop="1" thickBot="1">
      <c r="A73" s="318"/>
      <c r="B73" s="319"/>
      <c r="C73" s="318"/>
      <c r="D73" s="318"/>
      <c r="E73" s="319"/>
      <c r="F73" s="319"/>
      <c r="G73" s="318" t="s">
        <v>2390</v>
      </c>
      <c r="H73" s="318">
        <v>1.61</v>
      </c>
      <c r="I73" s="318">
        <v>1</v>
      </c>
      <c r="J73" s="318">
        <f t="shared" si="6"/>
        <v>0</v>
      </c>
      <c r="K73" s="318">
        <f t="shared" si="4"/>
        <v>0</v>
      </c>
      <c r="L73" s="318"/>
      <c r="M73" s="318"/>
      <c r="N73" s="318"/>
      <c r="O73" s="619">
        <f t="shared" si="2"/>
        <v>0</v>
      </c>
      <c r="P73" s="750"/>
      <c r="Q73" s="747"/>
      <c r="R73" s="624"/>
      <c r="S73" s="348">
        <f t="shared" si="7"/>
        <v>0</v>
      </c>
      <c r="T73" s="319"/>
    </row>
    <row r="74" spans="1:20" ht="15.6" thickTop="1" thickBot="1">
      <c r="A74" s="318"/>
      <c r="B74" s="319"/>
      <c r="C74" s="318"/>
      <c r="D74" s="318"/>
      <c r="E74" s="319"/>
      <c r="F74" s="319"/>
      <c r="G74" s="318" t="s">
        <v>2391</v>
      </c>
      <c r="H74" s="318">
        <v>3.03</v>
      </c>
      <c r="I74" s="318">
        <v>1</v>
      </c>
      <c r="J74" s="318">
        <f t="shared" si="6"/>
        <v>0</v>
      </c>
      <c r="K74" s="318">
        <f t="shared" si="4"/>
        <v>0</v>
      </c>
      <c r="L74" s="318"/>
      <c r="M74" s="318"/>
      <c r="N74" s="318"/>
      <c r="O74" s="619">
        <f t="shared" si="2"/>
        <v>0</v>
      </c>
      <c r="P74" s="750"/>
      <c r="Q74" s="747"/>
      <c r="R74" s="624"/>
      <c r="S74" s="348">
        <f t="shared" si="7"/>
        <v>0</v>
      </c>
      <c r="T74" s="319"/>
    </row>
    <row r="75" spans="1:20" ht="15" thickTop="1">
      <c r="A75" s="318"/>
      <c r="B75" s="319"/>
      <c r="C75" s="318"/>
      <c r="D75" s="318"/>
      <c r="E75" s="319"/>
      <c r="F75" s="319"/>
      <c r="G75" s="318" t="s">
        <v>2392</v>
      </c>
      <c r="H75" s="318">
        <v>4.45</v>
      </c>
      <c r="I75" s="318">
        <v>1</v>
      </c>
      <c r="J75" s="318">
        <f t="shared" si="6"/>
        <v>1</v>
      </c>
      <c r="K75" s="318">
        <f t="shared" si="4"/>
        <v>4.45</v>
      </c>
      <c r="L75" s="350" t="s">
        <v>2917</v>
      </c>
      <c r="M75" s="350" t="s">
        <v>2916</v>
      </c>
      <c r="N75" s="318">
        <v>1</v>
      </c>
      <c r="O75" s="619">
        <f t="shared" si="2"/>
        <v>4.45</v>
      </c>
      <c r="P75" s="750">
        <v>1</v>
      </c>
      <c r="Q75" s="750"/>
      <c r="R75" s="337">
        <v>1</v>
      </c>
      <c r="S75" s="348">
        <f t="shared" si="7"/>
        <v>4.45</v>
      </c>
      <c r="T75" s="319"/>
    </row>
    <row r="76" spans="1:20">
      <c r="A76" s="318"/>
      <c r="B76" s="319"/>
      <c r="C76" s="318"/>
      <c r="D76" s="318"/>
      <c r="E76" s="319"/>
      <c r="F76" s="319"/>
      <c r="G76" s="318" t="s">
        <v>2393</v>
      </c>
      <c r="H76" s="318">
        <v>4.45</v>
      </c>
      <c r="I76" s="318">
        <v>1</v>
      </c>
      <c r="J76" s="318">
        <f t="shared" si="6"/>
        <v>1</v>
      </c>
      <c r="K76" s="318">
        <f t="shared" si="4"/>
        <v>4.45</v>
      </c>
      <c r="L76" s="350" t="s">
        <v>2917</v>
      </c>
      <c r="M76" s="350" t="s">
        <v>2916</v>
      </c>
      <c r="N76" s="318">
        <v>1</v>
      </c>
      <c r="O76" s="619">
        <f t="shared" si="2"/>
        <v>4.45</v>
      </c>
      <c r="P76" s="750">
        <v>1</v>
      </c>
      <c r="Q76" s="750"/>
      <c r="R76" s="337">
        <v>1</v>
      </c>
      <c r="S76" s="348">
        <f t="shared" si="7"/>
        <v>4.45</v>
      </c>
      <c r="T76" s="319"/>
    </row>
    <row r="77" spans="1:20">
      <c r="A77" s="318"/>
      <c r="B77" s="319"/>
      <c r="C77" s="318"/>
      <c r="D77" s="318"/>
      <c r="E77" s="319"/>
      <c r="F77" s="319"/>
      <c r="G77" s="318" t="s">
        <v>2394</v>
      </c>
      <c r="H77" s="318">
        <v>2.78</v>
      </c>
      <c r="I77" s="318">
        <v>1</v>
      </c>
      <c r="J77" s="318">
        <f t="shared" si="6"/>
        <v>1</v>
      </c>
      <c r="K77" s="318">
        <f t="shared" si="4"/>
        <v>2.78</v>
      </c>
      <c r="L77" s="350" t="s">
        <v>2928</v>
      </c>
      <c r="M77" s="350" t="s">
        <v>2929</v>
      </c>
      <c r="N77" s="318">
        <v>1</v>
      </c>
      <c r="O77" s="619">
        <f t="shared" si="2"/>
        <v>2.78</v>
      </c>
      <c r="P77" s="750">
        <v>1</v>
      </c>
      <c r="Q77" s="750"/>
      <c r="R77" s="337">
        <v>1</v>
      </c>
      <c r="S77" s="348">
        <f t="shared" si="7"/>
        <v>2.78</v>
      </c>
      <c r="T77" s="319"/>
    </row>
    <row r="78" spans="1:20">
      <c r="A78" s="318"/>
      <c r="B78" s="319"/>
      <c r="C78" s="318"/>
      <c r="D78" s="318"/>
      <c r="E78" s="319"/>
      <c r="F78" s="319"/>
      <c r="G78" s="318"/>
      <c r="H78" s="318"/>
      <c r="I78" s="318"/>
      <c r="J78" s="382" t="s">
        <v>389</v>
      </c>
      <c r="K78" s="321">
        <f>SUM(K6:K77)</f>
        <v>275.2600000000001</v>
      </c>
      <c r="L78" s="318"/>
      <c r="M78" s="318"/>
      <c r="N78" s="382" t="s">
        <v>389</v>
      </c>
      <c r="O78" s="748">
        <f>SUM(O6:O77)</f>
        <v>264.03500000000014</v>
      </c>
      <c r="P78" s="751" t="s">
        <v>389</v>
      </c>
      <c r="Q78" s="751"/>
      <c r="R78" s="382" t="s">
        <v>389</v>
      </c>
      <c r="S78" s="321">
        <f>SUM(S6:S77)</f>
        <v>249.21800000000007</v>
      </c>
      <c r="T78" s="319"/>
    </row>
    <row r="79" spans="1:20" ht="6.75" customHeight="1">
      <c r="A79" s="316"/>
      <c r="B79" s="317"/>
      <c r="C79" s="316"/>
      <c r="D79" s="316"/>
      <c r="E79" s="317"/>
      <c r="F79" s="317"/>
      <c r="G79" s="316"/>
      <c r="H79" s="316"/>
      <c r="I79" s="316"/>
      <c r="J79" s="316"/>
      <c r="K79" s="316"/>
      <c r="L79" s="316"/>
      <c r="M79" s="316"/>
      <c r="N79" s="316"/>
      <c r="O79" s="749"/>
      <c r="P79" s="752"/>
      <c r="Q79" s="752"/>
      <c r="R79" s="316"/>
      <c r="S79" s="339"/>
      <c r="T79" s="317"/>
    </row>
    <row r="80" spans="1:20">
      <c r="A80" s="318">
        <v>2</v>
      </c>
      <c r="B80" s="319" t="s">
        <v>383</v>
      </c>
      <c r="C80" s="318">
        <v>800</v>
      </c>
      <c r="D80" s="318">
        <v>2</v>
      </c>
      <c r="E80" s="319">
        <v>1</v>
      </c>
      <c r="F80" s="319"/>
      <c r="G80" s="318" t="s">
        <v>2395</v>
      </c>
      <c r="H80" s="318">
        <v>2.0499999999999998</v>
      </c>
      <c r="I80" s="318">
        <v>1</v>
      </c>
      <c r="J80" s="318">
        <f t="shared" ref="J80:J134" si="8">IF(N80&gt;0,1,0)</f>
        <v>1</v>
      </c>
      <c r="K80" s="318">
        <f t="shared" ref="K80:K136" si="9">H80*J80</f>
        <v>2.0499999999999998</v>
      </c>
      <c r="L80" s="350" t="s">
        <v>2983</v>
      </c>
      <c r="M80" s="350" t="s">
        <v>2982</v>
      </c>
      <c r="N80" s="318">
        <v>1</v>
      </c>
      <c r="O80" s="619">
        <f t="shared" ref="O80:O96" si="10">H80*N80</f>
        <v>2.0499999999999998</v>
      </c>
      <c r="P80" s="750">
        <v>1</v>
      </c>
      <c r="Q80" s="750"/>
      <c r="R80" s="337">
        <v>1</v>
      </c>
      <c r="S80" s="348">
        <f>H80*R80</f>
        <v>2.0499999999999998</v>
      </c>
      <c r="T80" s="319"/>
    </row>
    <row r="81" spans="1:20">
      <c r="A81" s="318"/>
      <c r="B81" s="319"/>
      <c r="C81" s="318"/>
      <c r="D81" s="318"/>
      <c r="E81" s="319"/>
      <c r="F81" s="319"/>
      <c r="G81" s="318" t="s">
        <v>2396</v>
      </c>
      <c r="H81" s="318">
        <v>2.0499999999999998</v>
      </c>
      <c r="I81" s="318">
        <v>1</v>
      </c>
      <c r="J81" s="318">
        <f t="shared" si="8"/>
        <v>1</v>
      </c>
      <c r="K81" s="318">
        <f t="shared" si="9"/>
        <v>2.0499999999999998</v>
      </c>
      <c r="L81" s="350" t="s">
        <v>2985</v>
      </c>
      <c r="M81" s="350" t="s">
        <v>2982</v>
      </c>
      <c r="N81" s="318">
        <v>1</v>
      </c>
      <c r="O81" s="619">
        <f t="shared" si="10"/>
        <v>2.0499999999999998</v>
      </c>
      <c r="P81" s="750">
        <v>1</v>
      </c>
      <c r="Q81" s="750"/>
      <c r="R81" s="337">
        <v>1</v>
      </c>
      <c r="S81" s="348">
        <f>H81*R81</f>
        <v>2.0499999999999998</v>
      </c>
      <c r="T81" s="319"/>
    </row>
    <row r="82" spans="1:20">
      <c r="A82" s="318"/>
      <c r="B82" s="319"/>
      <c r="C82" s="318"/>
      <c r="D82" s="318"/>
      <c r="E82" s="319"/>
      <c r="F82" s="319"/>
      <c r="G82" s="318" t="s">
        <v>2397</v>
      </c>
      <c r="H82" s="318">
        <v>3.95</v>
      </c>
      <c r="I82" s="318">
        <v>1</v>
      </c>
      <c r="J82" s="318">
        <f t="shared" si="8"/>
        <v>1</v>
      </c>
      <c r="K82" s="318">
        <f t="shared" si="9"/>
        <v>3.95</v>
      </c>
      <c r="L82" s="471" t="s">
        <v>2928</v>
      </c>
      <c r="M82" s="350" t="s">
        <v>2929</v>
      </c>
      <c r="N82" s="318">
        <v>1</v>
      </c>
      <c r="O82" s="619">
        <f t="shared" si="10"/>
        <v>3.95</v>
      </c>
      <c r="P82" s="750">
        <v>1</v>
      </c>
      <c r="Q82" s="750"/>
      <c r="R82" s="337">
        <v>1</v>
      </c>
      <c r="S82" s="348">
        <f t="shared" ref="S82:S136" si="11">H82*R82</f>
        <v>3.95</v>
      </c>
      <c r="T82" s="319"/>
    </row>
    <row r="83" spans="1:20">
      <c r="A83" s="318"/>
      <c r="B83" s="319"/>
      <c r="C83" s="318"/>
      <c r="D83" s="318"/>
      <c r="E83" s="319"/>
      <c r="F83" s="319"/>
      <c r="G83" s="318" t="s">
        <v>2398</v>
      </c>
      <c r="H83" s="318">
        <v>3.95</v>
      </c>
      <c r="I83" s="318">
        <v>1</v>
      </c>
      <c r="J83" s="318">
        <f t="shared" si="8"/>
        <v>1</v>
      </c>
      <c r="K83" s="318">
        <f t="shared" si="9"/>
        <v>3.95</v>
      </c>
      <c r="L83" s="471" t="s">
        <v>2928</v>
      </c>
      <c r="M83" s="350" t="s">
        <v>2929</v>
      </c>
      <c r="N83" s="318">
        <v>1</v>
      </c>
      <c r="O83" s="619">
        <f t="shared" si="10"/>
        <v>3.95</v>
      </c>
      <c r="P83" s="750">
        <v>1</v>
      </c>
      <c r="Q83" s="750"/>
      <c r="R83" s="337">
        <v>1</v>
      </c>
      <c r="S83" s="348">
        <f t="shared" si="11"/>
        <v>3.95</v>
      </c>
      <c r="T83" s="319"/>
    </row>
    <row r="84" spans="1:20">
      <c r="A84" s="318"/>
      <c r="B84" s="319"/>
      <c r="C84" s="318"/>
      <c r="D84" s="318"/>
      <c r="E84" s="319"/>
      <c r="F84" s="319"/>
      <c r="G84" s="318" t="s">
        <v>2399</v>
      </c>
      <c r="H84" s="318">
        <v>3.95</v>
      </c>
      <c r="I84" s="318">
        <v>1</v>
      </c>
      <c r="J84" s="318">
        <f t="shared" si="8"/>
        <v>1</v>
      </c>
      <c r="K84" s="318">
        <f t="shared" si="9"/>
        <v>3.95</v>
      </c>
      <c r="L84" s="351" t="s">
        <v>2990</v>
      </c>
      <c r="M84" s="350" t="s">
        <v>2929</v>
      </c>
      <c r="N84" s="318">
        <v>1</v>
      </c>
      <c r="O84" s="619">
        <f t="shared" si="10"/>
        <v>3.95</v>
      </c>
      <c r="P84" s="750">
        <v>1</v>
      </c>
      <c r="Q84" s="750"/>
      <c r="R84" s="337">
        <v>1</v>
      </c>
      <c r="S84" s="348">
        <f t="shared" si="11"/>
        <v>3.95</v>
      </c>
      <c r="T84" s="319"/>
    </row>
    <row r="85" spans="1:20">
      <c r="A85" s="318"/>
      <c r="B85" s="319"/>
      <c r="C85" s="318"/>
      <c r="D85" s="318"/>
      <c r="E85" s="319"/>
      <c r="F85" s="319"/>
      <c r="G85" s="318" t="s">
        <v>2400</v>
      </c>
      <c r="H85" s="318">
        <v>3.95</v>
      </c>
      <c r="I85" s="318">
        <v>1</v>
      </c>
      <c r="J85" s="318">
        <f t="shared" si="8"/>
        <v>1</v>
      </c>
      <c r="K85" s="318">
        <f t="shared" si="9"/>
        <v>3.95</v>
      </c>
      <c r="L85" s="350" t="s">
        <v>2938</v>
      </c>
      <c r="M85" s="350" t="s">
        <v>2937</v>
      </c>
      <c r="N85" s="318">
        <v>1</v>
      </c>
      <c r="O85" s="619">
        <f t="shared" si="10"/>
        <v>3.95</v>
      </c>
      <c r="P85" s="750">
        <v>1</v>
      </c>
      <c r="Q85" s="750"/>
      <c r="R85" s="337">
        <v>1</v>
      </c>
      <c r="S85" s="348">
        <f t="shared" si="11"/>
        <v>3.95</v>
      </c>
      <c r="T85" s="319"/>
    </row>
    <row r="86" spans="1:20">
      <c r="A86" s="318"/>
      <c r="B86" s="319"/>
      <c r="C86" s="318"/>
      <c r="D86" s="318"/>
      <c r="E86" s="319"/>
      <c r="F86" s="319"/>
      <c r="G86" s="318" t="s">
        <v>2401</v>
      </c>
      <c r="H86" s="318">
        <v>2.82</v>
      </c>
      <c r="I86" s="318">
        <v>1</v>
      </c>
      <c r="J86" s="318">
        <f t="shared" si="8"/>
        <v>1</v>
      </c>
      <c r="K86" s="318">
        <f t="shared" si="9"/>
        <v>2.82</v>
      </c>
      <c r="L86" s="350" t="s">
        <v>2983</v>
      </c>
      <c r="M86" s="350" t="s">
        <v>2982</v>
      </c>
      <c r="N86" s="318">
        <v>1</v>
      </c>
      <c r="O86" s="619">
        <f t="shared" si="10"/>
        <v>2.82</v>
      </c>
      <c r="P86" s="750">
        <v>1</v>
      </c>
      <c r="Q86" s="750"/>
      <c r="R86" s="337">
        <v>1</v>
      </c>
      <c r="S86" s="348">
        <f t="shared" si="11"/>
        <v>2.82</v>
      </c>
      <c r="T86" s="319"/>
    </row>
    <row r="87" spans="1:20">
      <c r="A87" s="318"/>
      <c r="B87" s="319"/>
      <c r="C87" s="318"/>
      <c r="D87" s="318"/>
      <c r="E87" s="319"/>
      <c r="F87" s="319"/>
      <c r="G87" s="318" t="s">
        <v>2402</v>
      </c>
      <c r="H87" s="318">
        <v>4.22</v>
      </c>
      <c r="I87" s="318">
        <v>1</v>
      </c>
      <c r="J87" s="318">
        <f t="shared" si="8"/>
        <v>1</v>
      </c>
      <c r="K87" s="318">
        <f t="shared" si="9"/>
        <v>4.22</v>
      </c>
      <c r="L87" s="350" t="s">
        <v>2932</v>
      </c>
      <c r="M87" s="350" t="s">
        <v>2929</v>
      </c>
      <c r="N87" s="318">
        <v>1</v>
      </c>
      <c r="O87" s="619">
        <f t="shared" si="10"/>
        <v>4.22</v>
      </c>
      <c r="P87" s="750">
        <v>1</v>
      </c>
      <c r="Q87" s="750"/>
      <c r="R87" s="337">
        <v>1</v>
      </c>
      <c r="S87" s="348">
        <f t="shared" si="11"/>
        <v>4.22</v>
      </c>
      <c r="T87" s="319"/>
    </row>
    <row r="88" spans="1:20">
      <c r="A88" s="318"/>
      <c r="B88" s="319"/>
      <c r="C88" s="318"/>
      <c r="D88" s="318"/>
      <c r="E88" s="319"/>
      <c r="F88" s="319"/>
      <c r="G88" s="318" t="s">
        <v>2403</v>
      </c>
      <c r="H88" s="318">
        <v>4.22</v>
      </c>
      <c r="I88" s="318">
        <v>1</v>
      </c>
      <c r="J88" s="318">
        <f t="shared" si="8"/>
        <v>1</v>
      </c>
      <c r="K88" s="318">
        <f t="shared" si="9"/>
        <v>4.22</v>
      </c>
      <c r="L88" s="350" t="s">
        <v>2918</v>
      </c>
      <c r="M88" s="350" t="s">
        <v>2916</v>
      </c>
      <c r="N88" s="318">
        <v>1</v>
      </c>
      <c r="O88" s="619">
        <f t="shared" si="10"/>
        <v>4.22</v>
      </c>
      <c r="P88" s="750">
        <v>1</v>
      </c>
      <c r="Q88" s="750"/>
      <c r="R88" s="337">
        <v>1</v>
      </c>
      <c r="S88" s="348">
        <f t="shared" si="11"/>
        <v>4.22</v>
      </c>
      <c r="T88" s="319"/>
    </row>
    <row r="89" spans="1:20">
      <c r="A89" s="318"/>
      <c r="B89" s="319"/>
      <c r="C89" s="318"/>
      <c r="D89" s="318"/>
      <c r="E89" s="319"/>
      <c r="F89" s="319"/>
      <c r="G89" s="318" t="s">
        <v>2404</v>
      </c>
      <c r="H89" s="318">
        <v>4.22</v>
      </c>
      <c r="I89" s="318">
        <v>1</v>
      </c>
      <c r="J89" s="318">
        <f t="shared" si="8"/>
        <v>1</v>
      </c>
      <c r="K89" s="318">
        <f t="shared" si="9"/>
        <v>4.22</v>
      </c>
      <c r="L89" s="350" t="s">
        <v>2920</v>
      </c>
      <c r="M89" s="350" t="s">
        <v>2916</v>
      </c>
      <c r="N89" s="318">
        <v>1</v>
      </c>
      <c r="O89" s="619">
        <f t="shared" si="10"/>
        <v>4.22</v>
      </c>
      <c r="P89" s="750">
        <v>1</v>
      </c>
      <c r="Q89" s="750"/>
      <c r="R89" s="337">
        <v>1</v>
      </c>
      <c r="S89" s="348">
        <f t="shared" si="11"/>
        <v>4.22</v>
      </c>
      <c r="T89" s="319"/>
    </row>
    <row r="90" spans="1:20">
      <c r="A90" s="318"/>
      <c r="B90" s="319"/>
      <c r="C90" s="318"/>
      <c r="D90" s="318"/>
      <c r="E90" s="319"/>
      <c r="F90" s="319"/>
      <c r="G90" s="318" t="s">
        <v>2405</v>
      </c>
      <c r="H90" s="318">
        <v>4.22</v>
      </c>
      <c r="I90" s="318">
        <v>1</v>
      </c>
      <c r="J90" s="318">
        <f t="shared" si="8"/>
        <v>1</v>
      </c>
      <c r="K90" s="318">
        <f t="shared" si="9"/>
        <v>4.22</v>
      </c>
      <c r="L90" s="350" t="s">
        <v>2943</v>
      </c>
      <c r="M90" s="350" t="s">
        <v>2940</v>
      </c>
      <c r="N90" s="318">
        <v>1</v>
      </c>
      <c r="O90" s="619">
        <f t="shared" si="10"/>
        <v>4.22</v>
      </c>
      <c r="P90" s="750">
        <v>1</v>
      </c>
      <c r="Q90" s="750"/>
      <c r="R90" s="337">
        <v>1</v>
      </c>
      <c r="S90" s="348">
        <f t="shared" si="11"/>
        <v>4.22</v>
      </c>
      <c r="T90" s="319"/>
    </row>
    <row r="91" spans="1:20">
      <c r="A91" s="318"/>
      <c r="B91" s="319"/>
      <c r="C91" s="318"/>
      <c r="D91" s="318"/>
      <c r="E91" s="319"/>
      <c r="F91" s="319"/>
      <c r="G91" s="318" t="s">
        <v>2406</v>
      </c>
      <c r="H91" s="318">
        <v>4.22</v>
      </c>
      <c r="I91" s="318">
        <v>1</v>
      </c>
      <c r="J91" s="318">
        <f t="shared" si="8"/>
        <v>1</v>
      </c>
      <c r="K91" s="318">
        <f t="shared" si="9"/>
        <v>4.22</v>
      </c>
      <c r="L91" s="350" t="s">
        <v>2941</v>
      </c>
      <c r="M91" s="350" t="s">
        <v>2942</v>
      </c>
      <c r="N91" s="318">
        <v>1</v>
      </c>
      <c r="O91" s="619">
        <f t="shared" si="10"/>
        <v>4.22</v>
      </c>
      <c r="P91" s="750">
        <v>1</v>
      </c>
      <c r="Q91" s="750"/>
      <c r="R91" s="337">
        <v>1</v>
      </c>
      <c r="S91" s="348">
        <f t="shared" si="11"/>
        <v>4.22</v>
      </c>
      <c r="T91" s="319"/>
    </row>
    <row r="92" spans="1:20">
      <c r="A92" s="318"/>
      <c r="B92" s="319"/>
      <c r="C92" s="318"/>
      <c r="D92" s="318"/>
      <c r="E92" s="319"/>
      <c r="F92" s="319"/>
      <c r="G92" s="318" t="s">
        <v>2407</v>
      </c>
      <c r="H92" s="318">
        <v>4.22</v>
      </c>
      <c r="I92" s="318">
        <v>1</v>
      </c>
      <c r="J92" s="318">
        <f t="shared" si="8"/>
        <v>1</v>
      </c>
      <c r="K92" s="318">
        <f t="shared" si="9"/>
        <v>4.22</v>
      </c>
      <c r="L92" s="350" t="s">
        <v>2950</v>
      </c>
      <c r="M92" s="350" t="s">
        <v>2940</v>
      </c>
      <c r="N92" s="318">
        <v>1</v>
      </c>
      <c r="O92" s="619">
        <f t="shared" si="10"/>
        <v>4.22</v>
      </c>
      <c r="P92" s="750">
        <v>1</v>
      </c>
      <c r="Q92" s="750"/>
      <c r="R92" s="337">
        <v>1</v>
      </c>
      <c r="S92" s="348">
        <f t="shared" si="11"/>
        <v>4.22</v>
      </c>
      <c r="T92" s="319"/>
    </row>
    <row r="93" spans="1:20">
      <c r="A93" s="318"/>
      <c r="B93" s="319"/>
      <c r="C93" s="318"/>
      <c r="D93" s="318"/>
      <c r="E93" s="319"/>
      <c r="F93" s="319"/>
      <c r="G93" s="318" t="s">
        <v>2408</v>
      </c>
      <c r="H93" s="318">
        <v>4.22</v>
      </c>
      <c r="I93" s="318">
        <v>1</v>
      </c>
      <c r="J93" s="318">
        <f t="shared" si="8"/>
        <v>1</v>
      </c>
      <c r="K93" s="318">
        <f t="shared" si="9"/>
        <v>4.22</v>
      </c>
      <c r="L93" s="350" t="s">
        <v>2939</v>
      </c>
      <c r="M93" s="350" t="s">
        <v>2940</v>
      </c>
      <c r="N93" s="318">
        <v>1</v>
      </c>
      <c r="O93" s="619">
        <f t="shared" si="10"/>
        <v>4.22</v>
      </c>
      <c r="P93" s="750">
        <v>1</v>
      </c>
      <c r="Q93" s="750"/>
      <c r="R93" s="337">
        <v>1</v>
      </c>
      <c r="S93" s="348">
        <f t="shared" si="11"/>
        <v>4.22</v>
      </c>
      <c r="T93" s="319"/>
    </row>
    <row r="94" spans="1:20">
      <c r="A94" s="318"/>
      <c r="B94" s="319"/>
      <c r="C94" s="318"/>
      <c r="D94" s="318"/>
      <c r="E94" s="319"/>
      <c r="F94" s="319"/>
      <c r="G94" s="318" t="s">
        <v>2409</v>
      </c>
      <c r="H94" s="318">
        <v>4.22</v>
      </c>
      <c r="I94" s="318">
        <v>1</v>
      </c>
      <c r="J94" s="318">
        <f t="shared" si="8"/>
        <v>1</v>
      </c>
      <c r="K94" s="318">
        <f t="shared" si="9"/>
        <v>4.22</v>
      </c>
      <c r="L94" s="350" t="s">
        <v>2949</v>
      </c>
      <c r="M94" s="350" t="s">
        <v>2940</v>
      </c>
      <c r="N94" s="318">
        <v>1</v>
      </c>
      <c r="O94" s="619">
        <f t="shared" si="10"/>
        <v>4.22</v>
      </c>
      <c r="P94" s="750">
        <v>1</v>
      </c>
      <c r="Q94" s="750"/>
      <c r="R94" s="337">
        <v>1</v>
      </c>
      <c r="S94" s="348">
        <f t="shared" si="11"/>
        <v>4.22</v>
      </c>
      <c r="T94" s="319"/>
    </row>
    <row r="95" spans="1:20">
      <c r="A95" s="318"/>
      <c r="B95" s="319"/>
      <c r="C95" s="318"/>
      <c r="D95" s="318"/>
      <c r="E95" s="319"/>
      <c r="F95" s="319"/>
      <c r="G95" s="318" t="s">
        <v>2410</v>
      </c>
      <c r="H95" s="318">
        <v>4.22</v>
      </c>
      <c r="I95" s="318">
        <v>1</v>
      </c>
      <c r="J95" s="318">
        <f t="shared" si="8"/>
        <v>1</v>
      </c>
      <c r="K95" s="318">
        <f t="shared" si="9"/>
        <v>4.22</v>
      </c>
      <c r="L95" s="350" t="s">
        <v>2949</v>
      </c>
      <c r="M95" s="350" t="s">
        <v>2940</v>
      </c>
      <c r="N95" s="318">
        <v>1</v>
      </c>
      <c r="O95" s="619">
        <f t="shared" si="10"/>
        <v>4.22</v>
      </c>
      <c r="P95" s="750">
        <v>1</v>
      </c>
      <c r="Q95" s="750"/>
      <c r="R95" s="337">
        <v>1</v>
      </c>
      <c r="S95" s="348">
        <f t="shared" si="11"/>
        <v>4.22</v>
      </c>
      <c r="T95" s="319"/>
    </row>
    <row r="96" spans="1:20">
      <c r="A96" s="318"/>
      <c r="B96" s="319"/>
      <c r="C96" s="318"/>
      <c r="D96" s="318"/>
      <c r="E96" s="319"/>
      <c r="F96" s="336"/>
      <c r="G96" s="318" t="s">
        <v>2411</v>
      </c>
      <c r="H96" s="318">
        <v>4.22</v>
      </c>
      <c r="I96" s="318">
        <v>1</v>
      </c>
      <c r="J96" s="318">
        <f t="shared" si="8"/>
        <v>1</v>
      </c>
      <c r="K96" s="318">
        <f t="shared" si="9"/>
        <v>4.22</v>
      </c>
      <c r="L96" s="350" t="s">
        <v>2943</v>
      </c>
      <c r="M96" s="350" t="s">
        <v>2940</v>
      </c>
      <c r="N96" s="318">
        <v>1</v>
      </c>
      <c r="O96" s="619">
        <f t="shared" si="10"/>
        <v>4.22</v>
      </c>
      <c r="P96" s="750">
        <v>1</v>
      </c>
      <c r="Q96" s="750"/>
      <c r="R96" s="337">
        <v>1</v>
      </c>
      <c r="S96" s="348">
        <f t="shared" si="11"/>
        <v>4.22</v>
      </c>
      <c r="T96" s="319"/>
    </row>
    <row r="97" spans="1:20">
      <c r="A97" s="318"/>
      <c r="B97" s="319"/>
      <c r="C97" s="318"/>
      <c r="D97" s="318"/>
      <c r="E97" s="319"/>
      <c r="F97" s="336"/>
      <c r="G97" s="318" t="s">
        <v>2412</v>
      </c>
      <c r="H97" s="318">
        <v>4.22</v>
      </c>
      <c r="I97" s="318">
        <v>1</v>
      </c>
      <c r="J97" s="318">
        <f t="shared" si="8"/>
        <v>1</v>
      </c>
      <c r="K97" s="318">
        <f t="shared" si="9"/>
        <v>4.22</v>
      </c>
      <c r="L97" s="350" t="s">
        <v>2943</v>
      </c>
      <c r="M97" s="350" t="s">
        <v>2940</v>
      </c>
      <c r="N97" s="318">
        <v>1</v>
      </c>
      <c r="O97" s="619">
        <f t="shared" ref="O97:O104" si="12">H97*N97</f>
        <v>4.22</v>
      </c>
      <c r="P97" s="750">
        <v>1</v>
      </c>
      <c r="Q97" s="750"/>
      <c r="R97" s="337">
        <v>1</v>
      </c>
      <c r="S97" s="348">
        <f t="shared" si="11"/>
        <v>4.22</v>
      </c>
      <c r="T97" s="319"/>
    </row>
    <row r="98" spans="1:20">
      <c r="A98" s="318"/>
      <c r="B98" s="319"/>
      <c r="C98" s="318"/>
      <c r="D98" s="318"/>
      <c r="E98" s="319"/>
      <c r="F98" s="336"/>
      <c r="G98" s="318" t="s">
        <v>2413</v>
      </c>
      <c r="H98" s="318">
        <v>4.22</v>
      </c>
      <c r="I98" s="318">
        <v>1</v>
      </c>
      <c r="J98" s="318">
        <f t="shared" si="8"/>
        <v>1</v>
      </c>
      <c r="K98" s="318">
        <f t="shared" si="9"/>
        <v>4.22</v>
      </c>
      <c r="L98" s="350" t="s">
        <v>2954</v>
      </c>
      <c r="M98" s="350" t="s">
        <v>2952</v>
      </c>
      <c r="N98" s="318">
        <v>1</v>
      </c>
      <c r="O98" s="619">
        <f t="shared" si="12"/>
        <v>4.22</v>
      </c>
      <c r="P98" s="750">
        <v>1</v>
      </c>
      <c r="Q98" s="750"/>
      <c r="R98" s="337">
        <v>1</v>
      </c>
      <c r="S98" s="348">
        <f t="shared" si="11"/>
        <v>4.22</v>
      </c>
      <c r="T98" s="319"/>
    </row>
    <row r="99" spans="1:20">
      <c r="A99" s="318"/>
      <c r="B99" s="319"/>
      <c r="C99" s="318"/>
      <c r="D99" s="318"/>
      <c r="E99" s="319"/>
      <c r="F99" s="319"/>
      <c r="G99" s="318" t="s">
        <v>2414</v>
      </c>
      <c r="H99" s="318">
        <v>4.22</v>
      </c>
      <c r="I99" s="318">
        <v>1</v>
      </c>
      <c r="J99" s="318">
        <f t="shared" si="8"/>
        <v>1</v>
      </c>
      <c r="K99" s="318">
        <f t="shared" si="9"/>
        <v>4.22</v>
      </c>
      <c r="L99" s="350" t="s">
        <v>2954</v>
      </c>
      <c r="M99" s="350" t="s">
        <v>2952</v>
      </c>
      <c r="N99" s="318">
        <v>1</v>
      </c>
      <c r="O99" s="619">
        <f t="shared" si="12"/>
        <v>4.22</v>
      </c>
      <c r="P99" s="750">
        <v>1</v>
      </c>
      <c r="Q99" s="750"/>
      <c r="R99" s="337">
        <v>1</v>
      </c>
      <c r="S99" s="348">
        <f t="shared" si="11"/>
        <v>4.22</v>
      </c>
      <c r="T99" s="319"/>
    </row>
    <row r="100" spans="1:20">
      <c r="A100" s="318"/>
      <c r="B100" s="319"/>
      <c r="C100" s="318"/>
      <c r="D100" s="318"/>
      <c r="E100" s="319"/>
      <c r="F100" s="319"/>
      <c r="G100" s="318" t="s">
        <v>2415</v>
      </c>
      <c r="H100" s="318">
        <v>4.22</v>
      </c>
      <c r="I100" s="318">
        <v>1</v>
      </c>
      <c r="J100" s="318">
        <f t="shared" si="8"/>
        <v>1</v>
      </c>
      <c r="K100" s="318">
        <f t="shared" si="9"/>
        <v>4.22</v>
      </c>
      <c r="L100" s="350" t="s">
        <v>2955</v>
      </c>
      <c r="M100" s="350" t="s">
        <v>2952</v>
      </c>
      <c r="N100" s="318">
        <v>1</v>
      </c>
      <c r="O100" s="619">
        <f t="shared" si="12"/>
        <v>4.22</v>
      </c>
      <c r="P100" s="750">
        <v>1</v>
      </c>
      <c r="Q100" s="750"/>
      <c r="R100" s="337">
        <v>1</v>
      </c>
      <c r="S100" s="348">
        <f t="shared" si="11"/>
        <v>4.22</v>
      </c>
      <c r="T100" s="319"/>
    </row>
    <row r="101" spans="1:20">
      <c r="A101" s="318"/>
      <c r="B101" s="319"/>
      <c r="C101" s="318"/>
      <c r="D101" s="318"/>
      <c r="E101" s="319"/>
      <c r="F101" s="319"/>
      <c r="G101" s="318" t="s">
        <v>2416</v>
      </c>
      <c r="H101" s="318">
        <v>4.22</v>
      </c>
      <c r="I101" s="318">
        <v>1</v>
      </c>
      <c r="J101" s="318">
        <f t="shared" si="8"/>
        <v>1</v>
      </c>
      <c r="K101" s="318">
        <f t="shared" si="9"/>
        <v>4.22</v>
      </c>
      <c r="L101" s="350" t="s">
        <v>2987</v>
      </c>
      <c r="M101" s="350" t="s">
        <v>2988</v>
      </c>
      <c r="N101" s="318">
        <v>1</v>
      </c>
      <c r="O101" s="619">
        <f t="shared" si="12"/>
        <v>4.22</v>
      </c>
      <c r="P101" s="750">
        <v>1</v>
      </c>
      <c r="Q101" s="750"/>
      <c r="R101" s="337">
        <v>1</v>
      </c>
      <c r="S101" s="348">
        <f t="shared" si="11"/>
        <v>4.22</v>
      </c>
      <c r="T101" s="319"/>
    </row>
    <row r="102" spans="1:20">
      <c r="A102" s="318"/>
      <c r="B102" s="319"/>
      <c r="C102" s="318"/>
      <c r="D102" s="318"/>
      <c r="E102" s="319"/>
      <c r="F102" s="319"/>
      <c r="G102" s="318" t="s">
        <v>2417</v>
      </c>
      <c r="H102" s="318">
        <v>4.22</v>
      </c>
      <c r="I102" s="318">
        <v>1</v>
      </c>
      <c r="J102" s="318">
        <f t="shared" si="8"/>
        <v>1</v>
      </c>
      <c r="K102" s="318">
        <f t="shared" si="9"/>
        <v>4.22</v>
      </c>
      <c r="L102" s="350" t="s">
        <v>2953</v>
      </c>
      <c r="M102" s="350" t="s">
        <v>2944</v>
      </c>
      <c r="N102" s="318">
        <v>1</v>
      </c>
      <c r="O102" s="619">
        <f t="shared" si="12"/>
        <v>4.22</v>
      </c>
      <c r="P102" s="750">
        <v>1</v>
      </c>
      <c r="Q102" s="750"/>
      <c r="R102" s="337">
        <v>1</v>
      </c>
      <c r="S102" s="348">
        <f t="shared" si="11"/>
        <v>4.22</v>
      </c>
      <c r="T102" s="319"/>
    </row>
    <row r="103" spans="1:20">
      <c r="A103" s="318"/>
      <c r="B103" s="319"/>
      <c r="C103" s="318"/>
      <c r="D103" s="318"/>
      <c r="E103" s="319"/>
      <c r="F103" s="319"/>
      <c r="G103" s="318" t="s">
        <v>2418</v>
      </c>
      <c r="H103" s="318">
        <v>4.22</v>
      </c>
      <c r="I103" s="318">
        <v>1</v>
      </c>
      <c r="J103" s="318">
        <f t="shared" si="8"/>
        <v>1</v>
      </c>
      <c r="K103" s="318">
        <f t="shared" si="9"/>
        <v>4.22</v>
      </c>
      <c r="L103" s="350" t="s">
        <v>2951</v>
      </c>
      <c r="M103" s="350" t="s">
        <v>2952</v>
      </c>
      <c r="N103" s="318">
        <v>1</v>
      </c>
      <c r="O103" s="619">
        <f t="shared" si="12"/>
        <v>4.22</v>
      </c>
      <c r="P103" s="750">
        <v>1</v>
      </c>
      <c r="Q103" s="750"/>
      <c r="R103" s="337">
        <v>1</v>
      </c>
      <c r="S103" s="348">
        <f t="shared" si="11"/>
        <v>4.22</v>
      </c>
      <c r="T103" s="319"/>
    </row>
    <row r="104" spans="1:20">
      <c r="A104" s="318"/>
      <c r="B104" s="319"/>
      <c r="C104" s="318"/>
      <c r="D104" s="318"/>
      <c r="E104" s="319"/>
      <c r="F104" s="319"/>
      <c r="G104" s="318" t="s">
        <v>2419</v>
      </c>
      <c r="H104" s="318">
        <v>3.58</v>
      </c>
      <c r="I104" s="318">
        <v>1</v>
      </c>
      <c r="J104" s="318">
        <f t="shared" si="8"/>
        <v>1</v>
      </c>
      <c r="K104" s="318">
        <f t="shared" si="9"/>
        <v>3.58</v>
      </c>
      <c r="L104" s="350" t="s">
        <v>2985</v>
      </c>
      <c r="M104" s="350" t="s">
        <v>2982</v>
      </c>
      <c r="N104" s="318">
        <v>1</v>
      </c>
      <c r="O104" s="619">
        <f t="shared" si="12"/>
        <v>3.58</v>
      </c>
      <c r="P104" s="750">
        <v>1</v>
      </c>
      <c r="Q104" s="750"/>
      <c r="R104" s="337">
        <v>1</v>
      </c>
      <c r="S104" s="348">
        <f t="shared" si="11"/>
        <v>3.58</v>
      </c>
      <c r="T104" s="319"/>
    </row>
    <row r="105" spans="1:20">
      <c r="A105" s="318"/>
      <c r="B105" s="319"/>
      <c r="C105" s="318"/>
      <c r="D105" s="318"/>
      <c r="E105" s="319"/>
      <c r="F105" s="319"/>
      <c r="G105" s="318" t="s">
        <v>2420</v>
      </c>
      <c r="H105" s="318">
        <v>4.28</v>
      </c>
      <c r="I105" s="318">
        <v>1</v>
      </c>
      <c r="J105" s="318">
        <f t="shared" si="8"/>
        <v>1</v>
      </c>
      <c r="K105" s="318">
        <f t="shared" si="9"/>
        <v>4.28</v>
      </c>
      <c r="L105" s="350" t="s">
        <v>2986</v>
      </c>
      <c r="M105" s="350" t="s">
        <v>2982</v>
      </c>
      <c r="N105" s="318">
        <v>1</v>
      </c>
      <c r="O105" s="619">
        <f t="shared" ref="O105:O125" si="13">H105*N105</f>
        <v>4.28</v>
      </c>
      <c r="P105" s="750">
        <v>1</v>
      </c>
      <c r="Q105" s="750"/>
      <c r="R105" s="337">
        <v>1</v>
      </c>
      <c r="S105" s="348">
        <f t="shared" si="11"/>
        <v>4.28</v>
      </c>
      <c r="T105" s="319"/>
    </row>
    <row r="106" spans="1:20">
      <c r="A106" s="318"/>
      <c r="B106" s="319"/>
      <c r="C106" s="318"/>
      <c r="D106" s="318"/>
      <c r="E106" s="319"/>
      <c r="F106" s="319"/>
      <c r="G106" s="318" t="s">
        <v>2421</v>
      </c>
      <c r="H106" s="318">
        <v>4.28</v>
      </c>
      <c r="I106" s="318">
        <v>1</v>
      </c>
      <c r="J106" s="318">
        <f t="shared" si="8"/>
        <v>1</v>
      </c>
      <c r="K106" s="318">
        <f t="shared" si="9"/>
        <v>4.28</v>
      </c>
      <c r="L106" s="350" t="s">
        <v>3005</v>
      </c>
      <c r="M106" s="350" t="s">
        <v>3018</v>
      </c>
      <c r="N106" s="318">
        <v>1</v>
      </c>
      <c r="O106" s="619">
        <f t="shared" si="13"/>
        <v>4.28</v>
      </c>
      <c r="P106" s="750">
        <v>1</v>
      </c>
      <c r="Q106" s="750"/>
      <c r="R106" s="337">
        <v>1</v>
      </c>
      <c r="S106" s="348">
        <f t="shared" si="11"/>
        <v>4.28</v>
      </c>
      <c r="T106" s="319"/>
    </row>
    <row r="107" spans="1:20">
      <c r="A107" s="318"/>
      <c r="B107" s="319"/>
      <c r="C107" s="318"/>
      <c r="D107" s="318"/>
      <c r="E107" s="319"/>
      <c r="F107" s="336"/>
      <c r="G107" s="318" t="s">
        <v>2422</v>
      </c>
      <c r="H107" s="318">
        <v>4.28</v>
      </c>
      <c r="I107" s="318">
        <v>1</v>
      </c>
      <c r="J107" s="318">
        <f t="shared" si="8"/>
        <v>1</v>
      </c>
      <c r="K107" s="318">
        <f t="shared" si="9"/>
        <v>4.28</v>
      </c>
      <c r="L107" s="350" t="s">
        <v>3005</v>
      </c>
      <c r="M107" s="350" t="s">
        <v>3018</v>
      </c>
      <c r="N107" s="318">
        <v>1</v>
      </c>
      <c r="O107" s="619">
        <f t="shared" si="13"/>
        <v>4.28</v>
      </c>
      <c r="P107" s="750">
        <v>1</v>
      </c>
      <c r="Q107" s="750"/>
      <c r="R107" s="337">
        <v>1</v>
      </c>
      <c r="S107" s="348">
        <f t="shared" si="11"/>
        <v>4.28</v>
      </c>
      <c r="T107" s="319"/>
    </row>
    <row r="108" spans="1:20">
      <c r="A108" s="318"/>
      <c r="B108" s="319"/>
      <c r="C108" s="318"/>
      <c r="D108" s="318"/>
      <c r="E108" s="319"/>
      <c r="F108" s="336"/>
      <c r="G108" s="318" t="s">
        <v>2423</v>
      </c>
      <c r="H108" s="318">
        <v>4.28</v>
      </c>
      <c r="I108" s="318">
        <v>1</v>
      </c>
      <c r="J108" s="318">
        <f t="shared" si="8"/>
        <v>1</v>
      </c>
      <c r="K108" s="318">
        <f t="shared" si="9"/>
        <v>4.28</v>
      </c>
      <c r="L108" s="350" t="s">
        <v>3005</v>
      </c>
      <c r="M108" s="350" t="s">
        <v>3018</v>
      </c>
      <c r="N108" s="318">
        <v>1</v>
      </c>
      <c r="O108" s="619">
        <f t="shared" si="13"/>
        <v>4.28</v>
      </c>
      <c r="P108" s="750">
        <v>1</v>
      </c>
      <c r="Q108" s="750"/>
      <c r="R108" s="337">
        <v>1</v>
      </c>
      <c r="S108" s="348">
        <f t="shared" si="11"/>
        <v>4.28</v>
      </c>
      <c r="T108" s="319"/>
    </row>
    <row r="109" spans="1:20">
      <c r="A109" s="318"/>
      <c r="B109" s="319"/>
      <c r="C109" s="318"/>
      <c r="D109" s="318"/>
      <c r="E109" s="319"/>
      <c r="F109" s="319"/>
      <c r="G109" s="318" t="s">
        <v>2424</v>
      </c>
      <c r="H109" s="318">
        <v>4.28</v>
      </c>
      <c r="I109" s="318">
        <v>1</v>
      </c>
      <c r="J109" s="318">
        <f t="shared" si="8"/>
        <v>1</v>
      </c>
      <c r="K109" s="318">
        <f t="shared" si="9"/>
        <v>4.28</v>
      </c>
      <c r="L109" s="350" t="s">
        <v>3009</v>
      </c>
      <c r="M109" s="350" t="s">
        <v>3018</v>
      </c>
      <c r="N109" s="318">
        <v>1</v>
      </c>
      <c r="O109" s="619">
        <f t="shared" si="13"/>
        <v>4.28</v>
      </c>
      <c r="P109" s="750">
        <v>1</v>
      </c>
      <c r="Q109" s="750"/>
      <c r="R109" s="337">
        <v>1</v>
      </c>
      <c r="S109" s="348">
        <f t="shared" si="11"/>
        <v>4.28</v>
      </c>
      <c r="T109" s="319"/>
    </row>
    <row r="110" spans="1:20">
      <c r="A110" s="318"/>
      <c r="B110" s="319"/>
      <c r="C110" s="318"/>
      <c r="D110" s="318"/>
      <c r="E110" s="319"/>
      <c r="F110" s="319"/>
      <c r="G110" s="318" t="s">
        <v>2425</v>
      </c>
      <c r="H110" s="318">
        <v>4.28</v>
      </c>
      <c r="I110" s="318">
        <v>1</v>
      </c>
      <c r="J110" s="318">
        <f t="shared" si="8"/>
        <v>1</v>
      </c>
      <c r="K110" s="318">
        <f t="shared" si="9"/>
        <v>4.28</v>
      </c>
      <c r="L110" s="350" t="s">
        <v>3009</v>
      </c>
      <c r="M110" s="350" t="s">
        <v>3018</v>
      </c>
      <c r="N110" s="318">
        <v>1</v>
      </c>
      <c r="O110" s="619">
        <f t="shared" si="13"/>
        <v>4.28</v>
      </c>
      <c r="P110" s="750">
        <v>1</v>
      </c>
      <c r="Q110" s="750"/>
      <c r="R110" s="337">
        <v>1</v>
      </c>
      <c r="S110" s="348">
        <f t="shared" si="11"/>
        <v>4.28</v>
      </c>
      <c r="T110" s="319"/>
    </row>
    <row r="111" spans="1:20" ht="15" thickBot="1">
      <c r="A111" s="318"/>
      <c r="B111" s="319"/>
      <c r="C111" s="318"/>
      <c r="D111" s="318"/>
      <c r="E111" s="319"/>
      <c r="F111" s="319"/>
      <c r="G111" s="318" t="s">
        <v>2426</v>
      </c>
      <c r="H111" s="318">
        <v>4.28</v>
      </c>
      <c r="I111" s="318">
        <v>1</v>
      </c>
      <c r="J111" s="318">
        <f t="shared" si="8"/>
        <v>1</v>
      </c>
      <c r="K111" s="318">
        <f t="shared" si="9"/>
        <v>4.28</v>
      </c>
      <c r="L111" s="350" t="s">
        <v>3010</v>
      </c>
      <c r="M111" s="350" t="s">
        <v>3018</v>
      </c>
      <c r="N111" s="318">
        <v>1</v>
      </c>
      <c r="O111" s="619">
        <f t="shared" si="13"/>
        <v>4.28</v>
      </c>
      <c r="P111" s="750">
        <v>1</v>
      </c>
      <c r="Q111" s="750"/>
      <c r="R111" s="592">
        <v>1</v>
      </c>
      <c r="S111" s="348">
        <f t="shared" si="11"/>
        <v>4.28</v>
      </c>
      <c r="T111" s="319"/>
    </row>
    <row r="112" spans="1:20" ht="15.6" thickTop="1" thickBot="1">
      <c r="A112" s="318"/>
      <c r="B112" s="319"/>
      <c r="C112" s="318"/>
      <c r="D112" s="318"/>
      <c r="E112" s="319"/>
      <c r="F112" s="319"/>
      <c r="G112" s="318" t="s">
        <v>2427</v>
      </c>
      <c r="H112" s="318">
        <v>3.14</v>
      </c>
      <c r="I112" s="318">
        <v>1</v>
      </c>
      <c r="J112" s="318">
        <v>1</v>
      </c>
      <c r="K112" s="318">
        <f t="shared" si="9"/>
        <v>3.14</v>
      </c>
      <c r="L112" s="350" t="s">
        <v>3298</v>
      </c>
      <c r="M112" s="350" t="s">
        <v>3310</v>
      </c>
      <c r="N112" s="318">
        <v>1</v>
      </c>
      <c r="O112" s="619">
        <f t="shared" si="13"/>
        <v>3.14</v>
      </c>
      <c r="P112" s="750">
        <v>1</v>
      </c>
      <c r="Q112" s="747"/>
      <c r="R112" s="624">
        <v>1</v>
      </c>
      <c r="S112" s="348">
        <f t="shared" si="11"/>
        <v>3.14</v>
      </c>
      <c r="T112" s="319" t="s">
        <v>3324</v>
      </c>
    </row>
    <row r="113" spans="1:20" ht="15.6" thickTop="1" thickBot="1">
      <c r="A113" s="318"/>
      <c r="B113" s="319"/>
      <c r="C113" s="318"/>
      <c r="D113" s="318"/>
      <c r="E113" s="319"/>
      <c r="F113" s="319"/>
      <c r="G113" s="318" t="s">
        <v>2428</v>
      </c>
      <c r="H113" s="318">
        <v>3.14</v>
      </c>
      <c r="I113" s="318">
        <v>1</v>
      </c>
      <c r="J113" s="318">
        <f t="shared" si="8"/>
        <v>1</v>
      </c>
      <c r="K113" s="318">
        <f t="shared" si="9"/>
        <v>3.14</v>
      </c>
      <c r="L113" s="350" t="s">
        <v>3298</v>
      </c>
      <c r="M113" s="350" t="s">
        <v>3310</v>
      </c>
      <c r="N113" s="318">
        <v>1</v>
      </c>
      <c r="O113" s="619">
        <f t="shared" si="13"/>
        <v>3.14</v>
      </c>
      <c r="P113" s="750">
        <v>1</v>
      </c>
      <c r="Q113" s="747"/>
      <c r="R113" s="624">
        <v>1</v>
      </c>
      <c r="S113" s="348">
        <f t="shared" si="11"/>
        <v>3.14</v>
      </c>
      <c r="T113" s="319" t="s">
        <v>3324</v>
      </c>
    </row>
    <row r="114" spans="1:20" ht="15.6" thickTop="1" thickBot="1">
      <c r="A114" s="318"/>
      <c r="B114" s="319"/>
      <c r="C114" s="318"/>
      <c r="D114" s="318"/>
      <c r="E114" s="319"/>
      <c r="F114" s="319"/>
      <c r="G114" s="649" t="s">
        <v>2429</v>
      </c>
      <c r="H114" s="318">
        <v>3.65</v>
      </c>
      <c r="I114" s="318">
        <v>1</v>
      </c>
      <c r="J114" s="318">
        <f t="shared" si="8"/>
        <v>1</v>
      </c>
      <c r="K114" s="318">
        <f t="shared" si="9"/>
        <v>3.65</v>
      </c>
      <c r="L114" s="350" t="s">
        <v>3299</v>
      </c>
      <c r="M114" s="350" t="s">
        <v>3310</v>
      </c>
      <c r="N114" s="318">
        <v>1</v>
      </c>
      <c r="O114" s="619">
        <f t="shared" si="13"/>
        <v>3.65</v>
      </c>
      <c r="P114" s="750">
        <v>1</v>
      </c>
      <c r="Q114" s="747">
        <f>R114-P114</f>
        <v>0</v>
      </c>
      <c r="R114" s="624">
        <v>1</v>
      </c>
      <c r="S114" s="348">
        <f t="shared" si="11"/>
        <v>3.65</v>
      </c>
      <c r="T114" s="389" t="s">
        <v>3803</v>
      </c>
    </row>
    <row r="115" spans="1:20" ht="15.6" thickTop="1" thickBot="1">
      <c r="A115" s="318"/>
      <c r="B115" s="319"/>
      <c r="C115" s="318"/>
      <c r="D115" s="318"/>
      <c r="E115" s="319"/>
      <c r="F115" s="319"/>
      <c r="G115" s="649" t="s">
        <v>2430</v>
      </c>
      <c r="H115" s="318">
        <v>3.65</v>
      </c>
      <c r="I115" s="318">
        <v>1</v>
      </c>
      <c r="J115" s="318">
        <v>1</v>
      </c>
      <c r="K115" s="318">
        <f t="shared" si="9"/>
        <v>3.65</v>
      </c>
      <c r="L115" s="350" t="s">
        <v>3274</v>
      </c>
      <c r="M115" s="350" t="s">
        <v>3306</v>
      </c>
      <c r="N115" s="318">
        <v>1</v>
      </c>
      <c r="O115" s="619">
        <f>H115*N115</f>
        <v>3.65</v>
      </c>
      <c r="P115" s="750">
        <v>1</v>
      </c>
      <c r="Q115" s="747">
        <f>R115-P115</f>
        <v>0</v>
      </c>
      <c r="R115" s="624">
        <v>1</v>
      </c>
      <c r="S115" s="348">
        <f t="shared" si="11"/>
        <v>3.65</v>
      </c>
      <c r="T115" s="319" t="s">
        <v>3803</v>
      </c>
    </row>
    <row r="116" spans="1:20" ht="15.6" thickTop="1" thickBot="1">
      <c r="A116" s="318"/>
      <c r="B116" s="319"/>
      <c r="C116" s="318"/>
      <c r="D116" s="318"/>
      <c r="E116" s="319"/>
      <c r="F116" s="319"/>
      <c r="G116" s="649" t="s">
        <v>2431</v>
      </c>
      <c r="H116" s="318">
        <v>3.65</v>
      </c>
      <c r="I116" s="318">
        <v>1</v>
      </c>
      <c r="J116" s="318">
        <v>1</v>
      </c>
      <c r="K116" s="318">
        <f t="shared" si="9"/>
        <v>3.65</v>
      </c>
      <c r="L116" s="350" t="s">
        <v>3274</v>
      </c>
      <c r="M116" s="350" t="s">
        <v>3306</v>
      </c>
      <c r="N116" s="318">
        <v>1</v>
      </c>
      <c r="O116" s="619">
        <f>H116*N116</f>
        <v>3.65</v>
      </c>
      <c r="P116" s="750">
        <v>1</v>
      </c>
      <c r="Q116" s="747">
        <f>R116-P116</f>
        <v>0</v>
      </c>
      <c r="R116" s="624">
        <v>1</v>
      </c>
      <c r="S116" s="348">
        <f t="shared" si="11"/>
        <v>3.65</v>
      </c>
      <c r="T116" s="319" t="s">
        <v>3803</v>
      </c>
    </row>
    <row r="117" spans="1:20" ht="15.6" thickTop="1" thickBot="1">
      <c r="A117" s="318"/>
      <c r="B117" s="319"/>
      <c r="C117" s="318"/>
      <c r="D117" s="318"/>
      <c r="E117" s="319"/>
      <c r="F117" s="336"/>
      <c r="G117" s="649" t="s">
        <v>2432</v>
      </c>
      <c r="H117" s="318">
        <v>3.65</v>
      </c>
      <c r="I117" s="318">
        <v>1</v>
      </c>
      <c r="J117" s="318">
        <v>1</v>
      </c>
      <c r="K117" s="318">
        <f t="shared" si="9"/>
        <v>3.65</v>
      </c>
      <c r="L117" s="350" t="s">
        <v>3274</v>
      </c>
      <c r="M117" s="350" t="s">
        <v>3306</v>
      </c>
      <c r="N117" s="318">
        <v>1</v>
      </c>
      <c r="O117" s="619">
        <f>H117*N117</f>
        <v>3.65</v>
      </c>
      <c r="P117" s="750">
        <v>1</v>
      </c>
      <c r="Q117" s="747">
        <f>R117-P117</f>
        <v>0</v>
      </c>
      <c r="R117" s="624">
        <v>1</v>
      </c>
      <c r="S117" s="348">
        <f t="shared" si="11"/>
        <v>3.65</v>
      </c>
      <c r="T117" s="319" t="s">
        <v>3803</v>
      </c>
    </row>
    <row r="118" spans="1:20" ht="15.6" thickTop="1" thickBot="1">
      <c r="A118" s="318"/>
      <c r="B118" s="319"/>
      <c r="C118" s="318"/>
      <c r="D118" s="318"/>
      <c r="E118" s="319"/>
      <c r="F118" s="336"/>
      <c r="G118" s="656" t="s">
        <v>2433</v>
      </c>
      <c r="H118" s="318">
        <v>2.21</v>
      </c>
      <c r="I118" s="318">
        <v>1</v>
      </c>
      <c r="J118" s="318">
        <v>1</v>
      </c>
      <c r="K118" s="318">
        <f t="shared" si="9"/>
        <v>2.21</v>
      </c>
      <c r="L118" s="954">
        <v>3117</v>
      </c>
      <c r="M118" s="954">
        <v>327</v>
      </c>
      <c r="N118" s="954">
        <v>1</v>
      </c>
      <c r="O118" s="619">
        <f>H118*N118</f>
        <v>2.21</v>
      </c>
      <c r="P118" s="750">
        <v>1</v>
      </c>
      <c r="Q118" s="747">
        <f>R118-P118</f>
        <v>0</v>
      </c>
      <c r="R118" s="659">
        <v>1</v>
      </c>
      <c r="S118" s="348">
        <f t="shared" si="11"/>
        <v>2.21</v>
      </c>
      <c r="T118" s="955" t="s">
        <v>3819</v>
      </c>
    </row>
    <row r="119" spans="1:20" ht="15.6" thickTop="1" thickBot="1">
      <c r="A119" s="318"/>
      <c r="B119" s="319"/>
      <c r="C119" s="318"/>
      <c r="D119" s="318"/>
      <c r="E119" s="319"/>
      <c r="F119" s="319"/>
      <c r="G119" s="649" t="s">
        <v>2434</v>
      </c>
      <c r="H119" s="318">
        <v>4.6100000000000003</v>
      </c>
      <c r="I119" s="318">
        <v>1</v>
      </c>
      <c r="J119" s="318">
        <f t="shared" si="8"/>
        <v>1</v>
      </c>
      <c r="K119" s="318">
        <f t="shared" si="9"/>
        <v>4.6100000000000003</v>
      </c>
      <c r="L119" s="350" t="s">
        <v>3108</v>
      </c>
      <c r="M119" s="318"/>
      <c r="N119" s="318">
        <v>1</v>
      </c>
      <c r="O119" s="619">
        <f>H119*N119</f>
        <v>4.6100000000000003</v>
      </c>
      <c r="P119" s="774"/>
      <c r="Q119" s="753"/>
      <c r="R119" s="630"/>
      <c r="S119" s="348">
        <f t="shared" si="11"/>
        <v>0</v>
      </c>
      <c r="T119" s="319"/>
    </row>
    <row r="120" spans="1:20" ht="15" thickTop="1">
      <c r="A120" s="318"/>
      <c r="B120" s="319"/>
      <c r="C120" s="318"/>
      <c r="D120" s="318"/>
      <c r="E120" s="319"/>
      <c r="F120" s="319"/>
      <c r="G120" s="318" t="s">
        <v>2435</v>
      </c>
      <c r="H120" s="318">
        <v>4.49</v>
      </c>
      <c r="I120" s="318">
        <v>1</v>
      </c>
      <c r="J120" s="318">
        <f t="shared" si="8"/>
        <v>1</v>
      </c>
      <c r="K120" s="318">
        <f t="shared" si="9"/>
        <v>4.49</v>
      </c>
      <c r="L120" s="572" t="s">
        <v>3109</v>
      </c>
      <c r="M120" s="350" t="s">
        <v>3024</v>
      </c>
      <c r="N120" s="318">
        <v>1</v>
      </c>
      <c r="O120" s="619">
        <f t="shared" si="13"/>
        <v>4.49</v>
      </c>
      <c r="P120" s="750">
        <v>1</v>
      </c>
      <c r="Q120" s="750"/>
      <c r="R120" s="337">
        <v>1</v>
      </c>
      <c r="S120" s="348">
        <f t="shared" si="11"/>
        <v>4.49</v>
      </c>
      <c r="T120" s="319" t="s">
        <v>3418</v>
      </c>
    </row>
    <row r="121" spans="1:20">
      <c r="A121" s="318"/>
      <c r="B121" s="319"/>
      <c r="C121" s="318"/>
      <c r="D121" s="318"/>
      <c r="E121" s="319"/>
      <c r="F121" s="319"/>
      <c r="G121" s="318" t="s">
        <v>2436</v>
      </c>
      <c r="H121" s="318">
        <v>4.49</v>
      </c>
      <c r="I121" s="318">
        <v>1</v>
      </c>
      <c r="J121" s="318">
        <f t="shared" si="8"/>
        <v>1</v>
      </c>
      <c r="K121" s="318">
        <f t="shared" si="9"/>
        <v>4.49</v>
      </c>
      <c r="L121" s="350" t="s">
        <v>3103</v>
      </c>
      <c r="M121" s="350" t="s">
        <v>3052</v>
      </c>
      <c r="N121" s="318">
        <v>1</v>
      </c>
      <c r="O121" s="619">
        <f t="shared" si="13"/>
        <v>4.49</v>
      </c>
      <c r="P121" s="750">
        <v>1</v>
      </c>
      <c r="Q121" s="750"/>
      <c r="R121" s="337">
        <v>1</v>
      </c>
      <c r="S121" s="348">
        <f t="shared" si="11"/>
        <v>4.49</v>
      </c>
      <c r="T121" s="319" t="s">
        <v>3418</v>
      </c>
    </row>
    <row r="122" spans="1:20">
      <c r="A122" s="318"/>
      <c r="B122" s="319"/>
      <c r="C122" s="318"/>
      <c r="D122" s="318"/>
      <c r="E122" s="319"/>
      <c r="F122" s="319"/>
      <c r="G122" s="318" t="s">
        <v>2437</v>
      </c>
      <c r="H122" s="318">
        <v>4.49</v>
      </c>
      <c r="I122" s="318">
        <v>1</v>
      </c>
      <c r="J122" s="318">
        <f t="shared" si="8"/>
        <v>1</v>
      </c>
      <c r="K122" s="318">
        <f t="shared" si="9"/>
        <v>4.49</v>
      </c>
      <c r="L122" s="350" t="s">
        <v>3103</v>
      </c>
      <c r="M122" s="350" t="s">
        <v>3052</v>
      </c>
      <c r="N122" s="318">
        <v>1</v>
      </c>
      <c r="O122" s="619">
        <f t="shared" si="13"/>
        <v>4.49</v>
      </c>
      <c r="P122" s="750">
        <v>1</v>
      </c>
      <c r="Q122" s="750"/>
      <c r="R122" s="337">
        <v>1</v>
      </c>
      <c r="S122" s="348">
        <f t="shared" si="11"/>
        <v>4.49</v>
      </c>
      <c r="T122" s="319" t="s">
        <v>3418</v>
      </c>
    </row>
    <row r="123" spans="1:20">
      <c r="A123" s="318"/>
      <c r="B123" s="319"/>
      <c r="C123" s="318"/>
      <c r="D123" s="318"/>
      <c r="E123" s="319"/>
      <c r="F123" s="319"/>
      <c r="G123" s="318" t="s">
        <v>2438</v>
      </c>
      <c r="H123" s="318">
        <v>4.49</v>
      </c>
      <c r="I123" s="318">
        <v>1</v>
      </c>
      <c r="J123" s="318">
        <f t="shared" si="8"/>
        <v>1</v>
      </c>
      <c r="K123" s="318">
        <f t="shared" si="9"/>
        <v>4.49</v>
      </c>
      <c r="L123" s="572" t="s">
        <v>3110</v>
      </c>
      <c r="M123" s="318">
        <v>230</v>
      </c>
      <c r="N123" s="318">
        <v>1</v>
      </c>
      <c r="O123" s="619">
        <f t="shared" si="13"/>
        <v>4.49</v>
      </c>
      <c r="P123" s="750">
        <v>1</v>
      </c>
      <c r="Q123" s="750"/>
      <c r="R123" s="337">
        <v>1</v>
      </c>
      <c r="S123" s="348">
        <f t="shared" si="11"/>
        <v>4.49</v>
      </c>
      <c r="T123" s="319" t="s">
        <v>3418</v>
      </c>
    </row>
    <row r="124" spans="1:20">
      <c r="A124" s="318"/>
      <c r="B124" s="319"/>
      <c r="C124" s="318"/>
      <c r="D124" s="318"/>
      <c r="E124" s="319"/>
      <c r="F124" s="319"/>
      <c r="G124" s="318" t="s">
        <v>2439</v>
      </c>
      <c r="H124" s="318">
        <v>4.49</v>
      </c>
      <c r="I124" s="318">
        <v>1</v>
      </c>
      <c r="J124" s="318">
        <f t="shared" si="8"/>
        <v>1</v>
      </c>
      <c r="K124" s="318">
        <f t="shared" si="9"/>
        <v>4.49</v>
      </c>
      <c r="L124" s="572" t="s">
        <v>3107</v>
      </c>
      <c r="M124" s="350" t="s">
        <v>3024</v>
      </c>
      <c r="N124" s="318">
        <v>1</v>
      </c>
      <c r="O124" s="619">
        <f t="shared" si="13"/>
        <v>4.49</v>
      </c>
      <c r="P124" s="750">
        <v>1</v>
      </c>
      <c r="Q124" s="750"/>
      <c r="R124" s="337">
        <v>1</v>
      </c>
      <c r="S124" s="348">
        <f t="shared" si="11"/>
        <v>4.49</v>
      </c>
      <c r="T124" s="319" t="s">
        <v>3418</v>
      </c>
    </row>
    <row r="125" spans="1:20">
      <c r="A125" s="318"/>
      <c r="B125" s="319"/>
      <c r="C125" s="318"/>
      <c r="D125" s="318"/>
      <c r="E125" s="319"/>
      <c r="F125" s="319"/>
      <c r="G125" s="318" t="s">
        <v>2440</v>
      </c>
      <c r="H125" s="318">
        <v>4.49</v>
      </c>
      <c r="I125" s="318">
        <v>1</v>
      </c>
      <c r="J125" s="318">
        <f t="shared" si="8"/>
        <v>1</v>
      </c>
      <c r="K125" s="318">
        <f t="shared" si="9"/>
        <v>4.49</v>
      </c>
      <c r="L125" s="350" t="s">
        <v>3112</v>
      </c>
      <c r="M125" s="350" t="s">
        <v>3024</v>
      </c>
      <c r="N125" s="318">
        <v>1</v>
      </c>
      <c r="O125" s="619">
        <f t="shared" si="13"/>
        <v>4.49</v>
      </c>
      <c r="P125" s="750">
        <v>1</v>
      </c>
      <c r="Q125" s="750"/>
      <c r="R125" s="337">
        <v>1</v>
      </c>
      <c r="S125" s="348">
        <f t="shared" si="11"/>
        <v>4.49</v>
      </c>
      <c r="T125" s="319" t="s">
        <v>3418</v>
      </c>
    </row>
    <row r="126" spans="1:20">
      <c r="A126" s="318"/>
      <c r="B126" s="319"/>
      <c r="C126" s="318"/>
      <c r="D126" s="318"/>
      <c r="E126" s="319"/>
      <c r="F126" s="319"/>
      <c r="G126" s="318" t="s">
        <v>2441</v>
      </c>
      <c r="H126" s="318">
        <v>4.49</v>
      </c>
      <c r="I126" s="318">
        <v>1</v>
      </c>
      <c r="J126" s="318">
        <f t="shared" si="8"/>
        <v>1</v>
      </c>
      <c r="K126" s="318">
        <f t="shared" si="9"/>
        <v>4.49</v>
      </c>
      <c r="L126" s="350" t="s">
        <v>3016</v>
      </c>
      <c r="M126" s="350" t="s">
        <v>3012</v>
      </c>
      <c r="N126" s="318">
        <v>1</v>
      </c>
      <c r="O126" s="619">
        <f t="shared" ref="O126:O136" si="14">H126*N126</f>
        <v>4.49</v>
      </c>
      <c r="P126" s="750">
        <v>1</v>
      </c>
      <c r="Q126" s="750"/>
      <c r="R126" s="337">
        <v>1</v>
      </c>
      <c r="S126" s="348">
        <f t="shared" si="11"/>
        <v>4.49</v>
      </c>
      <c r="T126" s="319" t="s">
        <v>3418</v>
      </c>
    </row>
    <row r="127" spans="1:20">
      <c r="A127" s="318"/>
      <c r="B127" s="319"/>
      <c r="C127" s="318"/>
      <c r="D127" s="318"/>
      <c r="E127" s="319"/>
      <c r="F127" s="319"/>
      <c r="G127" s="318" t="s">
        <v>2442</v>
      </c>
      <c r="H127" s="318">
        <v>4.4909999999999997</v>
      </c>
      <c r="I127" s="318">
        <v>1</v>
      </c>
      <c r="J127" s="318">
        <f t="shared" si="8"/>
        <v>1</v>
      </c>
      <c r="K127" s="318">
        <f t="shared" si="9"/>
        <v>4.4909999999999997</v>
      </c>
      <c r="L127" s="350" t="s">
        <v>3016</v>
      </c>
      <c r="M127" s="350" t="s">
        <v>3012</v>
      </c>
      <c r="N127" s="318">
        <v>1</v>
      </c>
      <c r="O127" s="619">
        <f t="shared" si="14"/>
        <v>4.4909999999999997</v>
      </c>
      <c r="P127" s="750">
        <v>1</v>
      </c>
      <c r="Q127" s="750"/>
      <c r="R127" s="337">
        <v>1</v>
      </c>
      <c r="S127" s="348">
        <f t="shared" si="11"/>
        <v>4.4909999999999997</v>
      </c>
      <c r="T127" s="319"/>
    </row>
    <row r="128" spans="1:20">
      <c r="A128" s="318"/>
      <c r="B128" s="319"/>
      <c r="C128" s="318"/>
      <c r="D128" s="318"/>
      <c r="E128" s="319"/>
      <c r="F128" s="336"/>
      <c r="G128" s="318" t="s">
        <v>2443</v>
      </c>
      <c r="H128" s="318">
        <v>4.4909999999999997</v>
      </c>
      <c r="I128" s="318">
        <v>1</v>
      </c>
      <c r="J128" s="318">
        <f t="shared" si="8"/>
        <v>1</v>
      </c>
      <c r="K128" s="318">
        <f t="shared" si="9"/>
        <v>4.4909999999999997</v>
      </c>
      <c r="L128" s="350" t="s">
        <v>3015</v>
      </c>
      <c r="M128" s="350" t="s">
        <v>3014</v>
      </c>
      <c r="N128" s="318">
        <v>1</v>
      </c>
      <c r="O128" s="619">
        <f t="shared" si="14"/>
        <v>4.4909999999999997</v>
      </c>
      <c r="P128" s="750">
        <v>1</v>
      </c>
      <c r="Q128" s="750"/>
      <c r="R128" s="337">
        <v>1</v>
      </c>
      <c r="S128" s="348">
        <f t="shared" si="11"/>
        <v>4.4909999999999997</v>
      </c>
      <c r="T128" s="319"/>
    </row>
    <row r="129" spans="1:20">
      <c r="A129" s="318"/>
      <c r="B129" s="319"/>
      <c r="C129" s="318"/>
      <c r="D129" s="318"/>
      <c r="E129" s="319"/>
      <c r="F129" s="336"/>
      <c r="G129" s="318" t="s">
        <v>2444</v>
      </c>
      <c r="H129" s="318">
        <v>4.4909999999999997</v>
      </c>
      <c r="I129" s="318">
        <v>1</v>
      </c>
      <c r="J129" s="318">
        <f t="shared" si="8"/>
        <v>1</v>
      </c>
      <c r="K129" s="318">
        <f t="shared" si="9"/>
        <v>4.4909999999999997</v>
      </c>
      <c r="L129" s="350" t="s">
        <v>3016</v>
      </c>
      <c r="M129" s="350" t="s">
        <v>3012</v>
      </c>
      <c r="N129" s="318">
        <v>1</v>
      </c>
      <c r="O129" s="619">
        <f t="shared" si="14"/>
        <v>4.4909999999999997</v>
      </c>
      <c r="P129" s="750">
        <v>1</v>
      </c>
      <c r="Q129" s="750"/>
      <c r="R129" s="337">
        <v>1</v>
      </c>
      <c r="S129" s="348">
        <f t="shared" si="11"/>
        <v>4.4909999999999997</v>
      </c>
      <c r="T129" s="319"/>
    </row>
    <row r="130" spans="1:20">
      <c r="A130" s="318"/>
      <c r="B130" s="319"/>
      <c r="C130" s="318"/>
      <c r="D130" s="318"/>
      <c r="E130" s="319"/>
      <c r="F130" s="319"/>
      <c r="G130" s="318" t="s">
        <v>2445</v>
      </c>
      <c r="H130" s="318">
        <v>4.4909999999999997</v>
      </c>
      <c r="I130" s="318">
        <v>1</v>
      </c>
      <c r="J130" s="318">
        <f t="shared" si="8"/>
        <v>1</v>
      </c>
      <c r="K130" s="318">
        <f t="shared" si="9"/>
        <v>4.4909999999999997</v>
      </c>
      <c r="L130" s="350" t="s">
        <v>3016</v>
      </c>
      <c r="M130" s="350" t="s">
        <v>3012</v>
      </c>
      <c r="N130" s="318">
        <v>1</v>
      </c>
      <c r="O130" s="619">
        <f t="shared" si="14"/>
        <v>4.4909999999999997</v>
      </c>
      <c r="P130" s="750">
        <v>1</v>
      </c>
      <c r="Q130" s="750"/>
      <c r="R130" s="337">
        <v>1</v>
      </c>
      <c r="S130" s="348">
        <f t="shared" si="11"/>
        <v>4.4909999999999997</v>
      </c>
      <c r="T130" s="319"/>
    </row>
    <row r="131" spans="1:20">
      <c r="A131" s="318"/>
      <c r="B131" s="319"/>
      <c r="C131" s="318"/>
      <c r="D131" s="318"/>
      <c r="E131" s="319"/>
      <c r="F131" s="319"/>
      <c r="G131" s="318" t="s">
        <v>2446</v>
      </c>
      <c r="H131" s="318">
        <v>4.4909999999999997</v>
      </c>
      <c r="I131" s="318">
        <v>1</v>
      </c>
      <c r="J131" s="318">
        <f t="shared" si="8"/>
        <v>1</v>
      </c>
      <c r="K131" s="318">
        <f t="shared" si="9"/>
        <v>4.4909999999999997</v>
      </c>
      <c r="L131" s="350" t="s">
        <v>3003</v>
      </c>
      <c r="M131" s="350" t="s">
        <v>3012</v>
      </c>
      <c r="N131" s="318">
        <v>1</v>
      </c>
      <c r="O131" s="619">
        <f t="shared" si="14"/>
        <v>4.4909999999999997</v>
      </c>
      <c r="P131" s="750">
        <v>1</v>
      </c>
      <c r="Q131" s="750"/>
      <c r="R131" s="337">
        <v>1</v>
      </c>
      <c r="S131" s="348">
        <f t="shared" si="11"/>
        <v>4.4909999999999997</v>
      </c>
      <c r="T131" s="319"/>
    </row>
    <row r="132" spans="1:20">
      <c r="A132" s="318"/>
      <c r="B132" s="319"/>
      <c r="C132" s="318"/>
      <c r="D132" s="318"/>
      <c r="E132" s="319"/>
      <c r="F132" s="319"/>
      <c r="G132" s="318" t="s">
        <v>2447</v>
      </c>
      <c r="H132" s="318">
        <v>2.04</v>
      </c>
      <c r="I132" s="318">
        <v>1</v>
      </c>
      <c r="J132" s="318">
        <f t="shared" si="8"/>
        <v>1</v>
      </c>
      <c r="K132" s="318">
        <f t="shared" si="9"/>
        <v>2.04</v>
      </c>
      <c r="L132" s="350" t="s">
        <v>3011</v>
      </c>
      <c r="M132" s="350" t="s">
        <v>3019</v>
      </c>
      <c r="N132" s="318">
        <v>1</v>
      </c>
      <c r="O132" s="619">
        <f t="shared" si="14"/>
        <v>2.04</v>
      </c>
      <c r="P132" s="750">
        <v>1</v>
      </c>
      <c r="Q132" s="750"/>
      <c r="R132" s="337">
        <v>1</v>
      </c>
      <c r="S132" s="348">
        <f t="shared" si="11"/>
        <v>2.04</v>
      </c>
      <c r="T132" s="319"/>
    </row>
    <row r="133" spans="1:20">
      <c r="A133" s="318"/>
      <c r="B133" s="319"/>
      <c r="C133" s="318"/>
      <c r="D133" s="318"/>
      <c r="E133" s="319"/>
      <c r="F133" s="319"/>
      <c r="G133" s="318" t="s">
        <v>2448</v>
      </c>
      <c r="H133" s="318">
        <v>2.04</v>
      </c>
      <c r="I133" s="318">
        <v>1</v>
      </c>
      <c r="J133" s="318">
        <f t="shared" si="8"/>
        <v>1</v>
      </c>
      <c r="K133" s="318">
        <f t="shared" si="9"/>
        <v>2.04</v>
      </c>
      <c r="L133" s="350" t="s">
        <v>3006</v>
      </c>
      <c r="M133" s="350" t="s">
        <v>3019</v>
      </c>
      <c r="N133" s="318">
        <v>1</v>
      </c>
      <c r="O133" s="619">
        <f t="shared" si="14"/>
        <v>2.04</v>
      </c>
      <c r="P133" s="750">
        <v>1</v>
      </c>
      <c r="Q133" s="750"/>
      <c r="R133" s="337">
        <v>1</v>
      </c>
      <c r="S133" s="348">
        <f t="shared" si="11"/>
        <v>2.04</v>
      </c>
      <c r="T133" s="319"/>
    </row>
    <row r="134" spans="1:20">
      <c r="A134" s="318"/>
      <c r="B134" s="319"/>
      <c r="C134" s="318"/>
      <c r="D134" s="318"/>
      <c r="E134" s="319"/>
      <c r="F134" s="319"/>
      <c r="G134" s="318" t="s">
        <v>2449</v>
      </c>
      <c r="H134" s="318">
        <v>3.77</v>
      </c>
      <c r="I134" s="318">
        <v>1</v>
      </c>
      <c r="J134" s="318">
        <f t="shared" si="8"/>
        <v>1</v>
      </c>
      <c r="K134" s="318">
        <f t="shared" si="9"/>
        <v>3.77</v>
      </c>
      <c r="L134" s="350" t="s">
        <v>3010</v>
      </c>
      <c r="M134" s="350" t="s">
        <v>3018</v>
      </c>
      <c r="N134" s="318">
        <v>1</v>
      </c>
      <c r="O134" s="619">
        <f t="shared" si="14"/>
        <v>3.77</v>
      </c>
      <c r="P134" s="750">
        <v>1</v>
      </c>
      <c r="Q134" s="750"/>
      <c r="R134" s="337">
        <v>1</v>
      </c>
      <c r="S134" s="348">
        <f t="shared" si="11"/>
        <v>3.77</v>
      </c>
      <c r="T134" s="319"/>
    </row>
    <row r="135" spans="1:20">
      <c r="A135" s="318"/>
      <c r="B135" s="319"/>
      <c r="C135" s="318"/>
      <c r="D135" s="318"/>
      <c r="E135" s="319"/>
      <c r="F135" s="319"/>
      <c r="G135" s="318" t="s">
        <v>2450</v>
      </c>
      <c r="H135" s="318">
        <v>3.77</v>
      </c>
      <c r="I135" s="318">
        <v>1</v>
      </c>
      <c r="J135" s="318">
        <f>IF(N135&gt;0,1,0)</f>
        <v>1</v>
      </c>
      <c r="K135" s="318">
        <f t="shared" si="9"/>
        <v>3.77</v>
      </c>
      <c r="L135" s="350" t="s">
        <v>2986</v>
      </c>
      <c r="M135" s="350" t="s">
        <v>2982</v>
      </c>
      <c r="N135" s="318">
        <v>1</v>
      </c>
      <c r="O135" s="619">
        <f t="shared" si="14"/>
        <v>3.77</v>
      </c>
      <c r="P135" s="750">
        <v>1</v>
      </c>
      <c r="Q135" s="750"/>
      <c r="R135" s="337">
        <v>1</v>
      </c>
      <c r="S135" s="348">
        <f t="shared" si="11"/>
        <v>3.77</v>
      </c>
      <c r="T135" s="319"/>
    </row>
    <row r="136" spans="1:20">
      <c r="A136" s="318"/>
      <c r="B136" s="319"/>
      <c r="C136" s="318"/>
      <c r="D136" s="318"/>
      <c r="E136" s="319"/>
      <c r="F136" s="319"/>
      <c r="G136" s="318" t="s">
        <v>2451</v>
      </c>
      <c r="H136" s="318">
        <v>3.64</v>
      </c>
      <c r="I136" s="318">
        <v>1</v>
      </c>
      <c r="J136" s="318">
        <f>IF(N136&gt;0,1,0)</f>
        <v>1</v>
      </c>
      <c r="K136" s="318">
        <f t="shared" si="9"/>
        <v>3.64</v>
      </c>
      <c r="L136" s="350" t="s">
        <v>3013</v>
      </c>
      <c r="M136" s="350" t="s">
        <v>3012</v>
      </c>
      <c r="N136" s="318">
        <v>1</v>
      </c>
      <c r="O136" s="619">
        <f t="shared" si="14"/>
        <v>3.64</v>
      </c>
      <c r="P136" s="750">
        <v>1</v>
      </c>
      <c r="Q136" s="750"/>
      <c r="R136" s="337">
        <v>1</v>
      </c>
      <c r="S136" s="348">
        <f t="shared" si="11"/>
        <v>3.64</v>
      </c>
      <c r="T136" s="319"/>
    </row>
    <row r="137" spans="1:20">
      <c r="A137" s="318"/>
      <c r="B137" s="319"/>
      <c r="C137" s="318"/>
      <c r="D137" s="318"/>
      <c r="E137" s="319"/>
      <c r="F137" s="319"/>
      <c r="G137" s="318"/>
      <c r="H137" s="318"/>
      <c r="I137" s="318"/>
      <c r="J137" s="382" t="s">
        <v>389</v>
      </c>
      <c r="K137" s="321">
        <f>SUM(K80:K136)</f>
        <v>224.84500000000003</v>
      </c>
      <c r="L137" s="318"/>
      <c r="M137" s="318"/>
      <c r="N137" s="382" t="s">
        <v>389</v>
      </c>
      <c r="O137" s="748">
        <f>SUM(O80:O136)</f>
        <v>224.84500000000003</v>
      </c>
      <c r="P137" s="751" t="s">
        <v>389</v>
      </c>
      <c r="Q137" s="751"/>
      <c r="R137" s="382" t="s">
        <v>389</v>
      </c>
      <c r="S137" s="321">
        <f>SUM(S80:S136)</f>
        <v>220.23500000000001</v>
      </c>
      <c r="T137" s="319"/>
    </row>
    <row r="138" spans="1:20" ht="6.75" customHeight="1">
      <c r="A138" s="316"/>
      <c r="B138" s="317"/>
      <c r="C138" s="316"/>
      <c r="D138" s="316"/>
      <c r="E138" s="317"/>
      <c r="F138" s="744"/>
      <c r="G138" s="316"/>
      <c r="H138" s="316"/>
      <c r="I138" s="316"/>
      <c r="J138" s="316"/>
      <c r="K138" s="316"/>
      <c r="L138" s="316"/>
      <c r="M138" s="316"/>
      <c r="N138" s="316"/>
      <c r="O138" s="749"/>
      <c r="P138" s="752"/>
      <c r="Q138" s="752"/>
      <c r="R138" s="316"/>
      <c r="S138" s="339"/>
      <c r="T138" s="317"/>
    </row>
    <row r="139" spans="1:20">
      <c r="A139" s="318">
        <v>3</v>
      </c>
      <c r="B139" s="319" t="s">
        <v>383</v>
      </c>
      <c r="C139" s="318">
        <v>800</v>
      </c>
      <c r="D139" s="318">
        <v>4</v>
      </c>
      <c r="E139" s="319">
        <v>1</v>
      </c>
      <c r="F139" s="319"/>
      <c r="G139" s="318" t="s">
        <v>2505</v>
      </c>
      <c r="H139" s="318">
        <v>4.49</v>
      </c>
      <c r="I139" s="318">
        <v>1</v>
      </c>
      <c r="J139" s="318">
        <f t="shared" ref="J139:J202" si="15">IF(N139&gt;0,1,0)</f>
        <v>1</v>
      </c>
      <c r="K139" s="318">
        <f t="shared" ref="K139:K202" si="16">H139*J139</f>
        <v>4.49</v>
      </c>
      <c r="L139" s="350" t="s">
        <v>2984</v>
      </c>
      <c r="M139" s="350" t="s">
        <v>2982</v>
      </c>
      <c r="N139" s="318">
        <v>1</v>
      </c>
      <c r="O139" s="619">
        <f t="shared" ref="O139:O158" si="17">H139*N139</f>
        <v>4.49</v>
      </c>
      <c r="P139" s="750">
        <v>1</v>
      </c>
      <c r="Q139" s="750"/>
      <c r="R139" s="337">
        <v>1</v>
      </c>
      <c r="S139" s="348">
        <f>H139*R139</f>
        <v>4.49</v>
      </c>
      <c r="T139" s="597"/>
    </row>
    <row r="140" spans="1:20">
      <c r="A140" s="318"/>
      <c r="B140" s="319"/>
      <c r="C140" s="318"/>
      <c r="D140" s="318"/>
      <c r="E140" s="319"/>
      <c r="F140" s="319"/>
      <c r="G140" s="318" t="s">
        <v>2506</v>
      </c>
      <c r="H140" s="318">
        <v>4.49</v>
      </c>
      <c r="I140" s="318">
        <v>1</v>
      </c>
      <c r="J140" s="318">
        <f t="shared" si="15"/>
        <v>1</v>
      </c>
      <c r="K140" s="318">
        <f t="shared" si="16"/>
        <v>4.49</v>
      </c>
      <c r="L140" s="350" t="s">
        <v>3068</v>
      </c>
      <c r="M140" s="350" t="s">
        <v>2982</v>
      </c>
      <c r="N140" s="318">
        <v>1</v>
      </c>
      <c r="O140" s="619">
        <f t="shared" si="17"/>
        <v>4.49</v>
      </c>
      <c r="P140" s="750">
        <v>1</v>
      </c>
      <c r="Q140" s="750"/>
      <c r="R140" s="337">
        <v>1</v>
      </c>
      <c r="S140" s="348">
        <f>H140*R140</f>
        <v>4.49</v>
      </c>
      <c r="T140" s="597"/>
    </row>
    <row r="141" spans="1:20">
      <c r="A141" s="318"/>
      <c r="B141" s="319"/>
      <c r="C141" s="318"/>
      <c r="D141" s="318"/>
      <c r="E141" s="319"/>
      <c r="F141" s="319"/>
      <c r="G141" s="318" t="s">
        <v>2507</v>
      </c>
      <c r="H141" s="318">
        <v>4.49</v>
      </c>
      <c r="I141" s="318">
        <v>1</v>
      </c>
      <c r="J141" s="318">
        <f t="shared" si="15"/>
        <v>1</v>
      </c>
      <c r="K141" s="318">
        <f t="shared" si="16"/>
        <v>4.49</v>
      </c>
      <c r="L141" s="350" t="s">
        <v>3061</v>
      </c>
      <c r="M141" s="350" t="s">
        <v>3029</v>
      </c>
      <c r="N141" s="318">
        <v>1</v>
      </c>
      <c r="O141" s="619">
        <f t="shared" si="17"/>
        <v>4.49</v>
      </c>
      <c r="P141" s="750">
        <v>1</v>
      </c>
      <c r="Q141" s="750"/>
      <c r="R141" s="337">
        <v>1</v>
      </c>
      <c r="S141" s="348">
        <f t="shared" ref="S141:S204" si="18">H141*R141</f>
        <v>4.49</v>
      </c>
      <c r="T141" s="597"/>
    </row>
    <row r="142" spans="1:20" ht="15" thickBot="1">
      <c r="A142" s="318"/>
      <c r="B142" s="319"/>
      <c r="C142" s="318"/>
      <c r="D142" s="318"/>
      <c r="E142" s="319"/>
      <c r="F142" s="319"/>
      <c r="G142" s="318" t="s">
        <v>2508</v>
      </c>
      <c r="H142" s="318">
        <v>4.49</v>
      </c>
      <c r="I142" s="318">
        <v>1</v>
      </c>
      <c r="J142" s="318">
        <f t="shared" si="15"/>
        <v>1</v>
      </c>
      <c r="K142" s="318">
        <f t="shared" si="16"/>
        <v>4.49</v>
      </c>
      <c r="L142" s="352" t="s">
        <v>3069</v>
      </c>
      <c r="M142" s="350" t="s">
        <v>3041</v>
      </c>
      <c r="N142" s="318">
        <v>1</v>
      </c>
      <c r="O142" s="619">
        <f t="shared" si="17"/>
        <v>4.49</v>
      </c>
      <c r="P142" s="750">
        <v>1</v>
      </c>
      <c r="Q142" s="750"/>
      <c r="R142" s="592">
        <v>1</v>
      </c>
      <c r="S142" s="348">
        <f t="shared" si="18"/>
        <v>4.49</v>
      </c>
      <c r="T142" s="597"/>
    </row>
    <row r="143" spans="1:20" ht="15.6" collapsed="1" thickTop="1" thickBot="1">
      <c r="A143" s="318"/>
      <c r="B143" s="319"/>
      <c r="C143" s="318"/>
      <c r="D143" s="318"/>
      <c r="E143" s="319"/>
      <c r="F143" s="319"/>
      <c r="G143" s="318" t="s">
        <v>2509</v>
      </c>
      <c r="H143" s="318">
        <v>4.49</v>
      </c>
      <c r="I143" s="318">
        <v>1</v>
      </c>
      <c r="J143" s="318">
        <f t="shared" si="15"/>
        <v>1</v>
      </c>
      <c r="K143" s="318">
        <f t="shared" si="16"/>
        <v>4.49</v>
      </c>
      <c r="L143" s="350" t="s">
        <v>3066</v>
      </c>
      <c r="M143" s="318"/>
      <c r="N143" s="318">
        <v>1</v>
      </c>
      <c r="O143" s="619">
        <f t="shared" si="17"/>
        <v>4.49</v>
      </c>
      <c r="P143" s="640">
        <v>1</v>
      </c>
      <c r="Q143" s="754"/>
      <c r="R143" s="659">
        <v>1</v>
      </c>
      <c r="S143" s="348">
        <f t="shared" si="18"/>
        <v>4.49</v>
      </c>
      <c r="T143" s="583" t="s">
        <v>3213</v>
      </c>
    </row>
    <row r="144" spans="1:20" ht="15.6" thickTop="1" thickBot="1">
      <c r="A144" s="318"/>
      <c r="B144" s="319"/>
      <c r="C144" s="318"/>
      <c r="D144" s="318"/>
      <c r="E144" s="319"/>
      <c r="F144" s="319"/>
      <c r="G144" s="649" t="s">
        <v>2510</v>
      </c>
      <c r="H144" s="318">
        <v>4.49</v>
      </c>
      <c r="I144" s="318">
        <v>1</v>
      </c>
      <c r="J144" s="318">
        <f t="shared" si="15"/>
        <v>1</v>
      </c>
      <c r="K144" s="318">
        <f t="shared" si="16"/>
        <v>4.49</v>
      </c>
      <c r="L144" s="350" t="s">
        <v>3067</v>
      </c>
      <c r="M144" s="318"/>
      <c r="N144" s="318">
        <v>1</v>
      </c>
      <c r="O144" s="619">
        <f t="shared" si="17"/>
        <v>4.49</v>
      </c>
      <c r="P144" s="750"/>
      <c r="Q144" s="747"/>
      <c r="R144" s="624"/>
      <c r="S144" s="348">
        <f t="shared" si="18"/>
        <v>0</v>
      </c>
      <c r="T144" s="583" t="s">
        <v>3213</v>
      </c>
    </row>
    <row r="145" spans="1:20" ht="15.6" thickTop="1" thickBot="1">
      <c r="A145" s="318"/>
      <c r="B145" s="319"/>
      <c r="C145" s="318"/>
      <c r="D145" s="318"/>
      <c r="E145" s="319"/>
      <c r="F145" s="319"/>
      <c r="G145" s="649" t="s">
        <v>2511</v>
      </c>
      <c r="H145" s="318">
        <v>4.49</v>
      </c>
      <c r="I145" s="318">
        <v>1</v>
      </c>
      <c r="J145" s="318">
        <f t="shared" si="15"/>
        <v>1</v>
      </c>
      <c r="K145" s="318">
        <f t="shared" si="16"/>
        <v>4.49</v>
      </c>
      <c r="L145" s="350" t="s">
        <v>3027</v>
      </c>
      <c r="M145" s="350" t="s">
        <v>3022</v>
      </c>
      <c r="N145" s="318">
        <v>1</v>
      </c>
      <c r="O145" s="619">
        <f t="shared" si="17"/>
        <v>4.49</v>
      </c>
      <c r="P145" s="750"/>
      <c r="Q145" s="747"/>
      <c r="R145" s="624"/>
      <c r="S145" s="348">
        <f t="shared" si="18"/>
        <v>0</v>
      </c>
      <c r="T145" s="583" t="s">
        <v>3213</v>
      </c>
    </row>
    <row r="146" spans="1:20" ht="15.6" thickTop="1" thickBot="1">
      <c r="A146" s="318"/>
      <c r="B146" s="319"/>
      <c r="C146" s="318"/>
      <c r="D146" s="318"/>
      <c r="E146" s="319"/>
      <c r="F146" s="319"/>
      <c r="G146" s="649" t="s">
        <v>2512</v>
      </c>
      <c r="H146" s="318">
        <v>4.49</v>
      </c>
      <c r="I146" s="318">
        <v>1</v>
      </c>
      <c r="J146" s="318">
        <f t="shared" si="15"/>
        <v>1</v>
      </c>
      <c r="K146" s="318">
        <f t="shared" si="16"/>
        <v>4.49</v>
      </c>
      <c r="L146" s="350" t="s">
        <v>3027</v>
      </c>
      <c r="M146" s="350" t="s">
        <v>3022</v>
      </c>
      <c r="N146" s="318">
        <v>1</v>
      </c>
      <c r="O146" s="619">
        <f t="shared" si="17"/>
        <v>4.49</v>
      </c>
      <c r="P146" s="750"/>
      <c r="Q146" s="747"/>
      <c r="R146" s="624"/>
      <c r="S146" s="348">
        <f t="shared" si="18"/>
        <v>0</v>
      </c>
      <c r="T146" s="583" t="s">
        <v>3213</v>
      </c>
    </row>
    <row r="147" spans="1:20" ht="15.6" thickTop="1" thickBot="1">
      <c r="A147" s="318"/>
      <c r="B147" s="319"/>
      <c r="C147" s="318"/>
      <c r="D147" s="318"/>
      <c r="E147" s="319"/>
      <c r="F147" s="319"/>
      <c r="G147" s="649" t="s">
        <v>2513</v>
      </c>
      <c r="H147" s="318">
        <v>4.49</v>
      </c>
      <c r="I147" s="318">
        <v>1</v>
      </c>
      <c r="J147" s="318">
        <f t="shared" si="15"/>
        <v>1</v>
      </c>
      <c r="K147" s="318">
        <f t="shared" si="16"/>
        <v>4.49</v>
      </c>
      <c r="L147" s="350" t="s">
        <v>3023</v>
      </c>
      <c r="M147" s="350" t="s">
        <v>3022</v>
      </c>
      <c r="N147" s="318">
        <v>1</v>
      </c>
      <c r="O147" s="619">
        <f t="shared" si="17"/>
        <v>4.49</v>
      </c>
      <c r="P147" s="750"/>
      <c r="Q147" s="747"/>
      <c r="R147" s="624"/>
      <c r="S147" s="348">
        <f t="shared" si="18"/>
        <v>0</v>
      </c>
      <c r="T147" s="583" t="s">
        <v>3213</v>
      </c>
    </row>
    <row r="148" spans="1:20" ht="15.6" thickTop="1" thickBot="1">
      <c r="A148" s="318"/>
      <c r="B148" s="319"/>
      <c r="C148" s="318"/>
      <c r="D148" s="318"/>
      <c r="E148" s="319"/>
      <c r="F148" s="319"/>
      <c r="G148" s="649" t="s">
        <v>2514</v>
      </c>
      <c r="H148" s="318">
        <v>4.49</v>
      </c>
      <c r="I148" s="318">
        <v>1</v>
      </c>
      <c r="J148" s="318">
        <f t="shared" si="15"/>
        <v>1</v>
      </c>
      <c r="K148" s="318">
        <f t="shared" si="16"/>
        <v>4.49</v>
      </c>
      <c r="L148" s="350" t="s">
        <v>3053</v>
      </c>
      <c r="M148" s="350" t="s">
        <v>3052</v>
      </c>
      <c r="N148" s="318">
        <v>1</v>
      </c>
      <c r="O148" s="619">
        <f t="shared" si="17"/>
        <v>4.49</v>
      </c>
      <c r="P148" s="750"/>
      <c r="Q148" s="747"/>
      <c r="R148" s="624"/>
      <c r="S148" s="348">
        <f t="shared" si="18"/>
        <v>0</v>
      </c>
      <c r="T148" s="583" t="s">
        <v>3210</v>
      </c>
    </row>
    <row r="149" spans="1:20" ht="15.6" thickTop="1" thickBot="1">
      <c r="A149" s="318"/>
      <c r="B149" s="319"/>
      <c r="C149" s="318"/>
      <c r="D149" s="318"/>
      <c r="E149" s="319"/>
      <c r="F149" s="319"/>
      <c r="G149" s="649" t="s">
        <v>2515</v>
      </c>
      <c r="H149" s="318">
        <v>4.49</v>
      </c>
      <c r="I149" s="318">
        <v>1</v>
      </c>
      <c r="J149" s="318">
        <v>1</v>
      </c>
      <c r="K149" s="318">
        <f t="shared" si="16"/>
        <v>4.49</v>
      </c>
      <c r="L149" s="350" t="s">
        <v>3413</v>
      </c>
      <c r="M149" s="350" t="s">
        <v>3412</v>
      </c>
      <c r="N149" s="318">
        <v>1</v>
      </c>
      <c r="O149" s="619">
        <f t="shared" si="17"/>
        <v>4.49</v>
      </c>
      <c r="P149" s="750"/>
      <c r="Q149" s="747"/>
      <c r="R149" s="624"/>
      <c r="S149" s="348">
        <f t="shared" si="18"/>
        <v>0</v>
      </c>
      <c r="T149" s="583" t="s">
        <v>3210</v>
      </c>
    </row>
    <row r="150" spans="1:20" ht="15.6" thickTop="1" thickBot="1">
      <c r="A150" s="318"/>
      <c r="B150" s="319"/>
      <c r="C150" s="318"/>
      <c r="D150" s="318"/>
      <c r="E150" s="319"/>
      <c r="F150" s="319"/>
      <c r="G150" s="656" t="s">
        <v>2516</v>
      </c>
      <c r="H150" s="318">
        <v>4.49</v>
      </c>
      <c r="I150" s="318">
        <v>1</v>
      </c>
      <c r="J150" s="318">
        <v>1</v>
      </c>
      <c r="K150" s="318">
        <f t="shared" si="16"/>
        <v>4.49</v>
      </c>
      <c r="L150" s="350" t="s">
        <v>3413</v>
      </c>
      <c r="M150" s="350" t="s">
        <v>3412</v>
      </c>
      <c r="N150" s="318">
        <v>1</v>
      </c>
      <c r="O150" s="619">
        <f t="shared" si="17"/>
        <v>4.49</v>
      </c>
      <c r="P150" s="750"/>
      <c r="Q150" s="747"/>
      <c r="R150" s="624"/>
      <c r="S150" s="348">
        <f t="shared" si="18"/>
        <v>0</v>
      </c>
      <c r="T150" s="583" t="s">
        <v>3210</v>
      </c>
    </row>
    <row r="151" spans="1:20" ht="15.6" thickTop="1" thickBot="1">
      <c r="A151" s="318"/>
      <c r="B151" s="319"/>
      <c r="C151" s="318"/>
      <c r="D151" s="318"/>
      <c r="E151" s="319"/>
      <c r="F151" s="319"/>
      <c r="G151" s="649" t="s">
        <v>2517</v>
      </c>
      <c r="H151" s="318">
        <v>4.49</v>
      </c>
      <c r="I151" s="318">
        <v>1</v>
      </c>
      <c r="J151" s="318">
        <f t="shared" si="15"/>
        <v>1</v>
      </c>
      <c r="K151" s="318">
        <f t="shared" si="16"/>
        <v>4.49</v>
      </c>
      <c r="L151" s="350" t="s">
        <v>3415</v>
      </c>
      <c r="M151" s="350" t="s">
        <v>3414</v>
      </c>
      <c r="N151" s="318">
        <v>1</v>
      </c>
      <c r="O151" s="619">
        <f t="shared" si="17"/>
        <v>4.49</v>
      </c>
      <c r="P151" s="750"/>
      <c r="Q151" s="747"/>
      <c r="R151" s="624"/>
      <c r="S151" s="348">
        <f t="shared" si="18"/>
        <v>0</v>
      </c>
      <c r="T151" s="583" t="s">
        <v>3210</v>
      </c>
    </row>
    <row r="152" spans="1:20" ht="15.6" thickTop="1" thickBot="1">
      <c r="A152" s="318"/>
      <c r="B152" s="319"/>
      <c r="C152" s="318"/>
      <c r="D152" s="318"/>
      <c r="E152" s="319"/>
      <c r="F152" s="319"/>
      <c r="G152" s="649" t="s">
        <v>2518</v>
      </c>
      <c r="H152" s="318">
        <v>4.49</v>
      </c>
      <c r="I152" s="318">
        <v>1</v>
      </c>
      <c r="J152" s="318">
        <f t="shared" si="15"/>
        <v>1</v>
      </c>
      <c r="K152" s="318">
        <f t="shared" si="16"/>
        <v>4.49</v>
      </c>
      <c r="L152" s="350" t="s">
        <v>3415</v>
      </c>
      <c r="M152" s="350" t="s">
        <v>3414</v>
      </c>
      <c r="N152" s="318">
        <v>0.5</v>
      </c>
      <c r="O152" s="619">
        <f t="shared" si="17"/>
        <v>2.2450000000000001</v>
      </c>
      <c r="P152" s="750"/>
      <c r="Q152" s="747"/>
      <c r="R152" s="624"/>
      <c r="S152" s="348">
        <f t="shared" si="18"/>
        <v>0</v>
      </c>
      <c r="T152" s="583" t="s">
        <v>3210</v>
      </c>
    </row>
    <row r="153" spans="1:20" ht="15.6" thickTop="1" thickBot="1">
      <c r="A153" s="318"/>
      <c r="B153" s="319"/>
      <c r="C153" s="318"/>
      <c r="D153" s="318"/>
      <c r="E153" s="319"/>
      <c r="F153" s="319"/>
      <c r="G153" s="649" t="s">
        <v>2519</v>
      </c>
      <c r="H153" s="318">
        <v>4.49</v>
      </c>
      <c r="I153" s="318">
        <v>1</v>
      </c>
      <c r="J153" s="318">
        <f t="shared" si="15"/>
        <v>1</v>
      </c>
      <c r="K153" s="318">
        <f t="shared" si="16"/>
        <v>4.49</v>
      </c>
      <c r="L153" s="350" t="s">
        <v>3053</v>
      </c>
      <c r="M153" s="350" t="s">
        <v>3052</v>
      </c>
      <c r="N153" s="318">
        <v>1</v>
      </c>
      <c r="O153" s="619">
        <f t="shared" si="17"/>
        <v>4.49</v>
      </c>
      <c r="P153" s="750"/>
      <c r="Q153" s="747"/>
      <c r="R153" s="624"/>
      <c r="S153" s="348">
        <f t="shared" si="18"/>
        <v>0</v>
      </c>
      <c r="T153" s="583" t="s">
        <v>3210</v>
      </c>
    </row>
    <row r="154" spans="1:20" ht="15.6" thickTop="1" thickBot="1">
      <c r="A154" s="318"/>
      <c r="B154" s="319"/>
      <c r="C154" s="318"/>
      <c r="D154" s="318"/>
      <c r="E154" s="319"/>
      <c r="F154" s="319"/>
      <c r="G154" s="649" t="s">
        <v>2520</v>
      </c>
      <c r="H154" s="318">
        <v>4.49</v>
      </c>
      <c r="I154" s="318">
        <v>1</v>
      </c>
      <c r="J154" s="318">
        <f t="shared" si="15"/>
        <v>1</v>
      </c>
      <c r="K154" s="318">
        <f t="shared" si="16"/>
        <v>4.49</v>
      </c>
      <c r="L154" s="350" t="s">
        <v>3023</v>
      </c>
      <c r="M154" s="350" t="s">
        <v>3022</v>
      </c>
      <c r="N154" s="318">
        <v>1</v>
      </c>
      <c r="O154" s="619">
        <f t="shared" si="17"/>
        <v>4.49</v>
      </c>
      <c r="P154" s="750"/>
      <c r="Q154" s="747"/>
      <c r="R154" s="624"/>
      <c r="S154" s="348">
        <f t="shared" si="18"/>
        <v>0</v>
      </c>
      <c r="T154" s="583" t="s">
        <v>3210</v>
      </c>
    </row>
    <row r="155" spans="1:20" ht="15.6" thickTop="1" thickBot="1">
      <c r="A155" s="318"/>
      <c r="B155" s="319"/>
      <c r="C155" s="318"/>
      <c r="D155" s="318"/>
      <c r="E155" s="319"/>
      <c r="F155" s="319"/>
      <c r="G155" s="649" t="s">
        <v>2521</v>
      </c>
      <c r="H155" s="318">
        <v>4.49</v>
      </c>
      <c r="I155" s="318">
        <v>1</v>
      </c>
      <c r="J155" s="318">
        <f t="shared" si="15"/>
        <v>1</v>
      </c>
      <c r="K155" s="318">
        <f t="shared" si="16"/>
        <v>4.49</v>
      </c>
      <c r="L155" s="481" t="s">
        <v>3055</v>
      </c>
      <c r="M155" s="350" t="s">
        <v>3054</v>
      </c>
      <c r="N155" s="318">
        <v>1</v>
      </c>
      <c r="O155" s="619">
        <f t="shared" si="17"/>
        <v>4.49</v>
      </c>
      <c r="P155" s="750"/>
      <c r="Q155" s="747"/>
      <c r="R155" s="624"/>
      <c r="S155" s="348">
        <f t="shared" si="18"/>
        <v>0</v>
      </c>
      <c r="T155" s="583" t="s">
        <v>3213</v>
      </c>
    </row>
    <row r="156" spans="1:20" ht="15.6" thickTop="1" thickBot="1">
      <c r="A156" s="318"/>
      <c r="B156" s="319"/>
      <c r="C156" s="318"/>
      <c r="D156" s="318"/>
      <c r="E156" s="319"/>
      <c r="F156" s="319"/>
      <c r="G156" s="649" t="s">
        <v>2522</v>
      </c>
      <c r="H156" s="318">
        <v>1.87</v>
      </c>
      <c r="I156" s="318">
        <v>1</v>
      </c>
      <c r="J156" s="318">
        <f t="shared" si="15"/>
        <v>1</v>
      </c>
      <c r="K156" s="318">
        <f t="shared" si="16"/>
        <v>1.87</v>
      </c>
      <c r="L156" s="350" t="s">
        <v>3056</v>
      </c>
      <c r="M156" s="350" t="s">
        <v>3052</v>
      </c>
      <c r="N156" s="318">
        <v>1</v>
      </c>
      <c r="O156" s="619">
        <f t="shared" si="17"/>
        <v>1.87</v>
      </c>
      <c r="P156" s="750"/>
      <c r="Q156" s="747"/>
      <c r="R156" s="624"/>
      <c r="S156" s="348">
        <f t="shared" si="18"/>
        <v>0</v>
      </c>
      <c r="T156" s="319"/>
    </row>
    <row r="157" spans="1:20" ht="15" thickTop="1">
      <c r="A157" s="318"/>
      <c r="B157" s="319"/>
      <c r="C157" s="318"/>
      <c r="D157" s="318"/>
      <c r="E157" s="319"/>
      <c r="F157" s="336"/>
      <c r="G157" s="318" t="s">
        <v>2523</v>
      </c>
      <c r="H157" s="319">
        <v>3.18</v>
      </c>
      <c r="I157" s="318">
        <v>1</v>
      </c>
      <c r="J157" s="318">
        <f t="shared" si="15"/>
        <v>1</v>
      </c>
      <c r="K157" s="318">
        <f t="shared" si="16"/>
        <v>3.18</v>
      </c>
      <c r="L157" s="350" t="s">
        <v>3026</v>
      </c>
      <c r="M157" s="350" t="s">
        <v>3024</v>
      </c>
      <c r="N157" s="318">
        <v>1</v>
      </c>
      <c r="O157" s="619">
        <f t="shared" si="17"/>
        <v>3.18</v>
      </c>
      <c r="P157" s="750">
        <v>1</v>
      </c>
      <c r="Q157" s="750"/>
      <c r="R157" s="337">
        <v>1</v>
      </c>
      <c r="S157" s="348">
        <f t="shared" si="18"/>
        <v>3.18</v>
      </c>
      <c r="T157" s="319"/>
    </row>
    <row r="158" spans="1:20">
      <c r="A158" s="318"/>
      <c r="B158" s="319"/>
      <c r="C158" s="318"/>
      <c r="D158" s="318"/>
      <c r="E158" s="319"/>
      <c r="F158" s="336"/>
      <c r="G158" s="318" t="s">
        <v>2524</v>
      </c>
      <c r="H158" s="319">
        <v>2.0499999999999998</v>
      </c>
      <c r="I158" s="318">
        <v>1</v>
      </c>
      <c r="J158" s="318">
        <f t="shared" si="15"/>
        <v>1</v>
      </c>
      <c r="K158" s="318">
        <f t="shared" si="16"/>
        <v>2.0499999999999998</v>
      </c>
      <c r="L158" s="350" t="s">
        <v>3056</v>
      </c>
      <c r="M158" s="350" t="s">
        <v>3052</v>
      </c>
      <c r="N158" s="318">
        <v>1</v>
      </c>
      <c r="O158" s="619">
        <f t="shared" si="17"/>
        <v>2.0499999999999998</v>
      </c>
      <c r="P158" s="750">
        <v>1</v>
      </c>
      <c r="Q158" s="750"/>
      <c r="R158" s="337">
        <v>1</v>
      </c>
      <c r="S158" s="348">
        <f t="shared" si="18"/>
        <v>2.0499999999999998</v>
      </c>
      <c r="T158" s="319"/>
    </row>
    <row r="159" spans="1:20">
      <c r="A159" s="318"/>
      <c r="B159" s="319"/>
      <c r="C159" s="318"/>
      <c r="D159" s="318"/>
      <c r="E159" s="319"/>
      <c r="F159" s="336"/>
      <c r="G159" s="318" t="s">
        <v>2525</v>
      </c>
      <c r="H159" s="319">
        <v>2.06</v>
      </c>
      <c r="I159" s="318">
        <v>1</v>
      </c>
      <c r="J159" s="318">
        <f t="shared" si="15"/>
        <v>1</v>
      </c>
      <c r="K159" s="318">
        <f t="shared" si="16"/>
        <v>2.06</v>
      </c>
      <c r="L159" s="350" t="s">
        <v>3025</v>
      </c>
      <c r="M159" s="350" t="s">
        <v>3024</v>
      </c>
      <c r="N159" s="318">
        <v>1</v>
      </c>
      <c r="O159" s="619">
        <f t="shared" ref="O159:O169" si="19">H159*N159</f>
        <v>2.06</v>
      </c>
      <c r="P159" s="750">
        <v>1</v>
      </c>
      <c r="Q159" s="750"/>
      <c r="R159" s="337">
        <v>1</v>
      </c>
      <c r="S159" s="348">
        <f t="shared" si="18"/>
        <v>2.06</v>
      </c>
      <c r="T159" s="319"/>
    </row>
    <row r="160" spans="1:20">
      <c r="A160" s="318"/>
      <c r="B160" s="319"/>
      <c r="C160" s="318"/>
      <c r="D160" s="318"/>
      <c r="E160" s="319"/>
      <c r="F160" s="336"/>
      <c r="G160" s="318" t="s">
        <v>2526</v>
      </c>
      <c r="H160" s="319">
        <v>3.75</v>
      </c>
      <c r="I160" s="318">
        <v>1</v>
      </c>
      <c r="J160" s="318">
        <f t="shared" si="15"/>
        <v>1</v>
      </c>
      <c r="K160" s="318">
        <f t="shared" si="16"/>
        <v>3.75</v>
      </c>
      <c r="L160" s="485" t="s">
        <v>3055</v>
      </c>
      <c r="M160" s="349">
        <v>223228</v>
      </c>
      <c r="N160" s="318">
        <v>1</v>
      </c>
      <c r="O160" s="619">
        <f t="shared" si="19"/>
        <v>3.75</v>
      </c>
      <c r="P160" s="750">
        <v>1</v>
      </c>
      <c r="Q160" s="750"/>
      <c r="R160" s="337">
        <v>1</v>
      </c>
      <c r="S160" s="348">
        <f t="shared" si="18"/>
        <v>3.75</v>
      </c>
      <c r="T160" s="319"/>
    </row>
    <row r="161" spans="1:20">
      <c r="A161" s="318"/>
      <c r="B161" s="319"/>
      <c r="C161" s="318"/>
      <c r="D161" s="318"/>
      <c r="E161" s="319"/>
      <c r="F161" s="319"/>
      <c r="G161" s="318" t="s">
        <v>2527</v>
      </c>
      <c r="H161" s="318">
        <v>3.75</v>
      </c>
      <c r="I161" s="318">
        <v>1</v>
      </c>
      <c r="J161" s="318">
        <f t="shared" si="15"/>
        <v>1</v>
      </c>
      <c r="K161" s="318">
        <f t="shared" si="16"/>
        <v>3.75</v>
      </c>
      <c r="L161" s="485" t="s">
        <v>3055</v>
      </c>
      <c r="M161" s="350" t="s">
        <v>3054</v>
      </c>
      <c r="N161" s="318">
        <v>1</v>
      </c>
      <c r="O161" s="619">
        <f t="shared" si="19"/>
        <v>3.75</v>
      </c>
      <c r="P161" s="750">
        <v>1</v>
      </c>
      <c r="Q161" s="750"/>
      <c r="R161" s="337">
        <v>1</v>
      </c>
      <c r="S161" s="348">
        <f t="shared" si="18"/>
        <v>3.75</v>
      </c>
      <c r="T161" s="319"/>
    </row>
    <row r="162" spans="1:20">
      <c r="A162" s="318"/>
      <c r="B162" s="319"/>
      <c r="C162" s="318"/>
      <c r="D162" s="318"/>
      <c r="E162" s="319"/>
      <c r="F162" s="319"/>
      <c r="G162" s="318" t="s">
        <v>2528</v>
      </c>
      <c r="H162" s="318">
        <v>2.91</v>
      </c>
      <c r="I162" s="318">
        <v>1</v>
      </c>
      <c r="J162" s="318">
        <f t="shared" si="15"/>
        <v>1</v>
      </c>
      <c r="K162" s="318">
        <f t="shared" si="16"/>
        <v>2.91</v>
      </c>
      <c r="L162" s="350" t="s">
        <v>3065</v>
      </c>
      <c r="M162" s="318"/>
      <c r="N162" s="318">
        <v>1</v>
      </c>
      <c r="O162" s="619">
        <f t="shared" si="19"/>
        <v>2.91</v>
      </c>
      <c r="P162" s="750">
        <v>1</v>
      </c>
      <c r="Q162" s="750"/>
      <c r="R162" s="337">
        <v>1</v>
      </c>
      <c r="S162" s="348">
        <f t="shared" si="18"/>
        <v>2.91</v>
      </c>
      <c r="T162" s="319"/>
    </row>
    <row r="163" spans="1:20">
      <c r="A163" s="318"/>
      <c r="B163" s="319"/>
      <c r="C163" s="318"/>
      <c r="D163" s="318"/>
      <c r="E163" s="319"/>
      <c r="F163" s="319"/>
      <c r="G163" s="318" t="s">
        <v>2529</v>
      </c>
      <c r="H163" s="318">
        <v>3.32</v>
      </c>
      <c r="I163" s="318">
        <v>1</v>
      </c>
      <c r="J163" s="318">
        <f t="shared" si="15"/>
        <v>1</v>
      </c>
      <c r="K163" s="318">
        <f t="shared" si="16"/>
        <v>3.32</v>
      </c>
      <c r="L163" s="318">
        <v>2100</v>
      </c>
      <c r="M163" s="318">
        <v>199</v>
      </c>
      <c r="N163" s="318">
        <v>1</v>
      </c>
      <c r="O163" s="619">
        <f t="shared" si="19"/>
        <v>3.32</v>
      </c>
      <c r="P163" s="750">
        <v>1</v>
      </c>
      <c r="Q163" s="750"/>
      <c r="R163" s="337">
        <v>1</v>
      </c>
      <c r="S163" s="348">
        <f t="shared" si="18"/>
        <v>3.32</v>
      </c>
      <c r="T163" s="319"/>
    </row>
    <row r="164" spans="1:20">
      <c r="A164" s="318"/>
      <c r="B164" s="319"/>
      <c r="C164" s="318"/>
      <c r="D164" s="318"/>
      <c r="E164" s="319"/>
      <c r="F164" s="319"/>
      <c r="G164" s="318" t="s">
        <v>2530</v>
      </c>
      <c r="H164" s="318">
        <v>3.32</v>
      </c>
      <c r="I164" s="318">
        <v>1</v>
      </c>
      <c r="J164" s="318">
        <f t="shared" si="15"/>
        <v>1</v>
      </c>
      <c r="K164" s="318">
        <f t="shared" si="16"/>
        <v>3.32</v>
      </c>
      <c r="L164" s="350" t="s">
        <v>2836</v>
      </c>
      <c r="M164" s="350" t="s">
        <v>2837</v>
      </c>
      <c r="N164" s="318">
        <v>1</v>
      </c>
      <c r="O164" s="619">
        <f t="shared" si="19"/>
        <v>3.32</v>
      </c>
      <c r="P164" s="750">
        <v>1</v>
      </c>
      <c r="Q164" s="750"/>
      <c r="R164" s="337">
        <v>1</v>
      </c>
      <c r="S164" s="348">
        <f t="shared" si="18"/>
        <v>3.32</v>
      </c>
      <c r="T164" s="319"/>
    </row>
    <row r="165" spans="1:20">
      <c r="A165" s="318"/>
      <c r="B165" s="319"/>
      <c r="C165" s="318"/>
      <c r="D165" s="318"/>
      <c r="E165" s="319"/>
      <c r="F165" s="319"/>
      <c r="G165" s="318" t="s">
        <v>2531</v>
      </c>
      <c r="H165" s="318">
        <v>2.89</v>
      </c>
      <c r="I165" s="318">
        <v>1</v>
      </c>
      <c r="J165" s="318">
        <f t="shared" si="15"/>
        <v>1</v>
      </c>
      <c r="K165" s="318">
        <f t="shared" si="16"/>
        <v>2.89</v>
      </c>
      <c r="L165" s="350" t="s">
        <v>2885</v>
      </c>
      <c r="M165" s="350" t="s">
        <v>2886</v>
      </c>
      <c r="N165" s="318">
        <v>1</v>
      </c>
      <c r="O165" s="619">
        <f t="shared" si="19"/>
        <v>2.89</v>
      </c>
      <c r="P165" s="750">
        <v>1</v>
      </c>
      <c r="Q165" s="750"/>
      <c r="R165" s="337">
        <v>1</v>
      </c>
      <c r="S165" s="348">
        <f t="shared" si="18"/>
        <v>2.89</v>
      </c>
      <c r="T165" s="319"/>
    </row>
    <row r="166" spans="1:20">
      <c r="A166" s="318"/>
      <c r="B166" s="319"/>
      <c r="C166" s="318"/>
      <c r="D166" s="318"/>
      <c r="E166" s="319"/>
      <c r="F166" s="319"/>
      <c r="G166" s="318" t="s">
        <v>2532</v>
      </c>
      <c r="H166" s="318">
        <v>4.49</v>
      </c>
      <c r="I166" s="318">
        <v>1</v>
      </c>
      <c r="J166" s="318">
        <f t="shared" si="15"/>
        <v>1</v>
      </c>
      <c r="K166" s="318">
        <f t="shared" si="16"/>
        <v>4.49</v>
      </c>
      <c r="L166" s="350" t="s">
        <v>2773</v>
      </c>
      <c r="M166" s="350" t="s">
        <v>2773</v>
      </c>
      <c r="N166" s="318">
        <v>1</v>
      </c>
      <c r="O166" s="619">
        <f t="shared" si="19"/>
        <v>4.49</v>
      </c>
      <c r="P166" s="750">
        <v>1</v>
      </c>
      <c r="Q166" s="750"/>
      <c r="R166" s="337">
        <v>1</v>
      </c>
      <c r="S166" s="348">
        <f t="shared" si="18"/>
        <v>4.49</v>
      </c>
      <c r="T166" s="319"/>
    </row>
    <row r="167" spans="1:20">
      <c r="A167" s="318"/>
      <c r="B167" s="319"/>
      <c r="C167" s="318"/>
      <c r="D167" s="318"/>
      <c r="E167" s="319"/>
      <c r="F167" s="319"/>
      <c r="G167" s="318" t="s">
        <v>2533</v>
      </c>
      <c r="H167" s="318">
        <v>4.49</v>
      </c>
      <c r="I167" s="318">
        <v>1</v>
      </c>
      <c r="J167" s="318">
        <f t="shared" si="15"/>
        <v>1</v>
      </c>
      <c r="K167" s="318">
        <f t="shared" si="16"/>
        <v>4.49</v>
      </c>
      <c r="L167" s="350" t="s">
        <v>2773</v>
      </c>
      <c r="M167" s="350" t="s">
        <v>2773</v>
      </c>
      <c r="N167" s="318">
        <v>1</v>
      </c>
      <c r="O167" s="619">
        <f t="shared" si="19"/>
        <v>4.49</v>
      </c>
      <c r="P167" s="750">
        <v>1</v>
      </c>
      <c r="Q167" s="750"/>
      <c r="R167" s="337">
        <v>1</v>
      </c>
      <c r="S167" s="348">
        <f t="shared" si="18"/>
        <v>4.49</v>
      </c>
      <c r="T167" s="319"/>
    </row>
    <row r="168" spans="1:20">
      <c r="A168" s="318"/>
      <c r="B168" s="319"/>
      <c r="C168" s="318"/>
      <c r="D168" s="318"/>
      <c r="E168" s="319"/>
      <c r="F168" s="319"/>
      <c r="G168" s="318" t="s">
        <v>2534</v>
      </c>
      <c r="H168" s="318">
        <v>4.49</v>
      </c>
      <c r="I168" s="318">
        <v>1</v>
      </c>
      <c r="J168" s="318">
        <f t="shared" si="15"/>
        <v>1</v>
      </c>
      <c r="K168" s="318">
        <f t="shared" si="16"/>
        <v>4.49</v>
      </c>
      <c r="L168" s="350" t="s">
        <v>3073</v>
      </c>
      <c r="M168" s="350" t="s">
        <v>2773</v>
      </c>
      <c r="N168" s="318">
        <v>1</v>
      </c>
      <c r="O168" s="619">
        <f t="shared" si="19"/>
        <v>4.49</v>
      </c>
      <c r="P168" s="750">
        <v>1</v>
      </c>
      <c r="Q168" s="750"/>
      <c r="R168" s="337">
        <v>1</v>
      </c>
      <c r="S168" s="348">
        <f t="shared" si="18"/>
        <v>4.49</v>
      </c>
      <c r="T168" s="319"/>
    </row>
    <row r="169" spans="1:20">
      <c r="A169" s="318"/>
      <c r="B169" s="319"/>
      <c r="C169" s="318"/>
      <c r="D169" s="318"/>
      <c r="E169" s="319"/>
      <c r="F169" s="336"/>
      <c r="G169" s="318" t="s">
        <v>2535</v>
      </c>
      <c r="H169" s="318">
        <v>3.66</v>
      </c>
      <c r="I169" s="318">
        <v>1</v>
      </c>
      <c r="J169" s="318">
        <f t="shared" si="15"/>
        <v>1</v>
      </c>
      <c r="K169" s="318">
        <f t="shared" si="16"/>
        <v>3.66</v>
      </c>
      <c r="L169" s="352" t="s">
        <v>3063</v>
      </c>
      <c r="M169" s="350" t="s">
        <v>2899</v>
      </c>
      <c r="N169" s="318">
        <v>1</v>
      </c>
      <c r="O169" s="619">
        <f t="shared" si="19"/>
        <v>3.66</v>
      </c>
      <c r="P169" s="750">
        <v>1</v>
      </c>
      <c r="Q169" s="750"/>
      <c r="R169" s="337">
        <v>1</v>
      </c>
      <c r="S169" s="348">
        <f t="shared" si="18"/>
        <v>3.66</v>
      </c>
      <c r="T169" s="319"/>
    </row>
    <row r="170" spans="1:20">
      <c r="A170" s="318"/>
      <c r="B170" s="319"/>
      <c r="C170" s="318"/>
      <c r="D170" s="318"/>
      <c r="E170" s="319"/>
      <c r="F170" s="336"/>
      <c r="G170" s="318" t="s">
        <v>2536</v>
      </c>
      <c r="H170" s="318">
        <v>3.66</v>
      </c>
      <c r="I170" s="318">
        <v>1</v>
      </c>
      <c r="J170" s="318">
        <f t="shared" si="15"/>
        <v>1</v>
      </c>
      <c r="K170" s="318">
        <f t="shared" si="16"/>
        <v>3.66</v>
      </c>
      <c r="L170" s="350" t="s">
        <v>2887</v>
      </c>
      <c r="M170" s="350" t="s">
        <v>2886</v>
      </c>
      <c r="N170" s="318">
        <v>1</v>
      </c>
      <c r="O170" s="619">
        <f>H170*N170</f>
        <v>3.66</v>
      </c>
      <c r="P170" s="750">
        <v>1</v>
      </c>
      <c r="Q170" s="750"/>
      <c r="R170" s="337">
        <v>1</v>
      </c>
      <c r="S170" s="348">
        <f t="shared" si="18"/>
        <v>3.66</v>
      </c>
      <c r="T170" s="319"/>
    </row>
    <row r="171" spans="1:20">
      <c r="A171" s="318"/>
      <c r="B171" s="319"/>
      <c r="C171" s="318"/>
      <c r="D171" s="318"/>
      <c r="E171" s="319"/>
      <c r="F171" s="319"/>
      <c r="G171" s="318" t="s">
        <v>2537</v>
      </c>
      <c r="H171" s="318">
        <v>4.08</v>
      </c>
      <c r="I171" s="318">
        <v>1</v>
      </c>
      <c r="J171" s="318">
        <f t="shared" si="15"/>
        <v>1</v>
      </c>
      <c r="K171" s="318">
        <f t="shared" si="16"/>
        <v>4.08</v>
      </c>
      <c r="L171" s="318">
        <v>2094</v>
      </c>
      <c r="M171" s="318">
        <v>198</v>
      </c>
      <c r="N171" s="318">
        <v>1</v>
      </c>
      <c r="O171" s="619">
        <f>H171*N171</f>
        <v>4.08</v>
      </c>
      <c r="P171" s="750">
        <v>1</v>
      </c>
      <c r="Q171" s="750"/>
      <c r="R171" s="337">
        <v>1</v>
      </c>
      <c r="S171" s="348">
        <f t="shared" si="18"/>
        <v>4.08</v>
      </c>
      <c r="T171" s="319"/>
    </row>
    <row r="172" spans="1:20">
      <c r="A172" s="318"/>
      <c r="B172" s="319"/>
      <c r="C172" s="318"/>
      <c r="D172" s="318"/>
      <c r="E172" s="319"/>
      <c r="F172" s="319"/>
      <c r="G172" s="318" t="s">
        <v>2538</v>
      </c>
      <c r="H172" s="318">
        <v>4.08</v>
      </c>
      <c r="I172" s="318">
        <v>1</v>
      </c>
      <c r="J172" s="318">
        <f t="shared" si="15"/>
        <v>1</v>
      </c>
      <c r="K172" s="318">
        <f t="shared" si="16"/>
        <v>4.08</v>
      </c>
      <c r="L172" s="318">
        <v>2094</v>
      </c>
      <c r="M172" s="318">
        <v>198</v>
      </c>
      <c r="N172" s="318">
        <v>1</v>
      </c>
      <c r="O172" s="619">
        <f>H172*N172</f>
        <v>4.08</v>
      </c>
      <c r="P172" s="750">
        <v>1</v>
      </c>
      <c r="Q172" s="750"/>
      <c r="R172" s="337">
        <v>1</v>
      </c>
      <c r="S172" s="348">
        <f t="shared" si="18"/>
        <v>4.08</v>
      </c>
      <c r="T172" s="319"/>
    </row>
    <row r="173" spans="1:20">
      <c r="A173" s="318"/>
      <c r="B173" s="319"/>
      <c r="C173" s="318"/>
      <c r="D173" s="318"/>
      <c r="E173" s="319"/>
      <c r="F173" s="319"/>
      <c r="G173" s="318" t="s">
        <v>2539</v>
      </c>
      <c r="H173" s="318">
        <v>4.08</v>
      </c>
      <c r="I173" s="318">
        <v>1</v>
      </c>
      <c r="J173" s="318">
        <f t="shared" si="15"/>
        <v>1</v>
      </c>
      <c r="K173" s="318">
        <f t="shared" si="16"/>
        <v>4.08</v>
      </c>
      <c r="L173" s="318">
        <v>2094</v>
      </c>
      <c r="M173" s="350" t="s">
        <v>2845</v>
      </c>
      <c r="N173" s="318">
        <v>1</v>
      </c>
      <c r="O173" s="619">
        <f t="shared" ref="O173:O213" si="20">H173*N173</f>
        <v>4.08</v>
      </c>
      <c r="P173" s="750">
        <v>1</v>
      </c>
      <c r="Q173" s="750"/>
      <c r="R173" s="337">
        <v>1</v>
      </c>
      <c r="S173" s="348">
        <f t="shared" si="18"/>
        <v>4.08</v>
      </c>
      <c r="T173" s="319"/>
    </row>
    <row r="174" spans="1:20">
      <c r="A174" s="318"/>
      <c r="B174" s="319"/>
      <c r="C174" s="318"/>
      <c r="D174" s="318"/>
      <c r="E174" s="319"/>
      <c r="F174" s="319"/>
      <c r="G174" s="318" t="s">
        <v>2540</v>
      </c>
      <c r="H174" s="318">
        <v>4.08</v>
      </c>
      <c r="I174" s="318">
        <v>1</v>
      </c>
      <c r="J174" s="318">
        <f t="shared" si="15"/>
        <v>1</v>
      </c>
      <c r="K174" s="318">
        <f t="shared" si="16"/>
        <v>4.08</v>
      </c>
      <c r="L174" s="318">
        <v>2095</v>
      </c>
      <c r="M174" s="350" t="s">
        <v>2845</v>
      </c>
      <c r="N174" s="318">
        <v>1</v>
      </c>
      <c r="O174" s="619">
        <f t="shared" si="20"/>
        <v>4.08</v>
      </c>
      <c r="P174" s="750">
        <v>1</v>
      </c>
      <c r="Q174" s="750"/>
      <c r="R174" s="337">
        <v>1</v>
      </c>
      <c r="S174" s="348">
        <f t="shared" si="18"/>
        <v>4.08</v>
      </c>
      <c r="T174" s="319"/>
    </row>
    <row r="175" spans="1:20">
      <c r="A175" s="318"/>
      <c r="B175" s="319"/>
      <c r="C175" s="318"/>
      <c r="D175" s="318"/>
      <c r="E175" s="319"/>
      <c r="F175" s="319"/>
      <c r="G175" s="318" t="s">
        <v>2541</v>
      </c>
      <c r="H175" s="318">
        <v>4.08</v>
      </c>
      <c r="I175" s="318">
        <v>1</v>
      </c>
      <c r="J175" s="318">
        <f t="shared" si="15"/>
        <v>1</v>
      </c>
      <c r="K175" s="318">
        <f t="shared" si="16"/>
        <v>4.08</v>
      </c>
      <c r="L175" s="318">
        <v>2095</v>
      </c>
      <c r="M175" s="350" t="s">
        <v>2845</v>
      </c>
      <c r="N175" s="318">
        <v>1</v>
      </c>
      <c r="O175" s="619">
        <f t="shared" si="20"/>
        <v>4.08</v>
      </c>
      <c r="P175" s="750">
        <v>1</v>
      </c>
      <c r="Q175" s="750"/>
      <c r="R175" s="337">
        <v>1</v>
      </c>
      <c r="S175" s="348">
        <f t="shared" si="18"/>
        <v>4.08</v>
      </c>
      <c r="T175" s="319"/>
    </row>
    <row r="176" spans="1:20">
      <c r="A176" s="318"/>
      <c r="B176" s="319"/>
      <c r="C176" s="318"/>
      <c r="D176" s="318"/>
      <c r="E176" s="319"/>
      <c r="F176" s="319"/>
      <c r="G176" s="318" t="s">
        <v>2542</v>
      </c>
      <c r="H176" s="318">
        <v>4.08</v>
      </c>
      <c r="I176" s="318">
        <v>1</v>
      </c>
      <c r="J176" s="318">
        <f t="shared" si="15"/>
        <v>1</v>
      </c>
      <c r="K176" s="318">
        <f t="shared" si="16"/>
        <v>4.08</v>
      </c>
      <c r="L176" s="318">
        <v>2095</v>
      </c>
      <c r="M176" s="350" t="s">
        <v>2845</v>
      </c>
      <c r="N176" s="318">
        <v>1</v>
      </c>
      <c r="O176" s="619">
        <f t="shared" si="20"/>
        <v>4.08</v>
      </c>
      <c r="P176" s="750">
        <v>1</v>
      </c>
      <c r="Q176" s="750"/>
      <c r="R176" s="337">
        <v>1</v>
      </c>
      <c r="S176" s="348">
        <f t="shared" si="18"/>
        <v>4.08</v>
      </c>
      <c r="T176" s="319"/>
    </row>
    <row r="177" spans="1:20">
      <c r="A177" s="318"/>
      <c r="B177" s="319"/>
      <c r="C177" s="318"/>
      <c r="D177" s="318"/>
      <c r="E177" s="319"/>
      <c r="F177" s="319"/>
      <c r="G177" s="318" t="s">
        <v>2543</v>
      </c>
      <c r="H177" s="318">
        <v>4.08</v>
      </c>
      <c r="I177" s="318">
        <v>1</v>
      </c>
      <c r="J177" s="318">
        <f t="shared" si="15"/>
        <v>1</v>
      </c>
      <c r="K177" s="318">
        <f t="shared" si="16"/>
        <v>4.08</v>
      </c>
      <c r="L177" s="350" t="s">
        <v>2772</v>
      </c>
      <c r="M177" s="350" t="s">
        <v>2847</v>
      </c>
      <c r="N177" s="318">
        <v>1</v>
      </c>
      <c r="O177" s="619">
        <f t="shared" si="20"/>
        <v>4.08</v>
      </c>
      <c r="P177" s="750">
        <v>1</v>
      </c>
      <c r="Q177" s="750"/>
      <c r="R177" s="337">
        <v>1</v>
      </c>
      <c r="S177" s="348">
        <f t="shared" si="18"/>
        <v>4.08</v>
      </c>
      <c r="T177" s="319"/>
    </row>
    <row r="178" spans="1:20">
      <c r="A178" s="318"/>
      <c r="B178" s="319"/>
      <c r="C178" s="318"/>
      <c r="D178" s="318"/>
      <c r="E178" s="319"/>
      <c r="F178" s="319"/>
      <c r="G178" s="318" t="s">
        <v>2544</v>
      </c>
      <c r="H178" s="318">
        <v>4.08</v>
      </c>
      <c r="I178" s="318">
        <v>1</v>
      </c>
      <c r="J178" s="318">
        <f t="shared" si="15"/>
        <v>1</v>
      </c>
      <c r="K178" s="318">
        <f t="shared" si="16"/>
        <v>4.08</v>
      </c>
      <c r="L178" s="318">
        <v>2100</v>
      </c>
      <c r="M178" s="318">
        <v>199</v>
      </c>
      <c r="N178" s="318">
        <v>1</v>
      </c>
      <c r="O178" s="619">
        <f t="shared" si="20"/>
        <v>4.08</v>
      </c>
      <c r="P178" s="750">
        <v>1</v>
      </c>
      <c r="Q178" s="750"/>
      <c r="R178" s="337">
        <v>1</v>
      </c>
      <c r="S178" s="348">
        <f t="shared" si="18"/>
        <v>4.08</v>
      </c>
      <c r="T178" s="319"/>
    </row>
    <row r="179" spans="1:20">
      <c r="A179" s="318"/>
      <c r="B179" s="319"/>
      <c r="C179" s="318"/>
      <c r="D179" s="318"/>
      <c r="E179" s="319"/>
      <c r="F179" s="319"/>
      <c r="G179" s="318" t="s">
        <v>2545</v>
      </c>
      <c r="H179" s="318">
        <v>2.98</v>
      </c>
      <c r="I179" s="318">
        <v>1</v>
      </c>
      <c r="J179" s="318">
        <f t="shared" si="15"/>
        <v>1</v>
      </c>
      <c r="K179" s="318">
        <f t="shared" si="16"/>
        <v>2.98</v>
      </c>
      <c r="L179" s="350" t="s">
        <v>2761</v>
      </c>
      <c r="M179" s="350" t="s">
        <v>2839</v>
      </c>
      <c r="N179" s="318">
        <v>1</v>
      </c>
      <c r="O179" s="619">
        <f t="shared" si="20"/>
        <v>2.98</v>
      </c>
      <c r="P179" s="750">
        <v>1</v>
      </c>
      <c r="Q179" s="750"/>
      <c r="R179" s="337">
        <v>1</v>
      </c>
      <c r="S179" s="348">
        <f t="shared" si="18"/>
        <v>2.98</v>
      </c>
      <c r="T179" s="319"/>
    </row>
    <row r="180" spans="1:20">
      <c r="A180" s="318"/>
      <c r="B180" s="319"/>
      <c r="C180" s="318"/>
      <c r="D180" s="318"/>
      <c r="E180" s="319"/>
      <c r="F180" s="319"/>
      <c r="G180" s="318" t="s">
        <v>2546</v>
      </c>
      <c r="H180" s="318">
        <v>2.75</v>
      </c>
      <c r="I180" s="318">
        <v>1</v>
      </c>
      <c r="J180" s="318">
        <f t="shared" si="15"/>
        <v>1</v>
      </c>
      <c r="K180" s="318">
        <f t="shared" si="16"/>
        <v>2.75</v>
      </c>
      <c r="L180" s="350" t="s">
        <v>2880</v>
      </c>
      <c r="M180" s="350" t="s">
        <v>2874</v>
      </c>
      <c r="N180" s="318">
        <v>1</v>
      </c>
      <c r="O180" s="619">
        <f t="shared" si="20"/>
        <v>2.75</v>
      </c>
      <c r="P180" s="750">
        <v>1</v>
      </c>
      <c r="Q180" s="750"/>
      <c r="R180" s="337">
        <v>1</v>
      </c>
      <c r="S180" s="348">
        <f t="shared" si="18"/>
        <v>2.75</v>
      </c>
      <c r="T180" s="319"/>
    </row>
    <row r="181" spans="1:20">
      <c r="A181" s="318"/>
      <c r="B181" s="319"/>
      <c r="C181" s="318"/>
      <c r="D181" s="318"/>
      <c r="E181" s="319"/>
      <c r="F181" s="319"/>
      <c r="G181" s="318" t="s">
        <v>2547</v>
      </c>
      <c r="H181" s="318">
        <v>2.75</v>
      </c>
      <c r="I181" s="318">
        <v>1</v>
      </c>
      <c r="J181" s="318">
        <f t="shared" si="15"/>
        <v>1</v>
      </c>
      <c r="K181" s="318">
        <f t="shared" si="16"/>
        <v>2.75</v>
      </c>
      <c r="L181" s="350" t="s">
        <v>2885</v>
      </c>
      <c r="M181" s="350" t="s">
        <v>2886</v>
      </c>
      <c r="N181" s="318">
        <v>1</v>
      </c>
      <c r="O181" s="619">
        <f>H181*N181</f>
        <v>2.75</v>
      </c>
      <c r="P181" s="750">
        <v>1</v>
      </c>
      <c r="Q181" s="750"/>
      <c r="R181" s="337">
        <v>1</v>
      </c>
      <c r="S181" s="348">
        <f t="shared" si="18"/>
        <v>2.75</v>
      </c>
      <c r="T181" s="319"/>
    </row>
    <row r="182" spans="1:20">
      <c r="A182" s="318"/>
      <c r="B182" s="319"/>
      <c r="C182" s="318"/>
      <c r="D182" s="318"/>
      <c r="E182" s="319"/>
      <c r="F182" s="319"/>
      <c r="G182" s="318" t="s">
        <v>2548</v>
      </c>
      <c r="H182" s="318">
        <v>4.2699999999999996</v>
      </c>
      <c r="I182" s="318">
        <v>1</v>
      </c>
      <c r="J182" s="318">
        <f t="shared" si="15"/>
        <v>1</v>
      </c>
      <c r="K182" s="318">
        <f t="shared" si="16"/>
        <v>4.2699999999999996</v>
      </c>
      <c r="L182" s="350" t="s">
        <v>2924</v>
      </c>
      <c r="M182" s="318">
        <v>206</v>
      </c>
      <c r="N182" s="318">
        <v>1</v>
      </c>
      <c r="O182" s="619">
        <f>H182*N182</f>
        <v>4.2699999999999996</v>
      </c>
      <c r="P182" s="750">
        <v>1</v>
      </c>
      <c r="Q182" s="750"/>
      <c r="R182" s="337">
        <v>1</v>
      </c>
      <c r="S182" s="348">
        <f t="shared" si="18"/>
        <v>4.2699999999999996</v>
      </c>
      <c r="T182" s="319"/>
    </row>
    <row r="183" spans="1:20">
      <c r="A183" s="318"/>
      <c r="B183" s="319"/>
      <c r="C183" s="318"/>
      <c r="D183" s="318"/>
      <c r="E183" s="319"/>
      <c r="F183" s="319"/>
      <c r="G183" s="318" t="s">
        <v>2549</v>
      </c>
      <c r="H183" s="318">
        <v>4.2699999999999996</v>
      </c>
      <c r="I183" s="318">
        <v>1</v>
      </c>
      <c r="J183" s="318">
        <f t="shared" si="15"/>
        <v>1</v>
      </c>
      <c r="K183" s="318">
        <f t="shared" si="16"/>
        <v>4.2699999999999996</v>
      </c>
      <c r="L183" s="350" t="s">
        <v>2873</v>
      </c>
      <c r="M183" s="350" t="s">
        <v>2874</v>
      </c>
      <c r="N183" s="318">
        <v>1</v>
      </c>
      <c r="O183" s="619">
        <f t="shared" ref="O183:O190" si="21">H183*N183</f>
        <v>4.2699999999999996</v>
      </c>
      <c r="P183" s="750">
        <v>1</v>
      </c>
      <c r="Q183" s="750"/>
      <c r="R183" s="337">
        <v>1</v>
      </c>
      <c r="S183" s="348">
        <f t="shared" si="18"/>
        <v>4.2699999999999996</v>
      </c>
      <c r="T183" s="319"/>
    </row>
    <row r="184" spans="1:20">
      <c r="A184" s="318"/>
      <c r="B184" s="319"/>
      <c r="C184" s="318"/>
      <c r="D184" s="318"/>
      <c r="E184" s="319"/>
      <c r="F184" s="319"/>
      <c r="G184" s="318" t="s">
        <v>2550</v>
      </c>
      <c r="H184" s="318">
        <v>4.2699999999999996</v>
      </c>
      <c r="I184" s="318">
        <v>1</v>
      </c>
      <c r="J184" s="318">
        <f t="shared" si="15"/>
        <v>1</v>
      </c>
      <c r="K184" s="318">
        <f t="shared" si="16"/>
        <v>4.2699999999999996</v>
      </c>
      <c r="L184" s="350" t="s">
        <v>2880</v>
      </c>
      <c r="M184" s="350" t="s">
        <v>2874</v>
      </c>
      <c r="N184" s="318">
        <v>1</v>
      </c>
      <c r="O184" s="619">
        <f t="shared" si="21"/>
        <v>4.2699999999999996</v>
      </c>
      <c r="P184" s="750">
        <v>1</v>
      </c>
      <c r="Q184" s="750"/>
      <c r="R184" s="337">
        <v>1</v>
      </c>
      <c r="S184" s="348">
        <f t="shared" si="18"/>
        <v>4.2699999999999996</v>
      </c>
      <c r="T184" s="319"/>
    </row>
    <row r="185" spans="1:20">
      <c r="A185" s="318"/>
      <c r="B185" s="319"/>
      <c r="C185" s="318"/>
      <c r="D185" s="318"/>
      <c r="E185" s="319"/>
      <c r="F185" s="319"/>
      <c r="G185" s="318" t="s">
        <v>2551</v>
      </c>
      <c r="H185" s="318">
        <v>2.13</v>
      </c>
      <c r="I185" s="318">
        <v>1</v>
      </c>
      <c r="J185" s="318">
        <f t="shared" si="15"/>
        <v>1</v>
      </c>
      <c r="K185" s="318">
        <f t="shared" si="16"/>
        <v>2.13</v>
      </c>
      <c r="L185" s="350" t="s">
        <v>2888</v>
      </c>
      <c r="M185" s="350" t="s">
        <v>2886</v>
      </c>
      <c r="N185" s="318">
        <v>1</v>
      </c>
      <c r="O185" s="619">
        <f t="shared" si="21"/>
        <v>2.13</v>
      </c>
      <c r="P185" s="750">
        <v>1</v>
      </c>
      <c r="Q185" s="750"/>
      <c r="R185" s="337">
        <v>1</v>
      </c>
      <c r="S185" s="348">
        <f t="shared" si="18"/>
        <v>2.13</v>
      </c>
      <c r="T185" s="319"/>
    </row>
    <row r="186" spans="1:20">
      <c r="A186" s="318"/>
      <c r="B186" s="319"/>
      <c r="C186" s="318"/>
      <c r="D186" s="318"/>
      <c r="E186" s="319"/>
      <c r="F186" s="319"/>
      <c r="G186" s="318" t="s">
        <v>2552</v>
      </c>
      <c r="H186" s="318">
        <v>2.13</v>
      </c>
      <c r="I186" s="318">
        <v>1</v>
      </c>
      <c r="J186" s="318">
        <f t="shared" si="15"/>
        <v>1</v>
      </c>
      <c r="K186" s="318">
        <f t="shared" si="16"/>
        <v>2.13</v>
      </c>
      <c r="L186" s="350" t="s">
        <v>2890</v>
      </c>
      <c r="M186" s="350" t="s">
        <v>2889</v>
      </c>
      <c r="N186" s="318">
        <v>1</v>
      </c>
      <c r="O186" s="619">
        <f t="shared" si="21"/>
        <v>2.13</v>
      </c>
      <c r="P186" s="750">
        <v>1</v>
      </c>
      <c r="Q186" s="750"/>
      <c r="R186" s="337">
        <v>1</v>
      </c>
      <c r="S186" s="348">
        <f t="shared" si="18"/>
        <v>2.13</v>
      </c>
      <c r="T186" s="319"/>
    </row>
    <row r="187" spans="1:20">
      <c r="A187" s="318"/>
      <c r="B187" s="319"/>
      <c r="C187" s="318"/>
      <c r="D187" s="318"/>
      <c r="E187" s="319"/>
      <c r="F187" s="319"/>
      <c r="G187" s="318" t="s">
        <v>2553</v>
      </c>
      <c r="H187" s="318">
        <v>3.73</v>
      </c>
      <c r="I187" s="318">
        <v>1</v>
      </c>
      <c r="J187" s="318">
        <f t="shared" si="15"/>
        <v>1</v>
      </c>
      <c r="K187" s="318">
        <f t="shared" si="16"/>
        <v>3.73</v>
      </c>
      <c r="L187" s="318">
        <v>2017</v>
      </c>
      <c r="M187" s="318">
        <v>185</v>
      </c>
      <c r="N187" s="318">
        <v>1</v>
      </c>
      <c r="O187" s="619">
        <f t="shared" si="21"/>
        <v>3.73</v>
      </c>
      <c r="P187" s="750">
        <v>1</v>
      </c>
      <c r="Q187" s="750"/>
      <c r="R187" s="337">
        <v>1</v>
      </c>
      <c r="S187" s="348">
        <f t="shared" si="18"/>
        <v>3.73</v>
      </c>
      <c r="T187" s="319"/>
    </row>
    <row r="188" spans="1:20">
      <c r="A188" s="318"/>
      <c r="B188" s="319"/>
      <c r="C188" s="318"/>
      <c r="D188" s="318"/>
      <c r="E188" s="319"/>
      <c r="F188" s="319"/>
      <c r="G188" s="318" t="s">
        <v>2554</v>
      </c>
      <c r="H188" s="318">
        <v>3.73</v>
      </c>
      <c r="I188" s="318">
        <v>1</v>
      </c>
      <c r="J188" s="318">
        <f t="shared" si="15"/>
        <v>1</v>
      </c>
      <c r="K188" s="318">
        <f t="shared" si="16"/>
        <v>3.73</v>
      </c>
      <c r="L188" s="318">
        <v>1988</v>
      </c>
      <c r="M188" s="318">
        <v>182</v>
      </c>
      <c r="N188" s="318">
        <v>1</v>
      </c>
      <c r="O188" s="619">
        <f t="shared" si="21"/>
        <v>3.73</v>
      </c>
      <c r="P188" s="750">
        <v>1</v>
      </c>
      <c r="Q188" s="750"/>
      <c r="R188" s="337">
        <v>1</v>
      </c>
      <c r="S188" s="348">
        <f t="shared" si="18"/>
        <v>3.73</v>
      </c>
      <c r="T188" s="319"/>
    </row>
    <row r="189" spans="1:20">
      <c r="A189" s="318"/>
      <c r="B189" s="319"/>
      <c r="C189" s="318"/>
      <c r="D189" s="318"/>
      <c r="E189" s="319"/>
      <c r="F189" s="319"/>
      <c r="G189" s="318" t="s">
        <v>2555</v>
      </c>
      <c r="H189" s="318">
        <v>2.54</v>
      </c>
      <c r="I189" s="318">
        <v>1</v>
      </c>
      <c r="J189" s="318">
        <f t="shared" si="15"/>
        <v>1</v>
      </c>
      <c r="K189" s="318">
        <f t="shared" si="16"/>
        <v>2.54</v>
      </c>
      <c r="L189" s="350" t="s">
        <v>2774</v>
      </c>
      <c r="M189" s="350" t="s">
        <v>2847</v>
      </c>
      <c r="N189" s="318">
        <v>1</v>
      </c>
      <c r="O189" s="619">
        <f t="shared" si="21"/>
        <v>2.54</v>
      </c>
      <c r="P189" s="750">
        <v>1</v>
      </c>
      <c r="Q189" s="750"/>
      <c r="R189" s="337">
        <v>1</v>
      </c>
      <c r="S189" s="348">
        <f t="shared" si="18"/>
        <v>2.54</v>
      </c>
      <c r="T189" s="319"/>
    </row>
    <row r="190" spans="1:20">
      <c r="A190" s="318"/>
      <c r="B190" s="319"/>
      <c r="C190" s="318"/>
      <c r="D190" s="318"/>
      <c r="E190" s="319"/>
      <c r="F190" s="319"/>
      <c r="G190" s="318" t="s">
        <v>2556</v>
      </c>
      <c r="H190" s="318">
        <v>2.54</v>
      </c>
      <c r="I190" s="318">
        <v>1</v>
      </c>
      <c r="J190" s="318">
        <f t="shared" si="15"/>
        <v>1</v>
      </c>
      <c r="K190" s="318">
        <f t="shared" si="16"/>
        <v>2.54</v>
      </c>
      <c r="L190" s="350" t="s">
        <v>2774</v>
      </c>
      <c r="M190" s="350" t="s">
        <v>2847</v>
      </c>
      <c r="N190" s="318">
        <v>1</v>
      </c>
      <c r="O190" s="619">
        <f t="shared" si="21"/>
        <v>2.54</v>
      </c>
      <c r="P190" s="750">
        <v>1</v>
      </c>
      <c r="Q190" s="750"/>
      <c r="R190" s="337">
        <v>1</v>
      </c>
      <c r="S190" s="348">
        <f t="shared" si="18"/>
        <v>2.54</v>
      </c>
      <c r="T190" s="319"/>
    </row>
    <row r="191" spans="1:20">
      <c r="A191" s="318"/>
      <c r="B191" s="319"/>
      <c r="C191" s="318"/>
      <c r="D191" s="318"/>
      <c r="E191" s="319"/>
      <c r="F191" s="319"/>
      <c r="G191" s="318" t="s">
        <v>2557</v>
      </c>
      <c r="H191" s="318">
        <v>3.07</v>
      </c>
      <c r="I191" s="318">
        <v>1</v>
      </c>
      <c r="J191" s="318">
        <f t="shared" si="15"/>
        <v>1</v>
      </c>
      <c r="K191" s="318">
        <f t="shared" si="16"/>
        <v>3.07</v>
      </c>
      <c r="L191" s="318">
        <v>1976</v>
      </c>
      <c r="M191" s="318">
        <v>180</v>
      </c>
      <c r="N191" s="318">
        <v>1</v>
      </c>
      <c r="O191" s="619">
        <f t="shared" si="20"/>
        <v>3.07</v>
      </c>
      <c r="P191" s="750">
        <v>1</v>
      </c>
      <c r="Q191" s="750"/>
      <c r="R191" s="337">
        <v>1</v>
      </c>
      <c r="S191" s="348">
        <f t="shared" si="18"/>
        <v>3.07</v>
      </c>
      <c r="T191" s="319"/>
    </row>
    <row r="192" spans="1:20">
      <c r="A192" s="318"/>
      <c r="B192" s="319"/>
      <c r="C192" s="318"/>
      <c r="D192" s="318"/>
      <c r="E192" s="319"/>
      <c r="F192" s="319"/>
      <c r="G192" s="318" t="s">
        <v>2558</v>
      </c>
      <c r="H192" s="318">
        <v>3.06</v>
      </c>
      <c r="I192" s="318">
        <v>1</v>
      </c>
      <c r="J192" s="318">
        <f t="shared" si="15"/>
        <v>1</v>
      </c>
      <c r="K192" s="318">
        <f t="shared" si="16"/>
        <v>3.06</v>
      </c>
      <c r="L192" s="318">
        <v>1976</v>
      </c>
      <c r="M192" s="318">
        <v>180</v>
      </c>
      <c r="N192" s="318">
        <v>1</v>
      </c>
      <c r="O192" s="619">
        <f t="shared" si="20"/>
        <v>3.06</v>
      </c>
      <c r="P192" s="750">
        <v>1</v>
      </c>
      <c r="Q192" s="750"/>
      <c r="R192" s="337">
        <v>1</v>
      </c>
      <c r="S192" s="348">
        <f t="shared" si="18"/>
        <v>3.06</v>
      </c>
      <c r="T192" s="319"/>
    </row>
    <row r="193" spans="1:20">
      <c r="A193" s="318"/>
      <c r="B193" s="319"/>
      <c r="C193" s="318"/>
      <c r="D193" s="318"/>
      <c r="E193" s="319"/>
      <c r="F193" s="319"/>
      <c r="G193" s="318" t="s">
        <v>2559</v>
      </c>
      <c r="H193" s="318">
        <v>3.07</v>
      </c>
      <c r="I193" s="318">
        <v>1</v>
      </c>
      <c r="J193" s="318">
        <f t="shared" si="15"/>
        <v>1</v>
      </c>
      <c r="K193" s="318">
        <f t="shared" si="16"/>
        <v>3.07</v>
      </c>
      <c r="L193" s="318">
        <v>1969</v>
      </c>
      <c r="M193" s="318">
        <v>179</v>
      </c>
      <c r="N193" s="318">
        <v>1</v>
      </c>
      <c r="O193" s="619">
        <f t="shared" si="20"/>
        <v>3.07</v>
      </c>
      <c r="P193" s="750">
        <v>1</v>
      </c>
      <c r="Q193" s="750"/>
      <c r="R193" s="337">
        <v>1</v>
      </c>
      <c r="S193" s="348">
        <f t="shared" si="18"/>
        <v>3.07</v>
      </c>
      <c r="T193" s="319"/>
    </row>
    <row r="194" spans="1:20">
      <c r="A194" s="318"/>
      <c r="B194" s="319"/>
      <c r="C194" s="318"/>
      <c r="D194" s="318"/>
      <c r="E194" s="319"/>
      <c r="F194" s="319"/>
      <c r="G194" s="318" t="s">
        <v>2560</v>
      </c>
      <c r="H194" s="318">
        <v>2.06</v>
      </c>
      <c r="I194" s="318">
        <v>1</v>
      </c>
      <c r="J194" s="318">
        <f t="shared" si="15"/>
        <v>1</v>
      </c>
      <c r="K194" s="318">
        <f t="shared" si="16"/>
        <v>2.06</v>
      </c>
      <c r="L194" s="350" t="s">
        <v>2768</v>
      </c>
      <c r="M194" s="350" t="s">
        <v>2846</v>
      </c>
      <c r="N194" s="318">
        <v>1</v>
      </c>
      <c r="O194" s="619">
        <f t="shared" si="20"/>
        <v>2.06</v>
      </c>
      <c r="P194" s="750">
        <v>1</v>
      </c>
      <c r="Q194" s="750"/>
      <c r="R194" s="337">
        <v>1</v>
      </c>
      <c r="S194" s="348">
        <f t="shared" si="18"/>
        <v>2.06</v>
      </c>
      <c r="T194" s="319"/>
    </row>
    <row r="195" spans="1:20">
      <c r="A195" s="318"/>
      <c r="B195" s="319"/>
      <c r="C195" s="318"/>
      <c r="D195" s="318"/>
      <c r="E195" s="319"/>
      <c r="F195" s="319"/>
      <c r="G195" s="318" t="s">
        <v>2561</v>
      </c>
      <c r="H195" s="318">
        <v>2.06</v>
      </c>
      <c r="I195" s="318">
        <v>1</v>
      </c>
      <c r="J195" s="318">
        <f t="shared" si="15"/>
        <v>1</v>
      </c>
      <c r="K195" s="318">
        <f t="shared" si="16"/>
        <v>2.06</v>
      </c>
      <c r="L195" s="350" t="s">
        <v>2761</v>
      </c>
      <c r="M195" s="350" t="s">
        <v>2839</v>
      </c>
      <c r="N195" s="318">
        <v>1</v>
      </c>
      <c r="O195" s="619">
        <f t="shared" si="20"/>
        <v>2.06</v>
      </c>
      <c r="P195" s="750">
        <v>1</v>
      </c>
      <c r="Q195" s="750"/>
      <c r="R195" s="337">
        <v>1</v>
      </c>
      <c r="S195" s="348">
        <f t="shared" si="18"/>
        <v>2.06</v>
      </c>
      <c r="T195" s="319"/>
    </row>
    <row r="196" spans="1:20">
      <c r="A196" s="318"/>
      <c r="B196" s="319"/>
      <c r="C196" s="318"/>
      <c r="D196" s="318"/>
      <c r="E196" s="319"/>
      <c r="F196" s="319"/>
      <c r="G196" s="318" t="s">
        <v>2562</v>
      </c>
      <c r="H196" s="318">
        <v>2.76</v>
      </c>
      <c r="I196" s="318">
        <v>1</v>
      </c>
      <c r="J196" s="318">
        <f t="shared" si="15"/>
        <v>1</v>
      </c>
      <c r="K196" s="318">
        <f t="shared" si="16"/>
        <v>2.76</v>
      </c>
      <c r="L196" s="318">
        <v>1988</v>
      </c>
      <c r="M196" s="318">
        <v>182</v>
      </c>
      <c r="N196" s="318">
        <v>1</v>
      </c>
      <c r="O196" s="619">
        <f t="shared" si="20"/>
        <v>2.76</v>
      </c>
      <c r="P196" s="750">
        <v>1</v>
      </c>
      <c r="Q196" s="750"/>
      <c r="R196" s="337">
        <v>1</v>
      </c>
      <c r="S196" s="348">
        <f t="shared" si="18"/>
        <v>2.76</v>
      </c>
      <c r="T196" s="319"/>
    </row>
    <row r="197" spans="1:20">
      <c r="A197" s="318"/>
      <c r="B197" s="319"/>
      <c r="C197" s="318"/>
      <c r="D197" s="318"/>
      <c r="E197" s="319"/>
      <c r="F197" s="319"/>
      <c r="G197" s="318" t="s">
        <v>2563</v>
      </c>
      <c r="H197" s="318">
        <v>2.76</v>
      </c>
      <c r="I197" s="318">
        <v>1</v>
      </c>
      <c r="J197" s="318">
        <f t="shared" si="15"/>
        <v>1</v>
      </c>
      <c r="K197" s="318">
        <f t="shared" si="16"/>
        <v>2.76</v>
      </c>
      <c r="L197" s="318">
        <v>1988</v>
      </c>
      <c r="M197" s="318">
        <v>182</v>
      </c>
      <c r="N197" s="318">
        <v>1</v>
      </c>
      <c r="O197" s="619">
        <f t="shared" si="20"/>
        <v>2.76</v>
      </c>
      <c r="P197" s="750">
        <v>1</v>
      </c>
      <c r="Q197" s="750"/>
      <c r="R197" s="337">
        <v>1</v>
      </c>
      <c r="S197" s="348">
        <f t="shared" si="18"/>
        <v>2.76</v>
      </c>
      <c r="T197" s="319"/>
    </row>
    <row r="198" spans="1:20">
      <c r="A198" s="318"/>
      <c r="B198" s="319"/>
      <c r="C198" s="318"/>
      <c r="D198" s="318"/>
      <c r="E198" s="319"/>
      <c r="F198" s="319"/>
      <c r="G198" s="318" t="s">
        <v>2564</v>
      </c>
      <c r="H198" s="318">
        <v>2.66</v>
      </c>
      <c r="I198" s="318">
        <v>1</v>
      </c>
      <c r="J198" s="318">
        <f t="shared" si="15"/>
        <v>1</v>
      </c>
      <c r="K198" s="318">
        <f t="shared" si="16"/>
        <v>2.66</v>
      </c>
      <c r="L198" s="350" t="s">
        <v>2836</v>
      </c>
      <c r="M198" s="350" t="s">
        <v>2837</v>
      </c>
      <c r="N198" s="318">
        <v>1</v>
      </c>
      <c r="O198" s="619">
        <f t="shared" si="20"/>
        <v>2.66</v>
      </c>
      <c r="P198" s="750">
        <v>1</v>
      </c>
      <c r="Q198" s="750"/>
      <c r="R198" s="337">
        <v>1</v>
      </c>
      <c r="S198" s="348">
        <f t="shared" si="18"/>
        <v>2.66</v>
      </c>
      <c r="T198" s="319"/>
    </row>
    <row r="199" spans="1:20">
      <c r="A199" s="318"/>
      <c r="B199" s="319"/>
      <c r="C199" s="318"/>
      <c r="D199" s="318"/>
      <c r="E199" s="319"/>
      <c r="F199" s="319"/>
      <c r="G199" s="318" t="s">
        <v>2565</v>
      </c>
      <c r="H199" s="318">
        <v>2.66</v>
      </c>
      <c r="I199" s="318">
        <v>1</v>
      </c>
      <c r="J199" s="318">
        <f t="shared" si="15"/>
        <v>1</v>
      </c>
      <c r="K199" s="318">
        <f t="shared" si="16"/>
        <v>2.66</v>
      </c>
      <c r="L199" s="350" t="s">
        <v>2833</v>
      </c>
      <c r="M199" s="350" t="s">
        <v>2832</v>
      </c>
      <c r="N199" s="318">
        <v>1</v>
      </c>
      <c r="O199" s="619">
        <f t="shared" si="20"/>
        <v>2.66</v>
      </c>
      <c r="P199" s="750">
        <v>1</v>
      </c>
      <c r="Q199" s="750"/>
      <c r="R199" s="337">
        <v>1</v>
      </c>
      <c r="S199" s="348">
        <f t="shared" si="18"/>
        <v>2.66</v>
      </c>
      <c r="T199" s="319"/>
    </row>
    <row r="200" spans="1:20">
      <c r="A200" s="318"/>
      <c r="B200" s="319"/>
      <c r="C200" s="318"/>
      <c r="D200" s="318"/>
      <c r="E200" s="319"/>
      <c r="F200" s="336"/>
      <c r="G200" s="318" t="s">
        <v>2566</v>
      </c>
      <c r="H200" s="319">
        <v>4.49</v>
      </c>
      <c r="I200" s="318">
        <v>1</v>
      </c>
      <c r="J200" s="318">
        <f t="shared" si="15"/>
        <v>1</v>
      </c>
      <c r="K200" s="318">
        <f t="shared" si="16"/>
        <v>4.49</v>
      </c>
      <c r="L200" s="350" t="s">
        <v>2811</v>
      </c>
      <c r="M200" s="350" t="s">
        <v>2809</v>
      </c>
      <c r="N200" s="318">
        <v>1</v>
      </c>
      <c r="O200" s="619">
        <f t="shared" si="20"/>
        <v>4.49</v>
      </c>
      <c r="P200" s="750">
        <v>1</v>
      </c>
      <c r="Q200" s="750"/>
      <c r="R200" s="337">
        <v>1</v>
      </c>
      <c r="S200" s="348">
        <f t="shared" si="18"/>
        <v>4.49</v>
      </c>
      <c r="T200" s="319"/>
    </row>
    <row r="201" spans="1:20">
      <c r="A201" s="318"/>
      <c r="B201" s="319"/>
      <c r="C201" s="318"/>
      <c r="D201" s="318"/>
      <c r="E201" s="319"/>
      <c r="F201" s="336"/>
      <c r="G201" s="318" t="s">
        <v>2567</v>
      </c>
      <c r="H201" s="319">
        <v>4.49</v>
      </c>
      <c r="I201" s="318">
        <v>1</v>
      </c>
      <c r="J201" s="318">
        <f t="shared" si="15"/>
        <v>1</v>
      </c>
      <c r="K201" s="318">
        <f t="shared" si="16"/>
        <v>4.49</v>
      </c>
      <c r="L201" s="350" t="s">
        <v>2774</v>
      </c>
      <c r="M201" s="350" t="s">
        <v>2847</v>
      </c>
      <c r="N201" s="318">
        <v>1</v>
      </c>
      <c r="O201" s="619">
        <f t="shared" si="20"/>
        <v>4.49</v>
      </c>
      <c r="P201" s="750">
        <v>1</v>
      </c>
      <c r="Q201" s="750"/>
      <c r="R201" s="337">
        <v>1</v>
      </c>
      <c r="S201" s="348">
        <f t="shared" si="18"/>
        <v>4.49</v>
      </c>
      <c r="T201" s="319"/>
    </row>
    <row r="202" spans="1:20">
      <c r="A202" s="318"/>
      <c r="B202" s="319"/>
      <c r="C202" s="318"/>
      <c r="D202" s="318"/>
      <c r="E202" s="319"/>
      <c r="F202" s="336"/>
      <c r="G202" s="318" t="s">
        <v>2568</v>
      </c>
      <c r="H202" s="319">
        <v>4.49</v>
      </c>
      <c r="I202" s="318">
        <v>1</v>
      </c>
      <c r="J202" s="318">
        <f t="shared" si="15"/>
        <v>1</v>
      </c>
      <c r="K202" s="318">
        <f t="shared" si="16"/>
        <v>4.49</v>
      </c>
      <c r="L202" s="350" t="s">
        <v>2774</v>
      </c>
      <c r="M202" s="350" t="s">
        <v>2847</v>
      </c>
      <c r="N202" s="318">
        <v>1</v>
      </c>
      <c r="O202" s="619">
        <f t="shared" si="20"/>
        <v>4.49</v>
      </c>
      <c r="P202" s="750">
        <v>1</v>
      </c>
      <c r="Q202" s="750"/>
      <c r="R202" s="337">
        <v>1</v>
      </c>
      <c r="S202" s="348">
        <f t="shared" si="18"/>
        <v>4.49</v>
      </c>
      <c r="T202" s="319"/>
    </row>
    <row r="203" spans="1:20">
      <c r="A203" s="318"/>
      <c r="B203" s="319"/>
      <c r="C203" s="318"/>
      <c r="D203" s="318"/>
      <c r="E203" s="319"/>
      <c r="F203" s="336"/>
      <c r="G203" s="318" t="s">
        <v>2569</v>
      </c>
      <c r="H203" s="318">
        <v>4.49</v>
      </c>
      <c r="I203" s="318">
        <v>1</v>
      </c>
      <c r="J203" s="318">
        <f t="shared" ref="J203:J217" si="22">IF(N203&gt;0,1,0)</f>
        <v>1</v>
      </c>
      <c r="K203" s="318">
        <f t="shared" ref="K203:K217" si="23">H203*J203</f>
        <v>4.49</v>
      </c>
      <c r="L203" s="350" t="s">
        <v>2768</v>
      </c>
      <c r="M203" s="350" t="s">
        <v>2846</v>
      </c>
      <c r="N203" s="318">
        <v>1</v>
      </c>
      <c r="O203" s="619">
        <f>H203*N203</f>
        <v>4.49</v>
      </c>
      <c r="P203" s="750">
        <v>1</v>
      </c>
      <c r="Q203" s="750"/>
      <c r="R203" s="337">
        <v>1</v>
      </c>
      <c r="S203" s="348">
        <f t="shared" si="18"/>
        <v>4.49</v>
      </c>
      <c r="T203" s="319"/>
    </row>
    <row r="204" spans="1:20">
      <c r="A204" s="318"/>
      <c r="B204" s="319"/>
      <c r="C204" s="318"/>
      <c r="D204" s="318"/>
      <c r="E204" s="319"/>
      <c r="F204" s="336"/>
      <c r="G204" s="318" t="s">
        <v>2570</v>
      </c>
      <c r="H204" s="319">
        <v>4.49</v>
      </c>
      <c r="I204" s="318">
        <v>1</v>
      </c>
      <c r="J204" s="318">
        <f t="shared" si="22"/>
        <v>1</v>
      </c>
      <c r="K204" s="318">
        <f t="shared" si="23"/>
        <v>4.49</v>
      </c>
      <c r="L204" s="350" t="s">
        <v>2772</v>
      </c>
      <c r="M204" s="350" t="s">
        <v>2847</v>
      </c>
      <c r="N204" s="318">
        <v>1</v>
      </c>
      <c r="O204" s="619">
        <f t="shared" si="20"/>
        <v>4.49</v>
      </c>
      <c r="P204" s="750">
        <v>1</v>
      </c>
      <c r="Q204" s="750"/>
      <c r="R204" s="337">
        <v>1</v>
      </c>
      <c r="S204" s="348">
        <f t="shared" si="18"/>
        <v>4.49</v>
      </c>
      <c r="T204" s="319"/>
    </row>
    <row r="205" spans="1:20">
      <c r="A205" s="318"/>
      <c r="B205" s="319"/>
      <c r="C205" s="318"/>
      <c r="D205" s="318"/>
      <c r="E205" s="319"/>
      <c r="F205" s="319"/>
      <c r="G205" s="318" t="s">
        <v>2571</v>
      </c>
      <c r="H205" s="318">
        <v>4.49</v>
      </c>
      <c r="I205" s="318">
        <v>1</v>
      </c>
      <c r="J205" s="318">
        <f t="shared" si="22"/>
        <v>1</v>
      </c>
      <c r="K205" s="318">
        <f t="shared" si="23"/>
        <v>4.49</v>
      </c>
      <c r="L205" s="350" t="s">
        <v>2761</v>
      </c>
      <c r="M205" s="350" t="s">
        <v>2839</v>
      </c>
      <c r="N205" s="318">
        <v>1</v>
      </c>
      <c r="O205" s="619">
        <f t="shared" si="20"/>
        <v>4.49</v>
      </c>
      <c r="P205" s="750">
        <v>1</v>
      </c>
      <c r="Q205" s="750"/>
      <c r="R205" s="337">
        <v>1</v>
      </c>
      <c r="S205" s="348">
        <f t="shared" ref="S205:S217" si="24">H205*R205</f>
        <v>4.49</v>
      </c>
      <c r="T205" s="319"/>
    </row>
    <row r="206" spans="1:20">
      <c r="A206" s="318"/>
      <c r="B206" s="319"/>
      <c r="C206" s="318"/>
      <c r="D206" s="318"/>
      <c r="E206" s="319"/>
      <c r="F206" s="319"/>
      <c r="G206" s="318" t="s">
        <v>2572</v>
      </c>
      <c r="H206" s="318">
        <v>4.07</v>
      </c>
      <c r="I206" s="318">
        <v>1</v>
      </c>
      <c r="J206" s="318">
        <f t="shared" si="22"/>
        <v>1</v>
      </c>
      <c r="K206" s="318">
        <f t="shared" si="23"/>
        <v>4.07</v>
      </c>
      <c r="L206" s="350" t="s">
        <v>2820</v>
      </c>
      <c r="M206" s="350" t="s">
        <v>2815</v>
      </c>
      <c r="N206" s="318">
        <v>1</v>
      </c>
      <c r="O206" s="619">
        <f t="shared" si="20"/>
        <v>4.07</v>
      </c>
      <c r="P206" s="750">
        <v>1</v>
      </c>
      <c r="Q206" s="750"/>
      <c r="R206" s="337">
        <v>1</v>
      </c>
      <c r="S206" s="348">
        <f t="shared" si="24"/>
        <v>4.07</v>
      </c>
      <c r="T206" s="319"/>
    </row>
    <row r="207" spans="1:20">
      <c r="A207" s="318"/>
      <c r="B207" s="319"/>
      <c r="C207" s="318"/>
      <c r="D207" s="318"/>
      <c r="E207" s="319"/>
      <c r="F207" s="319"/>
      <c r="G207" s="318" t="s">
        <v>2573</v>
      </c>
      <c r="H207" s="318">
        <v>4.21</v>
      </c>
      <c r="I207" s="318">
        <v>1</v>
      </c>
      <c r="J207" s="318">
        <f t="shared" si="22"/>
        <v>1</v>
      </c>
      <c r="K207" s="318">
        <f t="shared" si="23"/>
        <v>4.21</v>
      </c>
      <c r="L207" s="318">
        <v>1955</v>
      </c>
      <c r="M207" s="318">
        <v>178</v>
      </c>
      <c r="N207" s="318">
        <v>1</v>
      </c>
      <c r="O207" s="619">
        <f t="shared" si="20"/>
        <v>4.21</v>
      </c>
      <c r="P207" s="750">
        <v>1</v>
      </c>
      <c r="Q207" s="750"/>
      <c r="R207" s="337">
        <v>1</v>
      </c>
      <c r="S207" s="348">
        <f t="shared" si="24"/>
        <v>4.21</v>
      </c>
      <c r="T207" s="319"/>
    </row>
    <row r="208" spans="1:20">
      <c r="A208" s="318"/>
      <c r="B208" s="319"/>
      <c r="C208" s="318"/>
      <c r="D208" s="318"/>
      <c r="E208" s="319"/>
      <c r="F208" s="319"/>
      <c r="G208" s="318" t="s">
        <v>2574</v>
      </c>
      <c r="H208" s="318">
        <v>4.21</v>
      </c>
      <c r="I208" s="318">
        <v>1</v>
      </c>
      <c r="J208" s="318">
        <f t="shared" si="22"/>
        <v>1</v>
      </c>
      <c r="K208" s="318">
        <f t="shared" si="23"/>
        <v>4.21</v>
      </c>
      <c r="L208" s="318">
        <v>1955</v>
      </c>
      <c r="M208" s="318">
        <v>178</v>
      </c>
      <c r="N208" s="318">
        <v>1</v>
      </c>
      <c r="O208" s="619">
        <f t="shared" si="20"/>
        <v>4.21</v>
      </c>
      <c r="P208" s="750">
        <v>1</v>
      </c>
      <c r="Q208" s="750"/>
      <c r="R208" s="337">
        <v>1</v>
      </c>
      <c r="S208" s="348">
        <f t="shared" si="24"/>
        <v>4.21</v>
      </c>
      <c r="T208" s="319"/>
    </row>
    <row r="209" spans="1:20">
      <c r="A209" s="318"/>
      <c r="B209" s="319"/>
      <c r="C209" s="318"/>
      <c r="D209" s="318"/>
      <c r="E209" s="319"/>
      <c r="F209" s="319"/>
      <c r="G209" s="318" t="s">
        <v>2575</v>
      </c>
      <c r="H209" s="318">
        <v>4.21</v>
      </c>
      <c r="I209" s="318">
        <v>1</v>
      </c>
      <c r="J209" s="318">
        <f t="shared" si="22"/>
        <v>1</v>
      </c>
      <c r="K209" s="318">
        <f t="shared" si="23"/>
        <v>4.21</v>
      </c>
      <c r="L209" s="318">
        <v>1955</v>
      </c>
      <c r="M209" s="318">
        <v>178</v>
      </c>
      <c r="N209" s="318">
        <v>1</v>
      </c>
      <c r="O209" s="619">
        <f t="shared" si="20"/>
        <v>4.21</v>
      </c>
      <c r="P209" s="750">
        <v>1</v>
      </c>
      <c r="Q209" s="750"/>
      <c r="R209" s="337">
        <v>1</v>
      </c>
      <c r="S209" s="348">
        <f t="shared" si="24"/>
        <v>4.21</v>
      </c>
      <c r="T209" s="319"/>
    </row>
    <row r="210" spans="1:20">
      <c r="A210" s="318"/>
      <c r="B210" s="319"/>
      <c r="C210" s="318"/>
      <c r="D210" s="318"/>
      <c r="E210" s="319"/>
      <c r="F210" s="319"/>
      <c r="G210" s="318" t="s">
        <v>2576</v>
      </c>
      <c r="H210" s="318">
        <v>4.21</v>
      </c>
      <c r="I210" s="318">
        <v>1</v>
      </c>
      <c r="J210" s="318">
        <f t="shared" si="22"/>
        <v>1</v>
      </c>
      <c r="K210" s="318">
        <f t="shared" si="23"/>
        <v>4.21</v>
      </c>
      <c r="L210" s="318">
        <v>1969</v>
      </c>
      <c r="M210" s="318">
        <v>179</v>
      </c>
      <c r="N210" s="318">
        <v>1</v>
      </c>
      <c r="O210" s="619">
        <f t="shared" si="20"/>
        <v>4.21</v>
      </c>
      <c r="P210" s="750">
        <v>1</v>
      </c>
      <c r="Q210" s="750"/>
      <c r="R210" s="337">
        <v>1</v>
      </c>
      <c r="S210" s="348">
        <f t="shared" si="24"/>
        <v>4.21</v>
      </c>
      <c r="T210" s="319"/>
    </row>
    <row r="211" spans="1:20">
      <c r="A211" s="318"/>
      <c r="B211" s="319"/>
      <c r="C211" s="318"/>
      <c r="D211" s="318"/>
      <c r="E211" s="319"/>
      <c r="F211" s="319"/>
      <c r="G211" s="318" t="s">
        <v>2577</v>
      </c>
      <c r="H211" s="318">
        <v>4.21</v>
      </c>
      <c r="I211" s="318">
        <v>1</v>
      </c>
      <c r="J211" s="318">
        <f t="shared" si="22"/>
        <v>1</v>
      </c>
      <c r="K211" s="318">
        <f t="shared" si="23"/>
        <v>4.21</v>
      </c>
      <c r="L211" s="318">
        <v>1969</v>
      </c>
      <c r="M211" s="318">
        <v>179</v>
      </c>
      <c r="N211" s="318">
        <v>1</v>
      </c>
      <c r="O211" s="619">
        <f t="shared" si="20"/>
        <v>4.21</v>
      </c>
      <c r="P211" s="750">
        <v>1</v>
      </c>
      <c r="Q211" s="750"/>
      <c r="R211" s="337">
        <v>1</v>
      </c>
      <c r="S211" s="348">
        <f t="shared" si="24"/>
        <v>4.21</v>
      </c>
      <c r="T211" s="319"/>
    </row>
    <row r="212" spans="1:20">
      <c r="A212" s="318"/>
      <c r="B212" s="319"/>
      <c r="C212" s="318"/>
      <c r="D212" s="318"/>
      <c r="E212" s="319"/>
      <c r="F212" s="319"/>
      <c r="G212" s="318" t="s">
        <v>2578</v>
      </c>
      <c r="H212" s="318">
        <v>3.03</v>
      </c>
      <c r="I212" s="318">
        <v>1</v>
      </c>
      <c r="J212" s="318">
        <f t="shared" si="22"/>
        <v>1</v>
      </c>
      <c r="K212" s="318">
        <f t="shared" si="23"/>
        <v>3.03</v>
      </c>
      <c r="L212" s="350" t="s">
        <v>2834</v>
      </c>
      <c r="M212" s="350" t="s">
        <v>2835</v>
      </c>
      <c r="N212" s="318">
        <v>1</v>
      </c>
      <c r="O212" s="619">
        <f t="shared" si="20"/>
        <v>3.03</v>
      </c>
      <c r="P212" s="750">
        <v>1</v>
      </c>
      <c r="Q212" s="750"/>
      <c r="R212" s="337">
        <v>1</v>
      </c>
      <c r="S212" s="348">
        <f t="shared" si="24"/>
        <v>3.03</v>
      </c>
      <c r="T212" s="319"/>
    </row>
    <row r="213" spans="1:20">
      <c r="A213" s="318"/>
      <c r="B213" s="319"/>
      <c r="C213" s="318"/>
      <c r="D213" s="318"/>
      <c r="E213" s="319"/>
      <c r="F213" s="336"/>
      <c r="G213" s="318" t="s">
        <v>2579</v>
      </c>
      <c r="H213" s="318">
        <v>3.67</v>
      </c>
      <c r="I213" s="318">
        <v>1</v>
      </c>
      <c r="J213" s="318">
        <f t="shared" si="22"/>
        <v>1</v>
      </c>
      <c r="K213" s="318">
        <f t="shared" si="23"/>
        <v>3.67</v>
      </c>
      <c r="L213" s="318">
        <v>1937</v>
      </c>
      <c r="M213" s="318">
        <v>176</v>
      </c>
      <c r="N213" s="318">
        <v>1</v>
      </c>
      <c r="O213" s="619">
        <f t="shared" si="20"/>
        <v>3.67</v>
      </c>
      <c r="P213" s="750">
        <v>1</v>
      </c>
      <c r="Q213" s="750"/>
      <c r="R213" s="337">
        <v>1</v>
      </c>
      <c r="S213" s="348">
        <f t="shared" si="24"/>
        <v>3.67</v>
      </c>
      <c r="T213" s="319"/>
    </row>
    <row r="214" spans="1:20">
      <c r="A214" s="318"/>
      <c r="B214" s="319"/>
      <c r="C214" s="318"/>
      <c r="D214" s="318"/>
      <c r="E214" s="319"/>
      <c r="F214" s="336"/>
      <c r="G214" s="318" t="s">
        <v>2580</v>
      </c>
      <c r="H214" s="318">
        <v>3.67</v>
      </c>
      <c r="I214" s="318">
        <v>1</v>
      </c>
      <c r="J214" s="318">
        <f t="shared" si="22"/>
        <v>1</v>
      </c>
      <c r="K214" s="318">
        <f t="shared" si="23"/>
        <v>3.67</v>
      </c>
      <c r="L214" s="318">
        <v>1937</v>
      </c>
      <c r="M214" s="318">
        <v>176</v>
      </c>
      <c r="N214" s="318">
        <v>1</v>
      </c>
      <c r="O214" s="619">
        <f>H214*N214</f>
        <v>3.67</v>
      </c>
      <c r="P214" s="750">
        <v>1</v>
      </c>
      <c r="Q214" s="750"/>
      <c r="R214" s="337">
        <v>1</v>
      </c>
      <c r="S214" s="348">
        <f t="shared" si="24"/>
        <v>3.67</v>
      </c>
      <c r="T214" s="319"/>
    </row>
    <row r="215" spans="1:20">
      <c r="A215" s="318"/>
      <c r="B215" s="319"/>
      <c r="C215" s="318"/>
      <c r="D215" s="318"/>
      <c r="E215" s="319"/>
      <c r="F215" s="319"/>
      <c r="G215" s="318" t="s">
        <v>2581</v>
      </c>
      <c r="H215" s="318">
        <v>3.67</v>
      </c>
      <c r="I215" s="318">
        <v>1</v>
      </c>
      <c r="J215" s="318">
        <f t="shared" si="22"/>
        <v>1</v>
      </c>
      <c r="K215" s="318">
        <f t="shared" si="23"/>
        <v>3.67</v>
      </c>
      <c r="L215" s="318">
        <v>1937</v>
      </c>
      <c r="M215" s="318">
        <v>176</v>
      </c>
      <c r="N215" s="318">
        <v>1</v>
      </c>
      <c r="O215" s="619">
        <f>H215*N215</f>
        <v>3.67</v>
      </c>
      <c r="P215" s="750">
        <v>1</v>
      </c>
      <c r="Q215" s="750"/>
      <c r="R215" s="337">
        <v>1</v>
      </c>
      <c r="S215" s="348">
        <f t="shared" si="24"/>
        <v>3.67</v>
      </c>
      <c r="T215" s="319"/>
    </row>
    <row r="216" spans="1:20">
      <c r="A216" s="318"/>
      <c r="B216" s="319"/>
      <c r="C216" s="318"/>
      <c r="D216" s="318"/>
      <c r="E216" s="319"/>
      <c r="F216" s="319"/>
      <c r="G216" s="318" t="s">
        <v>2582</v>
      </c>
      <c r="H216" s="318">
        <v>3.67</v>
      </c>
      <c r="I216" s="318">
        <v>1</v>
      </c>
      <c r="J216" s="318">
        <f t="shared" si="22"/>
        <v>1</v>
      </c>
      <c r="K216" s="318">
        <f t="shared" si="23"/>
        <v>3.67</v>
      </c>
      <c r="L216" s="318">
        <v>1950</v>
      </c>
      <c r="M216" s="318">
        <v>178</v>
      </c>
      <c r="N216" s="318">
        <v>1</v>
      </c>
      <c r="O216" s="619">
        <f>H216*N216</f>
        <v>3.67</v>
      </c>
      <c r="P216" s="750">
        <v>1</v>
      </c>
      <c r="Q216" s="750"/>
      <c r="R216" s="337">
        <v>1</v>
      </c>
      <c r="S216" s="348">
        <f t="shared" si="24"/>
        <v>3.67</v>
      </c>
      <c r="T216" s="319"/>
    </row>
    <row r="217" spans="1:20">
      <c r="A217" s="318"/>
      <c r="B217" s="319"/>
      <c r="C217" s="318"/>
      <c r="D217" s="318"/>
      <c r="E217" s="319"/>
      <c r="F217" s="319"/>
      <c r="G217" s="318" t="s">
        <v>2583</v>
      </c>
      <c r="H217" s="318">
        <v>3.67</v>
      </c>
      <c r="I217" s="318">
        <v>1</v>
      </c>
      <c r="J217" s="318">
        <f t="shared" si="22"/>
        <v>1</v>
      </c>
      <c r="K217" s="318">
        <f t="shared" si="23"/>
        <v>3.67</v>
      </c>
      <c r="L217" s="318">
        <v>1950</v>
      </c>
      <c r="M217" s="318">
        <v>178</v>
      </c>
      <c r="N217" s="318">
        <v>1</v>
      </c>
      <c r="O217" s="619">
        <f>H217*N217</f>
        <v>3.67</v>
      </c>
      <c r="P217" s="750">
        <v>1</v>
      </c>
      <c r="Q217" s="750"/>
      <c r="R217" s="337">
        <v>1</v>
      </c>
      <c r="S217" s="348">
        <f t="shared" si="24"/>
        <v>3.67</v>
      </c>
      <c r="T217" s="319"/>
    </row>
    <row r="218" spans="1:20">
      <c r="A218" s="318"/>
      <c r="B218" s="319"/>
      <c r="C218" s="318"/>
      <c r="D218" s="318"/>
      <c r="E218" s="319"/>
      <c r="F218" s="319"/>
      <c r="G218" s="318"/>
      <c r="H218" s="318"/>
      <c r="I218" s="318"/>
      <c r="J218" s="382" t="s">
        <v>389</v>
      </c>
      <c r="K218" s="321">
        <f>SUM(K139:K217)</f>
        <v>294.55</v>
      </c>
      <c r="L218" s="318"/>
      <c r="M218" s="318"/>
      <c r="N218" s="382" t="s">
        <v>389</v>
      </c>
      <c r="O218" s="748">
        <f>SUM(O139:O217)</f>
        <v>292.30500000000006</v>
      </c>
      <c r="P218" s="751" t="s">
        <v>389</v>
      </c>
      <c r="Q218" s="751"/>
      <c r="R218" s="382" t="s">
        <v>389</v>
      </c>
      <c r="S218" s="321">
        <f>SUM(S139:S217)</f>
        <v>238.79999999999995</v>
      </c>
      <c r="T218" s="319"/>
    </row>
    <row r="219" spans="1:20" ht="6.75" customHeight="1">
      <c r="A219" s="316"/>
      <c r="B219" s="317"/>
      <c r="C219" s="316"/>
      <c r="D219" s="316"/>
      <c r="E219" s="317"/>
      <c r="F219" s="744"/>
      <c r="G219" s="316"/>
      <c r="H219" s="316"/>
      <c r="I219" s="316"/>
      <c r="J219" s="316"/>
      <c r="K219" s="316"/>
      <c r="L219" s="316"/>
      <c r="M219" s="316"/>
      <c r="N219" s="316"/>
      <c r="O219" s="749"/>
      <c r="P219" s="752"/>
      <c r="Q219" s="752"/>
      <c r="R219" s="316"/>
      <c r="S219" s="339"/>
      <c r="T219" s="317"/>
    </row>
    <row r="220" spans="1:20">
      <c r="A220" s="318">
        <v>4</v>
      </c>
      <c r="B220" s="319" t="s">
        <v>383</v>
      </c>
      <c r="C220" s="318">
        <v>800</v>
      </c>
      <c r="D220" s="318">
        <v>4</v>
      </c>
      <c r="E220" s="319">
        <v>1</v>
      </c>
      <c r="F220" s="319"/>
      <c r="G220" s="318" t="s">
        <v>2452</v>
      </c>
      <c r="H220" s="318">
        <v>2.06</v>
      </c>
      <c r="I220" s="318">
        <v>1</v>
      </c>
      <c r="J220" s="318">
        <f t="shared" ref="J220:J271" si="25">IF(N220&gt;0,1,0)</f>
        <v>1</v>
      </c>
      <c r="K220" s="318">
        <f t="shared" ref="K220:K272" si="26">H220*J220</f>
        <v>2.06</v>
      </c>
      <c r="L220" s="350" t="s">
        <v>3643</v>
      </c>
      <c r="M220" s="350" t="s">
        <v>3644</v>
      </c>
      <c r="N220" s="318">
        <v>1</v>
      </c>
      <c r="O220" s="619">
        <f>H220*N220</f>
        <v>2.06</v>
      </c>
      <c r="P220" s="750">
        <v>1</v>
      </c>
      <c r="Q220" s="750"/>
      <c r="R220" s="337">
        <v>1</v>
      </c>
      <c r="S220" s="348">
        <f>H220*R220</f>
        <v>2.06</v>
      </c>
      <c r="T220" s="319"/>
    </row>
    <row r="221" spans="1:20">
      <c r="A221" s="318"/>
      <c r="B221" s="319"/>
      <c r="C221" s="318"/>
      <c r="D221" s="318"/>
      <c r="E221" s="319"/>
      <c r="F221" s="319"/>
      <c r="G221" s="318" t="s">
        <v>2453</v>
      </c>
      <c r="H221" s="318">
        <v>2.06</v>
      </c>
      <c r="I221" s="318">
        <v>1</v>
      </c>
      <c r="J221" s="318">
        <f t="shared" si="25"/>
        <v>1</v>
      </c>
      <c r="K221" s="318">
        <f t="shared" si="26"/>
        <v>2.06</v>
      </c>
      <c r="L221" s="350" t="s">
        <v>2823</v>
      </c>
      <c r="M221" s="350" t="s">
        <v>2824</v>
      </c>
      <c r="N221" s="318">
        <v>1</v>
      </c>
      <c r="O221" s="619">
        <f>H221*N221</f>
        <v>2.06</v>
      </c>
      <c r="P221" s="750">
        <v>1</v>
      </c>
      <c r="Q221" s="750"/>
      <c r="R221" s="337">
        <v>1</v>
      </c>
      <c r="S221" s="348">
        <f>H221*R221</f>
        <v>2.06</v>
      </c>
      <c r="T221" s="319"/>
    </row>
    <row r="222" spans="1:20">
      <c r="A222" s="318"/>
      <c r="B222" s="319"/>
      <c r="C222" s="318"/>
      <c r="D222" s="318"/>
      <c r="E222" s="319"/>
      <c r="F222" s="319"/>
      <c r="G222" s="318" t="s">
        <v>2454</v>
      </c>
      <c r="H222" s="318">
        <v>4.04</v>
      </c>
      <c r="I222" s="318">
        <v>1</v>
      </c>
      <c r="J222" s="318">
        <f t="shared" si="25"/>
        <v>1</v>
      </c>
      <c r="K222" s="318">
        <f t="shared" si="26"/>
        <v>4.04</v>
      </c>
      <c r="L222" s="318">
        <v>2049</v>
      </c>
      <c r="M222" s="318">
        <v>190</v>
      </c>
      <c r="N222" s="318">
        <v>1</v>
      </c>
      <c r="O222" s="619">
        <f t="shared" ref="O222:O245" si="27">H222*N222</f>
        <v>4.04</v>
      </c>
      <c r="P222" s="750">
        <v>1</v>
      </c>
      <c r="Q222" s="750"/>
      <c r="R222" s="337">
        <v>1</v>
      </c>
      <c r="S222" s="348">
        <f t="shared" ref="S222:S272" si="28">H222*R222</f>
        <v>4.04</v>
      </c>
      <c r="T222" s="319"/>
    </row>
    <row r="223" spans="1:20">
      <c r="A223" s="318"/>
      <c r="B223" s="319"/>
      <c r="C223" s="318"/>
      <c r="D223" s="318"/>
      <c r="E223" s="319"/>
      <c r="F223" s="319"/>
      <c r="G223" s="318" t="s">
        <v>2455</v>
      </c>
      <c r="H223" s="318">
        <v>4.04</v>
      </c>
      <c r="I223" s="318">
        <v>1</v>
      </c>
      <c r="J223" s="318">
        <f t="shared" si="25"/>
        <v>1</v>
      </c>
      <c r="K223" s="318">
        <f t="shared" si="26"/>
        <v>4.04</v>
      </c>
      <c r="L223" s="318">
        <v>2049</v>
      </c>
      <c r="M223" s="318">
        <v>190</v>
      </c>
      <c r="N223" s="318">
        <v>1</v>
      </c>
      <c r="O223" s="619">
        <f t="shared" si="27"/>
        <v>4.04</v>
      </c>
      <c r="P223" s="750">
        <v>1</v>
      </c>
      <c r="Q223" s="750"/>
      <c r="R223" s="337">
        <v>1</v>
      </c>
      <c r="S223" s="348">
        <f t="shared" si="28"/>
        <v>4.04</v>
      </c>
      <c r="T223" s="319"/>
    </row>
    <row r="224" spans="1:20">
      <c r="A224" s="318"/>
      <c r="B224" s="319"/>
      <c r="C224" s="318"/>
      <c r="D224" s="318"/>
      <c r="E224" s="319"/>
      <c r="F224" s="319"/>
      <c r="G224" s="318" t="s">
        <v>2456</v>
      </c>
      <c r="H224" s="318">
        <v>2.81</v>
      </c>
      <c r="I224" s="318">
        <v>1</v>
      </c>
      <c r="J224" s="318">
        <f t="shared" si="25"/>
        <v>1</v>
      </c>
      <c r="K224" s="318">
        <f t="shared" si="26"/>
        <v>2.81</v>
      </c>
      <c r="L224" s="350" t="s">
        <v>2805</v>
      </c>
      <c r="M224" s="318">
        <v>205</v>
      </c>
      <c r="N224" s="318">
        <v>1</v>
      </c>
      <c r="O224" s="619">
        <f t="shared" si="27"/>
        <v>2.81</v>
      </c>
      <c r="P224" s="750">
        <v>1</v>
      </c>
      <c r="Q224" s="750"/>
      <c r="R224" s="337">
        <v>1</v>
      </c>
      <c r="S224" s="348">
        <f t="shared" si="28"/>
        <v>2.81</v>
      </c>
      <c r="T224" s="319"/>
    </row>
    <row r="225" spans="1:20">
      <c r="A225" s="318"/>
      <c r="B225" s="319"/>
      <c r="C225" s="318"/>
      <c r="D225" s="318"/>
      <c r="E225" s="319"/>
      <c r="F225" s="319"/>
      <c r="G225" s="318" t="s">
        <v>2457</v>
      </c>
      <c r="H225" s="318">
        <v>3.2</v>
      </c>
      <c r="I225" s="318">
        <v>1</v>
      </c>
      <c r="J225" s="318">
        <f t="shared" si="25"/>
        <v>1</v>
      </c>
      <c r="K225" s="318">
        <f t="shared" si="26"/>
        <v>3.2</v>
      </c>
      <c r="L225" s="350" t="s">
        <v>2702</v>
      </c>
      <c r="M225" s="318">
        <v>174</v>
      </c>
      <c r="N225" s="318">
        <v>1</v>
      </c>
      <c r="O225" s="619">
        <f t="shared" si="27"/>
        <v>3.2</v>
      </c>
      <c r="P225" s="750">
        <v>1</v>
      </c>
      <c r="Q225" s="750"/>
      <c r="R225" s="337">
        <v>1</v>
      </c>
      <c r="S225" s="348">
        <f t="shared" si="28"/>
        <v>3.2</v>
      </c>
      <c r="T225" s="319"/>
    </row>
    <row r="226" spans="1:20">
      <c r="A226" s="318"/>
      <c r="B226" s="319"/>
      <c r="C226" s="318"/>
      <c r="D226" s="318"/>
      <c r="E226" s="319"/>
      <c r="F226" s="319"/>
      <c r="G226" s="318" t="s">
        <v>2458</v>
      </c>
      <c r="H226" s="318">
        <v>4.49</v>
      </c>
      <c r="I226" s="318">
        <v>1</v>
      </c>
      <c r="J226" s="318">
        <f t="shared" si="25"/>
        <v>1</v>
      </c>
      <c r="K226" s="318">
        <f t="shared" si="26"/>
        <v>4.49</v>
      </c>
      <c r="L226" s="350" t="s">
        <v>2701</v>
      </c>
      <c r="M226" s="318">
        <v>173</v>
      </c>
      <c r="N226" s="318">
        <v>1</v>
      </c>
      <c r="O226" s="619">
        <f t="shared" si="27"/>
        <v>4.49</v>
      </c>
      <c r="P226" s="750">
        <v>1</v>
      </c>
      <c r="Q226" s="750"/>
      <c r="R226" s="337">
        <v>1</v>
      </c>
      <c r="S226" s="348">
        <f t="shared" si="28"/>
        <v>4.49</v>
      </c>
      <c r="T226" s="319"/>
    </row>
    <row r="227" spans="1:20">
      <c r="A227" s="318"/>
      <c r="B227" s="319"/>
      <c r="C227" s="318"/>
      <c r="D227" s="318"/>
      <c r="E227" s="319"/>
      <c r="F227" s="319"/>
      <c r="G227" s="318" t="s">
        <v>2459</v>
      </c>
      <c r="H227" s="318">
        <v>4.49</v>
      </c>
      <c r="I227" s="318">
        <v>1</v>
      </c>
      <c r="J227" s="318">
        <f t="shared" si="25"/>
        <v>1</v>
      </c>
      <c r="K227" s="318">
        <f t="shared" si="26"/>
        <v>4.49</v>
      </c>
      <c r="L227" s="350" t="s">
        <v>2701</v>
      </c>
      <c r="M227" s="318">
        <v>173</v>
      </c>
      <c r="N227" s="318">
        <v>1</v>
      </c>
      <c r="O227" s="619">
        <f t="shared" si="27"/>
        <v>4.49</v>
      </c>
      <c r="P227" s="750">
        <v>1</v>
      </c>
      <c r="Q227" s="750"/>
      <c r="R227" s="337">
        <v>1</v>
      </c>
      <c r="S227" s="348">
        <f t="shared" si="28"/>
        <v>4.49</v>
      </c>
      <c r="T227" s="319"/>
    </row>
    <row r="228" spans="1:20">
      <c r="A228" s="318"/>
      <c r="B228" s="319"/>
      <c r="C228" s="318"/>
      <c r="D228" s="318"/>
      <c r="E228" s="319"/>
      <c r="F228" s="319"/>
      <c r="G228" s="318" t="s">
        <v>2460</v>
      </c>
      <c r="H228" s="318">
        <v>4.49</v>
      </c>
      <c r="I228" s="318">
        <v>1</v>
      </c>
      <c r="J228" s="318">
        <f t="shared" si="25"/>
        <v>1</v>
      </c>
      <c r="K228" s="318">
        <f t="shared" si="26"/>
        <v>4.49</v>
      </c>
      <c r="L228" s="350" t="s">
        <v>2701</v>
      </c>
      <c r="M228" s="318">
        <v>173</v>
      </c>
      <c r="N228" s="318">
        <v>1</v>
      </c>
      <c r="O228" s="619">
        <f t="shared" si="27"/>
        <v>4.49</v>
      </c>
      <c r="P228" s="750">
        <v>1</v>
      </c>
      <c r="Q228" s="750"/>
      <c r="R228" s="337">
        <v>1</v>
      </c>
      <c r="S228" s="348">
        <f t="shared" si="28"/>
        <v>4.49</v>
      </c>
      <c r="T228" s="319"/>
    </row>
    <row r="229" spans="1:20">
      <c r="A229" s="318"/>
      <c r="B229" s="319"/>
      <c r="C229" s="318"/>
      <c r="D229" s="318"/>
      <c r="E229" s="319"/>
      <c r="F229" s="319"/>
      <c r="G229" s="318" t="s">
        <v>2461</v>
      </c>
      <c r="H229" s="318">
        <v>4.49</v>
      </c>
      <c r="I229" s="318">
        <v>1</v>
      </c>
      <c r="J229" s="318">
        <f t="shared" si="25"/>
        <v>1</v>
      </c>
      <c r="K229" s="318">
        <f t="shared" si="26"/>
        <v>4.49</v>
      </c>
      <c r="L229" s="350" t="s">
        <v>2702</v>
      </c>
      <c r="M229" s="318">
        <v>174</v>
      </c>
      <c r="N229" s="318">
        <v>1</v>
      </c>
      <c r="O229" s="619">
        <f t="shared" si="27"/>
        <v>4.49</v>
      </c>
      <c r="P229" s="750">
        <v>1</v>
      </c>
      <c r="Q229" s="750"/>
      <c r="R229" s="337">
        <v>1</v>
      </c>
      <c r="S229" s="348">
        <f t="shared" si="28"/>
        <v>4.49</v>
      </c>
      <c r="T229" s="319"/>
    </row>
    <row r="230" spans="1:20">
      <c r="A230" s="318"/>
      <c r="B230" s="319"/>
      <c r="C230" s="318"/>
      <c r="D230" s="318"/>
      <c r="E230" s="319"/>
      <c r="F230" s="319"/>
      <c r="G230" s="318" t="s">
        <v>2462</v>
      </c>
      <c r="H230" s="318">
        <v>4.49</v>
      </c>
      <c r="I230" s="318">
        <v>1</v>
      </c>
      <c r="J230" s="318">
        <f t="shared" si="25"/>
        <v>1</v>
      </c>
      <c r="K230" s="318">
        <f t="shared" si="26"/>
        <v>4.49</v>
      </c>
      <c r="L230" s="350" t="s">
        <v>2702</v>
      </c>
      <c r="M230" s="318">
        <v>174</v>
      </c>
      <c r="N230" s="318">
        <v>1</v>
      </c>
      <c r="O230" s="619">
        <f t="shared" si="27"/>
        <v>4.49</v>
      </c>
      <c r="P230" s="750">
        <v>1</v>
      </c>
      <c r="Q230" s="750"/>
      <c r="R230" s="337">
        <v>1</v>
      </c>
      <c r="S230" s="348">
        <f t="shared" si="28"/>
        <v>4.49</v>
      </c>
      <c r="T230" s="319"/>
    </row>
    <row r="231" spans="1:20">
      <c r="A231" s="318"/>
      <c r="B231" s="319"/>
      <c r="C231" s="318"/>
      <c r="D231" s="318"/>
      <c r="E231" s="319"/>
      <c r="F231" s="319"/>
      <c r="G231" s="318" t="s">
        <v>2463</v>
      </c>
      <c r="H231" s="318">
        <v>3.09</v>
      </c>
      <c r="I231" s="318">
        <v>1</v>
      </c>
      <c r="J231" s="318">
        <f t="shared" si="25"/>
        <v>1</v>
      </c>
      <c r="K231" s="318">
        <f t="shared" si="26"/>
        <v>3.09</v>
      </c>
      <c r="L231" s="350" t="s">
        <v>2873</v>
      </c>
      <c r="M231" s="350" t="s">
        <v>2874</v>
      </c>
      <c r="N231" s="318">
        <v>1</v>
      </c>
      <c r="O231" s="619">
        <f t="shared" si="27"/>
        <v>3.09</v>
      </c>
      <c r="P231" s="750">
        <v>1</v>
      </c>
      <c r="Q231" s="750"/>
      <c r="R231" s="337">
        <v>1</v>
      </c>
      <c r="S231" s="348">
        <f t="shared" si="28"/>
        <v>3.09</v>
      </c>
      <c r="T231" s="319"/>
    </row>
    <row r="232" spans="1:20">
      <c r="A232" s="318"/>
      <c r="B232" s="319"/>
      <c r="C232" s="318"/>
      <c r="D232" s="318"/>
      <c r="E232" s="319"/>
      <c r="F232" s="319"/>
      <c r="G232" s="318" t="s">
        <v>2464</v>
      </c>
      <c r="H232" s="318">
        <v>3.64</v>
      </c>
      <c r="I232" s="318">
        <v>1</v>
      </c>
      <c r="J232" s="318">
        <f t="shared" si="25"/>
        <v>1</v>
      </c>
      <c r="K232" s="318">
        <f t="shared" si="26"/>
        <v>3.64</v>
      </c>
      <c r="L232" s="350" t="s">
        <v>2808</v>
      </c>
      <c r="M232" s="350" t="s">
        <v>2809</v>
      </c>
      <c r="N232" s="318">
        <v>1</v>
      </c>
      <c r="O232" s="619">
        <f t="shared" si="27"/>
        <v>3.64</v>
      </c>
      <c r="P232" s="750">
        <v>1</v>
      </c>
      <c r="Q232" s="750"/>
      <c r="R232" s="337">
        <v>1</v>
      </c>
      <c r="S232" s="348">
        <f t="shared" si="28"/>
        <v>3.64</v>
      </c>
      <c r="T232" s="319"/>
    </row>
    <row r="233" spans="1:20">
      <c r="A233" s="318"/>
      <c r="B233" s="319"/>
      <c r="C233" s="318"/>
      <c r="D233" s="318"/>
      <c r="E233" s="319"/>
      <c r="F233" s="319"/>
      <c r="G233" s="318" t="s">
        <v>2465</v>
      </c>
      <c r="H233" s="318">
        <v>2.68</v>
      </c>
      <c r="I233" s="318">
        <v>1</v>
      </c>
      <c r="J233" s="318">
        <f t="shared" si="25"/>
        <v>1</v>
      </c>
      <c r="K233" s="318">
        <f t="shared" si="26"/>
        <v>2.68</v>
      </c>
      <c r="L233" s="318">
        <v>2148</v>
      </c>
      <c r="M233" s="318"/>
      <c r="N233" s="318">
        <v>1</v>
      </c>
      <c r="O233" s="619">
        <f t="shared" si="27"/>
        <v>2.68</v>
      </c>
      <c r="P233" s="750">
        <v>1</v>
      </c>
      <c r="Q233" s="750"/>
      <c r="R233" s="337">
        <v>1</v>
      </c>
      <c r="S233" s="348">
        <f t="shared" si="28"/>
        <v>2.68</v>
      </c>
      <c r="T233" s="319"/>
    </row>
    <row r="234" spans="1:20">
      <c r="A234" s="318"/>
      <c r="B234" s="319"/>
      <c r="C234" s="318"/>
      <c r="D234" s="318"/>
      <c r="E234" s="319"/>
      <c r="F234" s="319"/>
      <c r="G234" s="318" t="s">
        <v>2466</v>
      </c>
      <c r="H234" s="318">
        <v>2.86</v>
      </c>
      <c r="I234" s="318">
        <v>1</v>
      </c>
      <c r="J234" s="318">
        <f t="shared" si="25"/>
        <v>1</v>
      </c>
      <c r="K234" s="318">
        <f t="shared" si="26"/>
        <v>2.86</v>
      </c>
      <c r="L234" s="350" t="s">
        <v>2880</v>
      </c>
      <c r="M234" s="350" t="s">
        <v>2874</v>
      </c>
      <c r="N234" s="318">
        <v>1</v>
      </c>
      <c r="O234" s="619">
        <f t="shared" si="27"/>
        <v>2.86</v>
      </c>
      <c r="P234" s="750">
        <v>1</v>
      </c>
      <c r="Q234" s="750"/>
      <c r="R234" s="337">
        <v>1</v>
      </c>
      <c r="S234" s="348">
        <f t="shared" si="28"/>
        <v>2.86</v>
      </c>
      <c r="T234" s="319"/>
    </row>
    <row r="235" spans="1:20">
      <c r="A235" s="318"/>
      <c r="B235" s="319"/>
      <c r="C235" s="318"/>
      <c r="D235" s="318"/>
      <c r="E235" s="319"/>
      <c r="F235" s="336"/>
      <c r="G235" s="318" t="s">
        <v>2467</v>
      </c>
      <c r="H235" s="318">
        <v>4.4930000000000003</v>
      </c>
      <c r="I235" s="318">
        <v>1</v>
      </c>
      <c r="J235" s="318">
        <f t="shared" si="25"/>
        <v>1</v>
      </c>
      <c r="K235" s="318">
        <f t="shared" si="26"/>
        <v>4.4930000000000003</v>
      </c>
      <c r="L235" s="350" t="s">
        <v>2821</v>
      </c>
      <c r="M235" s="350" t="s">
        <v>2815</v>
      </c>
      <c r="N235" s="318">
        <v>1</v>
      </c>
      <c r="O235" s="619">
        <f t="shared" si="27"/>
        <v>4.4930000000000003</v>
      </c>
      <c r="P235" s="750">
        <v>1</v>
      </c>
      <c r="Q235" s="750"/>
      <c r="R235" s="337">
        <v>1</v>
      </c>
      <c r="S235" s="348">
        <f t="shared" si="28"/>
        <v>4.4930000000000003</v>
      </c>
      <c r="T235" s="319"/>
    </row>
    <row r="236" spans="1:20">
      <c r="A236" s="318"/>
      <c r="B236" s="319"/>
      <c r="C236" s="318"/>
      <c r="D236" s="318"/>
      <c r="E236" s="319"/>
      <c r="F236" s="336"/>
      <c r="G236" s="318" t="s">
        <v>2468</v>
      </c>
      <c r="H236" s="318">
        <v>4.4930000000000003</v>
      </c>
      <c r="I236" s="318">
        <v>1</v>
      </c>
      <c r="J236" s="318">
        <f t="shared" si="25"/>
        <v>1</v>
      </c>
      <c r="K236" s="318">
        <f t="shared" si="26"/>
        <v>4.4930000000000003</v>
      </c>
      <c r="L236" s="350" t="s">
        <v>2823</v>
      </c>
      <c r="M236" s="350" t="s">
        <v>2824</v>
      </c>
      <c r="N236" s="318">
        <v>1</v>
      </c>
      <c r="O236" s="619">
        <f t="shared" si="27"/>
        <v>4.4930000000000003</v>
      </c>
      <c r="P236" s="750">
        <v>1</v>
      </c>
      <c r="Q236" s="750"/>
      <c r="R236" s="337">
        <v>1</v>
      </c>
      <c r="S236" s="348">
        <f t="shared" si="28"/>
        <v>4.4930000000000003</v>
      </c>
      <c r="T236" s="319"/>
    </row>
    <row r="237" spans="1:20">
      <c r="A237" s="318"/>
      <c r="B237" s="319"/>
      <c r="C237" s="318"/>
      <c r="D237" s="318"/>
      <c r="E237" s="319"/>
      <c r="F237" s="319"/>
      <c r="G237" s="318" t="s">
        <v>2469</v>
      </c>
      <c r="H237" s="318">
        <v>4.4930000000000003</v>
      </c>
      <c r="I237" s="318">
        <v>1</v>
      </c>
      <c r="J237" s="318">
        <f t="shared" si="25"/>
        <v>1</v>
      </c>
      <c r="K237" s="318">
        <f t="shared" si="26"/>
        <v>4.4930000000000003</v>
      </c>
      <c r="L237" s="350" t="s">
        <v>2833</v>
      </c>
      <c r="M237" s="350" t="s">
        <v>2832</v>
      </c>
      <c r="N237" s="318">
        <v>1</v>
      </c>
      <c r="O237" s="619">
        <f t="shared" si="27"/>
        <v>4.4930000000000003</v>
      </c>
      <c r="P237" s="750">
        <v>1</v>
      </c>
      <c r="Q237" s="750"/>
      <c r="R237" s="337">
        <v>1</v>
      </c>
      <c r="S237" s="348">
        <f t="shared" si="28"/>
        <v>4.4930000000000003</v>
      </c>
      <c r="T237" s="319"/>
    </row>
    <row r="238" spans="1:20">
      <c r="A238" s="318"/>
      <c r="B238" s="319"/>
      <c r="C238" s="318"/>
      <c r="D238" s="318"/>
      <c r="E238" s="319"/>
      <c r="F238" s="319"/>
      <c r="G238" s="318" t="s">
        <v>2470</v>
      </c>
      <c r="H238" s="318">
        <v>4.4930000000000003</v>
      </c>
      <c r="I238" s="318">
        <v>1</v>
      </c>
      <c r="J238" s="318">
        <f t="shared" si="25"/>
        <v>1</v>
      </c>
      <c r="K238" s="318">
        <f t="shared" si="26"/>
        <v>4.4930000000000003</v>
      </c>
      <c r="L238" s="350" t="s">
        <v>2833</v>
      </c>
      <c r="M238" s="350" t="s">
        <v>2832</v>
      </c>
      <c r="N238" s="318">
        <v>1</v>
      </c>
      <c r="O238" s="619">
        <f t="shared" si="27"/>
        <v>4.4930000000000003</v>
      </c>
      <c r="P238" s="750">
        <v>1</v>
      </c>
      <c r="Q238" s="750"/>
      <c r="R238" s="337">
        <v>1</v>
      </c>
      <c r="S238" s="348">
        <f t="shared" si="28"/>
        <v>4.4930000000000003</v>
      </c>
      <c r="T238" s="319"/>
    </row>
    <row r="239" spans="1:20">
      <c r="A239" s="318"/>
      <c r="B239" s="319"/>
      <c r="C239" s="318"/>
      <c r="D239" s="318"/>
      <c r="E239" s="319"/>
      <c r="F239" s="319"/>
      <c r="G239" s="318" t="s">
        <v>2471</v>
      </c>
      <c r="H239" s="318">
        <v>4.4930000000000003</v>
      </c>
      <c r="I239" s="318">
        <v>1</v>
      </c>
      <c r="J239" s="318">
        <f t="shared" si="25"/>
        <v>1</v>
      </c>
      <c r="K239" s="318">
        <f t="shared" si="26"/>
        <v>4.4930000000000003</v>
      </c>
      <c r="L239" s="350" t="s">
        <v>2830</v>
      </c>
      <c r="M239" s="350" t="s">
        <v>2824</v>
      </c>
      <c r="N239" s="318">
        <v>1</v>
      </c>
      <c r="O239" s="619">
        <f t="shared" si="27"/>
        <v>4.4930000000000003</v>
      </c>
      <c r="P239" s="750">
        <v>1</v>
      </c>
      <c r="Q239" s="750"/>
      <c r="R239" s="337">
        <v>1</v>
      </c>
      <c r="S239" s="348">
        <f t="shared" si="28"/>
        <v>4.4930000000000003</v>
      </c>
      <c r="T239" s="319"/>
    </row>
    <row r="240" spans="1:20">
      <c r="A240" s="318"/>
      <c r="B240" s="319"/>
      <c r="C240" s="318"/>
      <c r="D240" s="318"/>
      <c r="E240" s="319"/>
      <c r="F240" s="319"/>
      <c r="G240" s="318" t="s">
        <v>2472</v>
      </c>
      <c r="H240" s="318">
        <v>4.4930000000000003</v>
      </c>
      <c r="I240" s="318">
        <v>1</v>
      </c>
      <c r="J240" s="318">
        <f t="shared" si="25"/>
        <v>1</v>
      </c>
      <c r="K240" s="318">
        <f t="shared" si="26"/>
        <v>4.4930000000000003</v>
      </c>
      <c r="L240" s="350" t="s">
        <v>2830</v>
      </c>
      <c r="M240" s="350" t="s">
        <v>2824</v>
      </c>
      <c r="N240" s="318">
        <v>1</v>
      </c>
      <c r="O240" s="619">
        <f t="shared" si="27"/>
        <v>4.4930000000000003</v>
      </c>
      <c r="P240" s="750">
        <v>1</v>
      </c>
      <c r="Q240" s="750"/>
      <c r="R240" s="337">
        <v>1</v>
      </c>
      <c r="S240" s="348">
        <f t="shared" si="28"/>
        <v>4.4930000000000003</v>
      </c>
      <c r="T240" s="319"/>
    </row>
    <row r="241" spans="1:20">
      <c r="A241" s="318"/>
      <c r="B241" s="319"/>
      <c r="C241" s="318"/>
      <c r="D241" s="318"/>
      <c r="E241" s="319"/>
      <c r="F241" s="336"/>
      <c r="G241" s="318" t="s">
        <v>2473</v>
      </c>
      <c r="H241" s="318">
        <v>4.4930000000000003</v>
      </c>
      <c r="I241" s="318">
        <v>1</v>
      </c>
      <c r="J241" s="318">
        <f t="shared" si="25"/>
        <v>1</v>
      </c>
      <c r="K241" s="318">
        <f t="shared" si="26"/>
        <v>4.4930000000000003</v>
      </c>
      <c r="L241" s="350" t="s">
        <v>2821</v>
      </c>
      <c r="M241" s="350" t="s">
        <v>2815</v>
      </c>
      <c r="N241" s="318">
        <v>1</v>
      </c>
      <c r="O241" s="619">
        <f t="shared" si="27"/>
        <v>4.4930000000000003</v>
      </c>
      <c r="P241" s="750">
        <v>1</v>
      </c>
      <c r="Q241" s="750"/>
      <c r="R241" s="337">
        <v>1</v>
      </c>
      <c r="S241" s="348">
        <f t="shared" si="28"/>
        <v>4.4930000000000003</v>
      </c>
      <c r="T241" s="319"/>
    </row>
    <row r="242" spans="1:20">
      <c r="A242" s="318"/>
      <c r="B242" s="319"/>
      <c r="C242" s="318"/>
      <c r="D242" s="318"/>
      <c r="E242" s="319"/>
      <c r="F242" s="319"/>
      <c r="G242" s="318" t="s">
        <v>2474</v>
      </c>
      <c r="H242" s="318">
        <v>4.4930000000000003</v>
      </c>
      <c r="I242" s="318">
        <v>1</v>
      </c>
      <c r="J242" s="318">
        <f t="shared" si="25"/>
        <v>1</v>
      </c>
      <c r="K242" s="318">
        <f t="shared" si="26"/>
        <v>4.4930000000000003</v>
      </c>
      <c r="L242" s="350" t="s">
        <v>2821</v>
      </c>
      <c r="M242" s="350" t="s">
        <v>2815</v>
      </c>
      <c r="N242" s="318">
        <v>1</v>
      </c>
      <c r="O242" s="619">
        <f t="shared" si="27"/>
        <v>4.4930000000000003</v>
      </c>
      <c r="P242" s="750">
        <v>1</v>
      </c>
      <c r="Q242" s="750"/>
      <c r="R242" s="337">
        <v>1</v>
      </c>
      <c r="S242" s="348">
        <f t="shared" si="28"/>
        <v>4.4930000000000003</v>
      </c>
      <c r="T242" s="319"/>
    </row>
    <row r="243" spans="1:20">
      <c r="A243" s="318"/>
      <c r="B243" s="319"/>
      <c r="C243" s="318"/>
      <c r="D243" s="318"/>
      <c r="E243" s="319"/>
      <c r="F243" s="319"/>
      <c r="G243" s="318" t="s">
        <v>2475</v>
      </c>
      <c r="H243" s="318">
        <v>2.46</v>
      </c>
      <c r="I243" s="318">
        <v>1</v>
      </c>
      <c r="J243" s="318">
        <f t="shared" si="25"/>
        <v>1</v>
      </c>
      <c r="K243" s="318">
        <f t="shared" si="26"/>
        <v>2.46</v>
      </c>
      <c r="L243" s="350" t="s">
        <v>2879</v>
      </c>
      <c r="M243" s="350" t="s">
        <v>2874</v>
      </c>
      <c r="N243" s="318">
        <v>1</v>
      </c>
      <c r="O243" s="619">
        <f t="shared" si="27"/>
        <v>2.46</v>
      </c>
      <c r="P243" s="750">
        <v>1</v>
      </c>
      <c r="Q243" s="750"/>
      <c r="R243" s="337">
        <v>1</v>
      </c>
      <c r="S243" s="348">
        <f t="shared" si="28"/>
        <v>2.46</v>
      </c>
      <c r="T243" s="319"/>
    </row>
    <row r="244" spans="1:20">
      <c r="A244" s="318"/>
      <c r="B244" s="319"/>
      <c r="C244" s="318"/>
      <c r="D244" s="318"/>
      <c r="E244" s="319"/>
      <c r="F244" s="319"/>
      <c r="G244" s="318" t="s">
        <v>2476</v>
      </c>
      <c r="H244" s="318">
        <v>2.0699999999999998</v>
      </c>
      <c r="I244" s="318">
        <v>1</v>
      </c>
      <c r="J244" s="318">
        <f t="shared" si="25"/>
        <v>1</v>
      </c>
      <c r="K244" s="318">
        <f t="shared" si="26"/>
        <v>2.0699999999999998</v>
      </c>
      <c r="L244" s="350" t="s">
        <v>2799</v>
      </c>
      <c r="M244" s="318">
        <v>206</v>
      </c>
      <c r="N244" s="318">
        <v>1</v>
      </c>
      <c r="O244" s="619">
        <f t="shared" si="27"/>
        <v>2.0699999999999998</v>
      </c>
      <c r="P244" s="750">
        <v>1</v>
      </c>
      <c r="Q244" s="750"/>
      <c r="R244" s="337">
        <v>1</v>
      </c>
      <c r="S244" s="348">
        <f t="shared" si="28"/>
        <v>2.0699999999999998</v>
      </c>
      <c r="T244" s="319"/>
    </row>
    <row r="245" spans="1:20">
      <c r="A245" s="318"/>
      <c r="B245" s="319"/>
      <c r="C245" s="318"/>
      <c r="D245" s="318"/>
      <c r="E245" s="319"/>
      <c r="F245" s="319"/>
      <c r="G245" s="318" t="s">
        <v>2477</v>
      </c>
      <c r="H245" s="318">
        <v>4.18</v>
      </c>
      <c r="I245" s="318">
        <v>1</v>
      </c>
      <c r="J245" s="318">
        <f t="shared" si="25"/>
        <v>1</v>
      </c>
      <c r="K245" s="318">
        <f t="shared" si="26"/>
        <v>4.18</v>
      </c>
      <c r="L245" s="318">
        <v>1987</v>
      </c>
      <c r="M245" s="318">
        <v>182</v>
      </c>
      <c r="N245" s="318">
        <v>1</v>
      </c>
      <c r="O245" s="619">
        <f t="shared" si="27"/>
        <v>4.18</v>
      </c>
      <c r="P245" s="750">
        <v>1</v>
      </c>
      <c r="Q245" s="750"/>
      <c r="R245" s="337">
        <v>1</v>
      </c>
      <c r="S245" s="348">
        <f t="shared" si="28"/>
        <v>4.18</v>
      </c>
      <c r="T245" s="319"/>
    </row>
    <row r="246" spans="1:20">
      <c r="A246" s="318"/>
      <c r="B246" s="319"/>
      <c r="C246" s="318"/>
      <c r="D246" s="318"/>
      <c r="E246" s="319"/>
      <c r="F246" s="319"/>
      <c r="G246" s="318" t="s">
        <v>2478</v>
      </c>
      <c r="H246" s="318">
        <v>4.18</v>
      </c>
      <c r="I246" s="318">
        <v>1</v>
      </c>
      <c r="J246" s="318">
        <f t="shared" si="25"/>
        <v>1</v>
      </c>
      <c r="K246" s="318">
        <f t="shared" si="26"/>
        <v>4.18</v>
      </c>
      <c r="L246" s="318">
        <v>1987</v>
      </c>
      <c r="M246" s="318">
        <v>182</v>
      </c>
      <c r="N246" s="318">
        <v>1</v>
      </c>
      <c r="O246" s="619">
        <f t="shared" ref="O246:O262" si="29">H246*N246</f>
        <v>4.18</v>
      </c>
      <c r="P246" s="750">
        <v>1</v>
      </c>
      <c r="Q246" s="750"/>
      <c r="R246" s="337">
        <v>1</v>
      </c>
      <c r="S246" s="348">
        <f t="shared" si="28"/>
        <v>4.18</v>
      </c>
      <c r="T246" s="319"/>
    </row>
    <row r="247" spans="1:20">
      <c r="A247" s="318"/>
      <c r="B247" s="319"/>
      <c r="C247" s="318"/>
      <c r="D247" s="318"/>
      <c r="E247" s="319"/>
      <c r="F247" s="319"/>
      <c r="G247" s="318" t="s">
        <v>2479</v>
      </c>
      <c r="H247" s="318">
        <v>4.18</v>
      </c>
      <c r="I247" s="318">
        <v>1</v>
      </c>
      <c r="J247" s="318">
        <f t="shared" si="25"/>
        <v>1</v>
      </c>
      <c r="K247" s="318">
        <f t="shared" si="26"/>
        <v>4.18</v>
      </c>
      <c r="L247" s="350" t="s">
        <v>3064</v>
      </c>
      <c r="M247" s="318">
        <v>182</v>
      </c>
      <c r="N247" s="318">
        <v>1</v>
      </c>
      <c r="O247" s="619">
        <f t="shared" si="29"/>
        <v>4.18</v>
      </c>
      <c r="P247" s="750">
        <v>1</v>
      </c>
      <c r="Q247" s="750"/>
      <c r="R247" s="337">
        <v>1</v>
      </c>
      <c r="S247" s="348">
        <f t="shared" si="28"/>
        <v>4.18</v>
      </c>
      <c r="T247" s="319"/>
    </row>
    <row r="248" spans="1:20">
      <c r="A248" s="318"/>
      <c r="B248" s="319"/>
      <c r="C248" s="318"/>
      <c r="D248" s="318"/>
      <c r="E248" s="319"/>
      <c r="F248" s="319"/>
      <c r="G248" s="318" t="s">
        <v>2480</v>
      </c>
      <c r="H248" s="318">
        <v>4.18</v>
      </c>
      <c r="I248" s="318">
        <v>1</v>
      </c>
      <c r="J248" s="318">
        <f t="shared" si="25"/>
        <v>1</v>
      </c>
      <c r="K248" s="318">
        <f t="shared" si="26"/>
        <v>4.18</v>
      </c>
      <c r="L248" s="318">
        <v>2034</v>
      </c>
      <c r="M248" s="318">
        <v>188</v>
      </c>
      <c r="N248" s="318">
        <v>1</v>
      </c>
      <c r="O248" s="619">
        <f t="shared" si="29"/>
        <v>4.18</v>
      </c>
      <c r="P248" s="750">
        <v>1</v>
      </c>
      <c r="Q248" s="750"/>
      <c r="R248" s="337">
        <v>1</v>
      </c>
      <c r="S248" s="348">
        <f t="shared" si="28"/>
        <v>4.18</v>
      </c>
      <c r="T248" s="319"/>
    </row>
    <row r="249" spans="1:20">
      <c r="A249" s="318"/>
      <c r="B249" s="319"/>
      <c r="C249" s="318"/>
      <c r="D249" s="318"/>
      <c r="E249" s="319"/>
      <c r="F249" s="319"/>
      <c r="G249" s="318" t="s">
        <v>2481</v>
      </c>
      <c r="H249" s="318">
        <v>4.18</v>
      </c>
      <c r="I249" s="318">
        <v>1</v>
      </c>
      <c r="J249" s="318">
        <f t="shared" si="25"/>
        <v>1</v>
      </c>
      <c r="K249" s="318">
        <f t="shared" si="26"/>
        <v>4.18</v>
      </c>
      <c r="L249" s="318">
        <v>2034</v>
      </c>
      <c r="M249" s="318">
        <v>188</v>
      </c>
      <c r="N249" s="318">
        <v>1</v>
      </c>
      <c r="O249" s="619">
        <f t="shared" si="29"/>
        <v>4.18</v>
      </c>
      <c r="P249" s="750">
        <v>1</v>
      </c>
      <c r="Q249" s="750"/>
      <c r="R249" s="337">
        <v>1</v>
      </c>
      <c r="S249" s="348">
        <f t="shared" si="28"/>
        <v>4.18</v>
      </c>
      <c r="T249" s="319"/>
    </row>
    <row r="250" spans="1:20">
      <c r="A250" s="318"/>
      <c r="B250" s="319"/>
      <c r="C250" s="318"/>
      <c r="D250" s="318"/>
      <c r="E250" s="319"/>
      <c r="F250" s="319"/>
      <c r="G250" s="318" t="s">
        <v>2482</v>
      </c>
      <c r="H250" s="318">
        <v>4.18</v>
      </c>
      <c r="I250" s="318">
        <v>1</v>
      </c>
      <c r="J250" s="318">
        <f t="shared" si="25"/>
        <v>1</v>
      </c>
      <c r="K250" s="318">
        <f t="shared" si="26"/>
        <v>4.18</v>
      </c>
      <c r="L250" s="318">
        <v>2030</v>
      </c>
      <c r="M250" s="318">
        <v>187</v>
      </c>
      <c r="N250" s="318">
        <v>1</v>
      </c>
      <c r="O250" s="619">
        <f t="shared" si="29"/>
        <v>4.18</v>
      </c>
      <c r="P250" s="750">
        <v>1</v>
      </c>
      <c r="Q250" s="750"/>
      <c r="R250" s="337">
        <v>1</v>
      </c>
      <c r="S250" s="348">
        <f t="shared" si="28"/>
        <v>4.18</v>
      </c>
      <c r="T250" s="319"/>
    </row>
    <row r="251" spans="1:20">
      <c r="A251" s="318"/>
      <c r="B251" s="319"/>
      <c r="C251" s="318"/>
      <c r="D251" s="318"/>
      <c r="E251" s="319"/>
      <c r="F251" s="319"/>
      <c r="G251" s="318" t="s">
        <v>2483</v>
      </c>
      <c r="H251" s="318">
        <v>4.18</v>
      </c>
      <c r="I251" s="318">
        <v>1</v>
      </c>
      <c r="J251" s="318">
        <f t="shared" si="25"/>
        <v>1</v>
      </c>
      <c r="K251" s="318">
        <f t="shared" si="26"/>
        <v>4.18</v>
      </c>
      <c r="L251" s="318">
        <v>2030</v>
      </c>
      <c r="M251" s="318">
        <v>187</v>
      </c>
      <c r="N251" s="318">
        <v>1</v>
      </c>
      <c r="O251" s="619">
        <f t="shared" si="29"/>
        <v>4.18</v>
      </c>
      <c r="P251" s="750">
        <v>1</v>
      </c>
      <c r="Q251" s="750"/>
      <c r="R251" s="337">
        <v>1</v>
      </c>
      <c r="S251" s="348">
        <f t="shared" si="28"/>
        <v>4.18</v>
      </c>
      <c r="T251" s="319"/>
    </row>
    <row r="252" spans="1:20">
      <c r="A252" s="318"/>
      <c r="B252" s="319"/>
      <c r="C252" s="318"/>
      <c r="D252" s="318"/>
      <c r="E252" s="319"/>
      <c r="F252" s="319"/>
      <c r="G252" s="318" t="s">
        <v>2484</v>
      </c>
      <c r="H252" s="318">
        <v>2.72</v>
      </c>
      <c r="I252" s="318">
        <v>1</v>
      </c>
      <c r="J252" s="318">
        <v>1</v>
      </c>
      <c r="K252" s="318">
        <f t="shared" si="26"/>
        <v>2.72</v>
      </c>
      <c r="L252" s="350" t="s">
        <v>3258</v>
      </c>
      <c r="M252" s="350" t="s">
        <v>3259</v>
      </c>
      <c r="N252" s="318">
        <v>1</v>
      </c>
      <c r="O252" s="619">
        <f t="shared" si="29"/>
        <v>2.72</v>
      </c>
      <c r="P252" s="750">
        <v>1</v>
      </c>
      <c r="Q252" s="750"/>
      <c r="R252" s="337">
        <v>1</v>
      </c>
      <c r="S252" s="348">
        <f t="shared" si="28"/>
        <v>2.72</v>
      </c>
      <c r="T252" s="319"/>
    </row>
    <row r="253" spans="1:20" ht="15" thickBot="1">
      <c r="A253" s="318"/>
      <c r="B253" s="319"/>
      <c r="C253" s="318"/>
      <c r="D253" s="318"/>
      <c r="E253" s="319"/>
      <c r="F253" s="319"/>
      <c r="G253" s="318" t="s">
        <v>2485</v>
      </c>
      <c r="H253" s="318">
        <v>2.72</v>
      </c>
      <c r="I253" s="318">
        <v>1</v>
      </c>
      <c r="J253" s="318">
        <v>1</v>
      </c>
      <c r="K253" s="318">
        <f t="shared" si="26"/>
        <v>2.72</v>
      </c>
      <c r="L253" s="350" t="s">
        <v>3258</v>
      </c>
      <c r="M253" s="350" t="s">
        <v>3259</v>
      </c>
      <c r="N253" s="318">
        <v>1</v>
      </c>
      <c r="O253" s="619">
        <f t="shared" si="29"/>
        <v>2.72</v>
      </c>
      <c r="P253" s="750">
        <v>1</v>
      </c>
      <c r="Q253" s="750"/>
      <c r="R253" s="592">
        <v>1</v>
      </c>
      <c r="S253" s="348">
        <f t="shared" si="28"/>
        <v>2.72</v>
      </c>
      <c r="T253" s="319"/>
    </row>
    <row r="254" spans="1:20" ht="15.6" thickTop="1" thickBot="1">
      <c r="A254" s="318"/>
      <c r="B254" s="319"/>
      <c r="C254" s="318"/>
      <c r="D254" s="318"/>
      <c r="E254" s="319"/>
      <c r="F254" s="319"/>
      <c r="G254" s="649" t="s">
        <v>2486</v>
      </c>
      <c r="H254" s="318">
        <v>4.49</v>
      </c>
      <c r="I254" s="318">
        <v>1</v>
      </c>
      <c r="J254" s="318">
        <v>1</v>
      </c>
      <c r="K254" s="318">
        <f t="shared" si="26"/>
        <v>4.49</v>
      </c>
      <c r="L254" s="350" t="s">
        <v>3258</v>
      </c>
      <c r="M254" s="350" t="s">
        <v>3259</v>
      </c>
      <c r="N254" s="318"/>
      <c r="O254" s="619">
        <f t="shared" si="29"/>
        <v>0</v>
      </c>
      <c r="P254" s="750"/>
      <c r="Q254" s="747"/>
      <c r="R254" s="624"/>
      <c r="S254" s="348">
        <f t="shared" si="28"/>
        <v>0</v>
      </c>
      <c r="T254" s="583" t="s">
        <v>3349</v>
      </c>
    </row>
    <row r="255" spans="1:20" ht="15.6" thickTop="1" thickBot="1">
      <c r="A255" s="318"/>
      <c r="B255" s="319"/>
      <c r="C255" s="318"/>
      <c r="D255" s="318"/>
      <c r="E255" s="319"/>
      <c r="F255" s="319"/>
      <c r="G255" s="652" t="s">
        <v>2487</v>
      </c>
      <c r="H255" s="318">
        <v>4.49</v>
      </c>
      <c r="I255" s="318">
        <v>1</v>
      </c>
      <c r="J255" s="318">
        <v>1</v>
      </c>
      <c r="K255" s="318">
        <f t="shared" si="26"/>
        <v>4.49</v>
      </c>
      <c r="L255" s="318"/>
      <c r="M255" s="318"/>
      <c r="N255" s="318"/>
      <c r="O255" s="619">
        <f t="shared" si="29"/>
        <v>0</v>
      </c>
      <c r="P255" s="750"/>
      <c r="Q255" s="747"/>
      <c r="R255" s="624"/>
      <c r="S255" s="348">
        <f t="shared" si="28"/>
        <v>0</v>
      </c>
      <c r="T255" s="583" t="s">
        <v>3349</v>
      </c>
    </row>
    <row r="256" spans="1:20" ht="15.6" thickTop="1" thickBot="1">
      <c r="A256" s="318"/>
      <c r="B256" s="319"/>
      <c r="C256" s="318"/>
      <c r="D256" s="318"/>
      <c r="E256" s="319"/>
      <c r="F256" s="319"/>
      <c r="G256" s="652" t="s">
        <v>2488</v>
      </c>
      <c r="H256" s="318">
        <v>4.49</v>
      </c>
      <c r="I256" s="318">
        <v>1</v>
      </c>
      <c r="J256" s="318">
        <v>1</v>
      </c>
      <c r="K256" s="318">
        <f t="shared" si="26"/>
        <v>4.49</v>
      </c>
      <c r="L256" s="318"/>
      <c r="M256" s="318"/>
      <c r="N256" s="318"/>
      <c r="O256" s="619">
        <f t="shared" si="29"/>
        <v>0</v>
      </c>
      <c r="P256" s="750"/>
      <c r="Q256" s="747"/>
      <c r="R256" s="624"/>
      <c r="S256" s="348">
        <f t="shared" si="28"/>
        <v>0</v>
      </c>
      <c r="T256" s="583" t="s">
        <v>3210</v>
      </c>
    </row>
    <row r="257" spans="1:20" ht="15.6" thickTop="1" thickBot="1">
      <c r="A257" s="318"/>
      <c r="B257" s="319"/>
      <c r="C257" s="318"/>
      <c r="D257" s="318"/>
      <c r="E257" s="319"/>
      <c r="F257" s="319"/>
      <c r="G257" s="652" t="s">
        <v>2489</v>
      </c>
      <c r="H257" s="318">
        <v>4.49</v>
      </c>
      <c r="I257" s="318">
        <v>1</v>
      </c>
      <c r="J257" s="318">
        <v>1</v>
      </c>
      <c r="K257" s="318">
        <f t="shared" si="26"/>
        <v>4.49</v>
      </c>
      <c r="L257" s="318"/>
      <c r="M257" s="318"/>
      <c r="N257" s="318"/>
      <c r="O257" s="619">
        <f t="shared" si="29"/>
        <v>0</v>
      </c>
      <c r="P257" s="750"/>
      <c r="Q257" s="747"/>
      <c r="R257" s="624"/>
      <c r="S257" s="348">
        <f t="shared" si="28"/>
        <v>0</v>
      </c>
      <c r="T257" s="583" t="s">
        <v>3210</v>
      </c>
    </row>
    <row r="258" spans="1:20" ht="15.6" thickTop="1" thickBot="1">
      <c r="A258" s="318"/>
      <c r="B258" s="319"/>
      <c r="C258" s="318"/>
      <c r="D258" s="318"/>
      <c r="E258" s="319"/>
      <c r="F258" s="319"/>
      <c r="G258" s="649" t="s">
        <v>2490</v>
      </c>
      <c r="H258" s="318">
        <v>4.49</v>
      </c>
      <c r="I258" s="318">
        <v>1</v>
      </c>
      <c r="J258" s="318">
        <v>1</v>
      </c>
      <c r="K258" s="318">
        <f t="shared" si="26"/>
        <v>4.49</v>
      </c>
      <c r="L258" s="350" t="s">
        <v>3275</v>
      </c>
      <c r="M258" s="318">
        <v>270</v>
      </c>
      <c r="N258" s="318">
        <v>0.5</v>
      </c>
      <c r="O258" s="619">
        <f t="shared" si="29"/>
        <v>2.2450000000000001</v>
      </c>
      <c r="P258" s="750"/>
      <c r="Q258" s="747"/>
      <c r="R258" s="624"/>
      <c r="S258" s="348">
        <f t="shared" si="28"/>
        <v>0</v>
      </c>
      <c r="T258" s="583" t="s">
        <v>3210</v>
      </c>
    </row>
    <row r="259" spans="1:20" ht="15.6" thickTop="1" thickBot="1">
      <c r="A259" s="318"/>
      <c r="B259" s="319"/>
      <c r="C259" s="318"/>
      <c r="D259" s="318"/>
      <c r="E259" s="319"/>
      <c r="F259" s="319"/>
      <c r="G259" s="649" t="s">
        <v>2491</v>
      </c>
      <c r="H259" s="318">
        <v>4.49</v>
      </c>
      <c r="I259" s="318">
        <v>1</v>
      </c>
      <c r="J259" s="318">
        <v>1</v>
      </c>
      <c r="K259" s="318">
        <f t="shared" si="26"/>
        <v>4.49</v>
      </c>
      <c r="L259" s="350" t="s">
        <v>3275</v>
      </c>
      <c r="M259" s="318">
        <v>270</v>
      </c>
      <c r="N259" s="318">
        <v>0.5</v>
      </c>
      <c r="O259" s="619">
        <f t="shared" si="29"/>
        <v>2.2450000000000001</v>
      </c>
      <c r="P259" s="750"/>
      <c r="Q259" s="747"/>
      <c r="R259" s="624"/>
      <c r="S259" s="348">
        <f t="shared" si="28"/>
        <v>0</v>
      </c>
      <c r="T259" s="583" t="s">
        <v>3210</v>
      </c>
    </row>
    <row r="260" spans="1:20" ht="15.6" thickTop="1" thickBot="1">
      <c r="A260" s="318"/>
      <c r="B260" s="319"/>
      <c r="C260" s="318"/>
      <c r="D260" s="318"/>
      <c r="E260" s="319"/>
      <c r="F260" s="319"/>
      <c r="G260" s="652" t="s">
        <v>2492</v>
      </c>
      <c r="H260" s="318">
        <v>4.49</v>
      </c>
      <c r="I260" s="318">
        <v>1</v>
      </c>
      <c r="J260" s="318">
        <v>1</v>
      </c>
      <c r="K260" s="318">
        <f t="shared" si="26"/>
        <v>4.49</v>
      </c>
      <c r="L260" s="318"/>
      <c r="M260" s="318"/>
      <c r="N260" s="318"/>
      <c r="O260" s="619">
        <f t="shared" si="29"/>
        <v>0</v>
      </c>
      <c r="P260" s="750"/>
      <c r="Q260" s="747"/>
      <c r="R260" s="624"/>
      <c r="S260" s="348">
        <f t="shared" si="28"/>
        <v>0</v>
      </c>
      <c r="T260" s="583" t="s">
        <v>3210</v>
      </c>
    </row>
    <row r="261" spans="1:20" ht="15.6" thickTop="1" thickBot="1">
      <c r="A261" s="318"/>
      <c r="B261" s="319"/>
      <c r="C261" s="318"/>
      <c r="D261" s="318"/>
      <c r="E261" s="319"/>
      <c r="F261" s="319"/>
      <c r="G261" s="649" t="s">
        <v>2493</v>
      </c>
      <c r="H261" s="318">
        <v>4.49</v>
      </c>
      <c r="I261" s="318">
        <v>1</v>
      </c>
      <c r="J261" s="318">
        <v>1</v>
      </c>
      <c r="K261" s="318">
        <f t="shared" si="26"/>
        <v>4.49</v>
      </c>
      <c r="L261" s="350" t="s">
        <v>3401</v>
      </c>
      <c r="M261" s="350" t="s">
        <v>3402</v>
      </c>
      <c r="N261" s="318">
        <v>1</v>
      </c>
      <c r="O261" s="619">
        <f t="shared" si="29"/>
        <v>4.49</v>
      </c>
      <c r="P261" s="750"/>
      <c r="Q261" s="747"/>
      <c r="R261" s="624"/>
      <c r="S261" s="348">
        <f t="shared" si="28"/>
        <v>0</v>
      </c>
      <c r="T261" s="583" t="s">
        <v>3210</v>
      </c>
    </row>
    <row r="262" spans="1:20" ht="15.6" thickTop="1" thickBot="1">
      <c r="A262" s="318"/>
      <c r="B262" s="319"/>
      <c r="C262" s="318"/>
      <c r="D262" s="318"/>
      <c r="E262" s="319"/>
      <c r="F262" s="336"/>
      <c r="G262" s="649" t="s">
        <v>2494</v>
      </c>
      <c r="H262" s="318">
        <v>4.49</v>
      </c>
      <c r="I262" s="318">
        <v>1</v>
      </c>
      <c r="J262" s="318">
        <v>1</v>
      </c>
      <c r="K262" s="318">
        <f t="shared" si="26"/>
        <v>4.49</v>
      </c>
      <c r="L262" s="350" t="s">
        <v>3401</v>
      </c>
      <c r="M262" s="350" t="s">
        <v>3402</v>
      </c>
      <c r="N262" s="318">
        <v>1</v>
      </c>
      <c r="O262" s="619">
        <f t="shared" si="29"/>
        <v>4.49</v>
      </c>
      <c r="P262" s="750"/>
      <c r="Q262" s="747"/>
      <c r="R262" s="624"/>
      <c r="S262" s="348">
        <f t="shared" si="28"/>
        <v>0</v>
      </c>
      <c r="T262" s="583" t="s">
        <v>3210</v>
      </c>
    </row>
    <row r="263" spans="1:20" ht="15.6" thickTop="1" thickBot="1">
      <c r="A263" s="318"/>
      <c r="B263" s="319"/>
      <c r="C263" s="318"/>
      <c r="D263" s="318"/>
      <c r="E263" s="319"/>
      <c r="F263" s="336"/>
      <c r="G263" s="318" t="s">
        <v>2495</v>
      </c>
      <c r="H263" s="318">
        <v>4.49</v>
      </c>
      <c r="I263" s="318">
        <v>1</v>
      </c>
      <c r="J263" s="318">
        <v>1</v>
      </c>
      <c r="K263" s="318">
        <f t="shared" si="26"/>
        <v>4.49</v>
      </c>
      <c r="L263" s="350" t="s">
        <v>3401</v>
      </c>
      <c r="M263" s="350" t="s">
        <v>3402</v>
      </c>
      <c r="N263" s="318">
        <v>1</v>
      </c>
      <c r="O263" s="619">
        <f t="shared" ref="O263:O272" si="30">H263*N263</f>
        <v>4.49</v>
      </c>
      <c r="P263" s="632">
        <v>1</v>
      </c>
      <c r="Q263" s="746"/>
      <c r="R263" s="746">
        <v>1</v>
      </c>
      <c r="S263" s="348">
        <f t="shared" si="28"/>
        <v>4.49</v>
      </c>
      <c r="T263" s="319" t="s">
        <v>3394</v>
      </c>
    </row>
    <row r="264" spans="1:20" ht="15" thickTop="1">
      <c r="A264" s="318"/>
      <c r="B264" s="319"/>
      <c r="C264" s="318"/>
      <c r="D264" s="318"/>
      <c r="E264" s="319"/>
      <c r="F264" s="319"/>
      <c r="G264" s="318" t="s">
        <v>2496</v>
      </c>
      <c r="H264" s="318">
        <v>4.49</v>
      </c>
      <c r="I264" s="318">
        <v>1</v>
      </c>
      <c r="J264" s="318">
        <v>1</v>
      </c>
      <c r="K264" s="318">
        <f t="shared" si="26"/>
        <v>4.49</v>
      </c>
      <c r="L264" s="350" t="s">
        <v>3276</v>
      </c>
      <c r="M264" s="349">
        <v>270271</v>
      </c>
      <c r="N264" s="318">
        <v>1</v>
      </c>
      <c r="O264" s="318">
        <f t="shared" si="30"/>
        <v>4.49</v>
      </c>
      <c r="P264" s="337">
        <v>1</v>
      </c>
      <c r="Q264" s="337"/>
      <c r="R264" s="337">
        <v>1</v>
      </c>
      <c r="S264" s="348">
        <f t="shared" si="28"/>
        <v>4.49</v>
      </c>
      <c r="T264" s="319" t="s">
        <v>3325</v>
      </c>
    </row>
    <row r="265" spans="1:20">
      <c r="A265" s="318"/>
      <c r="B265" s="319"/>
      <c r="C265" s="318"/>
      <c r="D265" s="318"/>
      <c r="E265" s="319"/>
      <c r="F265" s="319"/>
      <c r="G265" s="318" t="s">
        <v>2497</v>
      </c>
      <c r="H265" s="318">
        <v>4.49</v>
      </c>
      <c r="I265" s="318">
        <v>1</v>
      </c>
      <c r="J265" s="318">
        <v>1</v>
      </c>
      <c r="K265" s="318">
        <f t="shared" si="26"/>
        <v>4.49</v>
      </c>
      <c r="L265" s="350" t="s">
        <v>3276</v>
      </c>
      <c r="M265" s="349">
        <v>270271</v>
      </c>
      <c r="N265" s="318">
        <v>1</v>
      </c>
      <c r="O265" s="318">
        <f t="shared" si="30"/>
        <v>4.49</v>
      </c>
      <c r="P265" s="337">
        <v>1</v>
      </c>
      <c r="Q265" s="337"/>
      <c r="R265" s="337">
        <v>1</v>
      </c>
      <c r="S265" s="348">
        <f t="shared" si="28"/>
        <v>4.49</v>
      </c>
      <c r="T265" s="319" t="s">
        <v>3325</v>
      </c>
    </row>
    <row r="266" spans="1:20">
      <c r="A266" s="318"/>
      <c r="B266" s="319"/>
      <c r="C266" s="318"/>
      <c r="D266" s="318"/>
      <c r="E266" s="319"/>
      <c r="F266" s="319"/>
      <c r="G266" s="318" t="s">
        <v>2498</v>
      </c>
      <c r="H266" s="318">
        <v>4.49</v>
      </c>
      <c r="I266" s="318">
        <v>1</v>
      </c>
      <c r="J266" s="318">
        <v>1</v>
      </c>
      <c r="K266" s="318">
        <f t="shared" si="26"/>
        <v>4.49</v>
      </c>
      <c r="L266" s="350" t="s">
        <v>3276</v>
      </c>
      <c r="M266" s="349">
        <v>270271</v>
      </c>
      <c r="N266" s="318">
        <v>1</v>
      </c>
      <c r="O266" s="318">
        <f t="shared" si="30"/>
        <v>4.49</v>
      </c>
      <c r="P266" s="337">
        <v>1</v>
      </c>
      <c r="Q266" s="337"/>
      <c r="R266" s="337">
        <v>1</v>
      </c>
      <c r="S266" s="348">
        <f t="shared" si="28"/>
        <v>4.49</v>
      </c>
      <c r="T266" s="319"/>
    </row>
    <row r="267" spans="1:20">
      <c r="A267" s="318"/>
      <c r="B267" s="319"/>
      <c r="C267" s="318"/>
      <c r="D267" s="318"/>
      <c r="E267" s="319"/>
      <c r="F267" s="319"/>
      <c r="G267" s="318" t="s">
        <v>2499</v>
      </c>
      <c r="H267" s="318">
        <v>4.49</v>
      </c>
      <c r="I267" s="318">
        <v>1</v>
      </c>
      <c r="J267" s="318">
        <f t="shared" si="25"/>
        <v>1</v>
      </c>
      <c r="K267" s="318">
        <f t="shared" si="26"/>
        <v>4.49</v>
      </c>
      <c r="L267" s="318">
        <v>2364</v>
      </c>
      <c r="M267" s="318">
        <v>232</v>
      </c>
      <c r="N267" s="318">
        <v>1</v>
      </c>
      <c r="O267" s="318">
        <f t="shared" si="30"/>
        <v>4.49</v>
      </c>
      <c r="P267" s="337">
        <v>1</v>
      </c>
      <c r="Q267" s="337"/>
      <c r="R267" s="337">
        <v>1</v>
      </c>
      <c r="S267" s="348">
        <f t="shared" si="28"/>
        <v>4.49</v>
      </c>
      <c r="T267" s="319"/>
    </row>
    <row r="268" spans="1:20">
      <c r="A268" s="318"/>
      <c r="B268" s="319"/>
      <c r="C268" s="318"/>
      <c r="D268" s="318"/>
      <c r="E268" s="319"/>
      <c r="F268" s="336"/>
      <c r="G268" s="318" t="s">
        <v>2500</v>
      </c>
      <c r="H268" s="318">
        <v>4.49</v>
      </c>
      <c r="I268" s="318">
        <v>1</v>
      </c>
      <c r="J268" s="318">
        <f t="shared" si="25"/>
        <v>1</v>
      </c>
      <c r="K268" s="318">
        <f t="shared" si="26"/>
        <v>4.49</v>
      </c>
      <c r="L268" s="318">
        <v>2364</v>
      </c>
      <c r="M268" s="318">
        <v>232</v>
      </c>
      <c r="N268" s="318">
        <v>1</v>
      </c>
      <c r="O268" s="318">
        <f t="shared" si="30"/>
        <v>4.49</v>
      </c>
      <c r="P268" s="337">
        <v>1</v>
      </c>
      <c r="Q268" s="337"/>
      <c r="R268" s="337">
        <v>1</v>
      </c>
      <c r="S268" s="348">
        <f t="shared" si="28"/>
        <v>4.49</v>
      </c>
      <c r="T268" s="319"/>
    </row>
    <row r="269" spans="1:20">
      <c r="A269" s="318"/>
      <c r="B269" s="319"/>
      <c r="C269" s="318"/>
      <c r="D269" s="318"/>
      <c r="E269" s="319"/>
      <c r="F269" s="319"/>
      <c r="G269" s="318" t="s">
        <v>2501</v>
      </c>
      <c r="H269" s="318">
        <v>4.49</v>
      </c>
      <c r="I269" s="318">
        <v>1</v>
      </c>
      <c r="J269" s="318">
        <f t="shared" si="25"/>
        <v>1</v>
      </c>
      <c r="K269" s="318">
        <f t="shared" si="26"/>
        <v>4.49</v>
      </c>
      <c r="L269" s="318">
        <v>2364</v>
      </c>
      <c r="M269" s="318">
        <v>232</v>
      </c>
      <c r="N269" s="318">
        <v>1</v>
      </c>
      <c r="O269" s="318">
        <f t="shared" si="30"/>
        <v>4.49</v>
      </c>
      <c r="P269" s="337">
        <v>1</v>
      </c>
      <c r="Q269" s="337"/>
      <c r="R269" s="337">
        <v>1</v>
      </c>
      <c r="S269" s="348">
        <f t="shared" si="28"/>
        <v>4.49</v>
      </c>
      <c r="T269" s="319"/>
    </row>
    <row r="270" spans="1:20">
      <c r="A270" s="318"/>
      <c r="B270" s="319"/>
      <c r="C270" s="318"/>
      <c r="D270" s="318"/>
      <c r="E270" s="319"/>
      <c r="F270" s="319"/>
      <c r="G270" s="318" t="s">
        <v>2502</v>
      </c>
      <c r="H270" s="318">
        <v>3.95</v>
      </c>
      <c r="I270" s="318">
        <v>1</v>
      </c>
      <c r="J270" s="318">
        <v>1</v>
      </c>
      <c r="K270" s="318">
        <f t="shared" si="26"/>
        <v>3.95</v>
      </c>
      <c r="L270" s="318"/>
      <c r="M270" s="318"/>
      <c r="N270" s="318">
        <v>1</v>
      </c>
      <c r="O270" s="318">
        <f t="shared" si="30"/>
        <v>3.95</v>
      </c>
      <c r="P270" s="337">
        <v>1</v>
      </c>
      <c r="Q270" s="337"/>
      <c r="R270" s="337">
        <v>1</v>
      </c>
      <c r="S270" s="348">
        <f t="shared" si="28"/>
        <v>3.95</v>
      </c>
      <c r="T270" s="319"/>
    </row>
    <row r="271" spans="1:20">
      <c r="A271" s="318"/>
      <c r="B271" s="319"/>
      <c r="C271" s="318"/>
      <c r="D271" s="318"/>
      <c r="E271" s="319"/>
      <c r="F271" s="319"/>
      <c r="G271" s="318" t="s">
        <v>2503</v>
      </c>
      <c r="H271" s="318">
        <v>3.83</v>
      </c>
      <c r="I271" s="318">
        <v>1</v>
      </c>
      <c r="J271" s="318">
        <f t="shared" si="25"/>
        <v>1</v>
      </c>
      <c r="K271" s="318">
        <f t="shared" si="26"/>
        <v>3.83</v>
      </c>
      <c r="L271" s="350" t="s">
        <v>3070</v>
      </c>
      <c r="M271" s="318"/>
      <c r="N271" s="318">
        <v>1</v>
      </c>
      <c r="O271" s="318">
        <f t="shared" si="30"/>
        <v>3.83</v>
      </c>
      <c r="P271" s="337">
        <v>1</v>
      </c>
      <c r="Q271" s="337"/>
      <c r="R271" s="337">
        <v>1</v>
      </c>
      <c r="S271" s="348">
        <f t="shared" si="28"/>
        <v>3.83</v>
      </c>
      <c r="T271" s="319"/>
    </row>
    <row r="272" spans="1:20">
      <c r="A272" s="318"/>
      <c r="B272" s="319"/>
      <c r="C272" s="318"/>
      <c r="D272" s="318"/>
      <c r="E272" s="319"/>
      <c r="F272" s="319"/>
      <c r="G272" s="318" t="s">
        <v>2504</v>
      </c>
      <c r="H272" s="318">
        <v>3.95</v>
      </c>
      <c r="I272" s="318">
        <v>1</v>
      </c>
      <c r="J272" s="318">
        <v>1</v>
      </c>
      <c r="K272" s="318">
        <f t="shared" si="26"/>
        <v>3.95</v>
      </c>
      <c r="L272" s="318"/>
      <c r="M272" s="318"/>
      <c r="N272" s="318">
        <v>1</v>
      </c>
      <c r="O272" s="318">
        <f t="shared" si="30"/>
        <v>3.95</v>
      </c>
      <c r="P272" s="337">
        <v>1</v>
      </c>
      <c r="Q272" s="337"/>
      <c r="R272" s="337">
        <v>1</v>
      </c>
      <c r="S272" s="348">
        <f t="shared" si="28"/>
        <v>3.95</v>
      </c>
      <c r="T272" s="319"/>
    </row>
    <row r="273" spans="1:20">
      <c r="A273" s="318"/>
      <c r="B273" s="319"/>
      <c r="C273" s="318"/>
      <c r="D273" s="318"/>
      <c r="E273" s="319"/>
      <c r="F273" s="319"/>
      <c r="G273" s="318"/>
      <c r="H273" s="318"/>
      <c r="I273" s="318"/>
      <c r="J273" s="382" t="s">
        <v>389</v>
      </c>
      <c r="K273" s="321">
        <f>SUM(K220:K272)</f>
        <v>211.67400000000015</v>
      </c>
      <c r="L273" s="318"/>
      <c r="M273" s="318"/>
      <c r="N273" s="382" t="s">
        <v>389</v>
      </c>
      <c r="O273" s="321">
        <f>SUM(O220:O272)</f>
        <v>184.73400000000009</v>
      </c>
      <c r="P273" s="382" t="s">
        <v>389</v>
      </c>
      <c r="Q273" s="382"/>
      <c r="R273" s="382"/>
      <c r="S273" s="321">
        <f>SUM(S220:S272)</f>
        <v>171.26400000000007</v>
      </c>
      <c r="T273" s="319"/>
    </row>
    <row r="274" spans="1:20" ht="6.75" customHeight="1">
      <c r="A274" s="316"/>
      <c r="B274" s="317"/>
      <c r="C274" s="316"/>
      <c r="D274" s="316"/>
      <c r="E274" s="317"/>
      <c r="F274" s="317"/>
      <c r="G274" s="316"/>
      <c r="H274" s="316"/>
      <c r="I274" s="316"/>
      <c r="J274" s="316"/>
      <c r="K274" s="316"/>
      <c r="L274" s="316"/>
      <c r="M274" s="316"/>
      <c r="N274" s="316"/>
      <c r="O274" s="316"/>
      <c r="P274" s="316"/>
      <c r="Q274" s="316"/>
      <c r="R274" s="316"/>
      <c r="S274" s="339"/>
      <c r="T274" s="317"/>
    </row>
    <row r="275" spans="1:20">
      <c r="A275" s="325"/>
      <c r="S275" s="383"/>
    </row>
    <row r="276" spans="1:20" ht="27.6">
      <c r="A276" s="313"/>
      <c r="B276" s="313"/>
      <c r="C276" s="313"/>
      <c r="D276" s="314"/>
      <c r="E276" s="314"/>
      <c r="F276" s="314"/>
      <c r="G276" s="314" t="s">
        <v>2291</v>
      </c>
      <c r="H276" s="314" t="s">
        <v>60</v>
      </c>
      <c r="I276" s="315" t="s">
        <v>380</v>
      </c>
      <c r="J276" s="315"/>
      <c r="K276" s="315" t="s">
        <v>3139</v>
      </c>
      <c r="L276" s="315"/>
      <c r="M276" s="315"/>
      <c r="N276" s="315" t="s">
        <v>381</v>
      </c>
      <c r="O276" s="315" t="s">
        <v>2289</v>
      </c>
      <c r="P276" s="315" t="s">
        <v>382</v>
      </c>
      <c r="Q276" s="315"/>
      <c r="R276" s="315"/>
      <c r="S276" s="315" t="s">
        <v>2290</v>
      </c>
      <c r="T276" s="314"/>
    </row>
    <row r="277" spans="1:20" s="345" customFormat="1" ht="28.2" customHeight="1">
      <c r="A277" s="342"/>
      <c r="B277" s="343"/>
      <c r="C277" s="343"/>
      <c r="D277" s="343"/>
      <c r="E277" s="343"/>
      <c r="F277" s="343"/>
      <c r="G277" s="342" t="s">
        <v>2871</v>
      </c>
      <c r="H277" s="344">
        <f>SUM(H6:H136)</f>
        <v>506.93500000000017</v>
      </c>
      <c r="I277" s="344">
        <f>SUM(I6:I78)</f>
        <v>72</v>
      </c>
      <c r="J277" s="344"/>
      <c r="K277" s="344">
        <f>SUM(K78,K137)</f>
        <v>500.10500000000013</v>
      </c>
      <c r="L277" s="343"/>
      <c r="M277" s="343"/>
      <c r="N277" s="346">
        <f>O277/H277</f>
        <v>0.96438399400317598</v>
      </c>
      <c r="O277" s="344">
        <f>SUM(O78,O137)</f>
        <v>488.88000000000017</v>
      </c>
      <c r="P277" s="346">
        <f>S277/H277</f>
        <v>0.9260615266257014</v>
      </c>
      <c r="Q277" s="346"/>
      <c r="R277" s="346"/>
      <c r="S277" s="344">
        <f>SUM(S78,S137)</f>
        <v>469.45300000000009</v>
      </c>
      <c r="T277" s="343"/>
    </row>
    <row r="278" spans="1:20" s="345" customFormat="1" ht="28.2" customHeight="1">
      <c r="A278" s="342"/>
      <c r="B278" s="343"/>
      <c r="C278" s="343"/>
      <c r="D278" s="343"/>
      <c r="E278" s="343"/>
      <c r="F278" s="343"/>
      <c r="G278" s="342" t="s">
        <v>2872</v>
      </c>
      <c r="H278" s="344">
        <f>SUM(H139:H274)</f>
        <v>506.22400000000022</v>
      </c>
      <c r="I278" s="344">
        <f>SUM(I80:I274)</f>
        <v>189</v>
      </c>
      <c r="J278" s="344"/>
      <c r="K278" s="344">
        <f>SUM(K218,K273)</f>
        <v>506.22400000000016</v>
      </c>
      <c r="L278" s="343"/>
      <c r="M278" s="343"/>
      <c r="N278" s="346">
        <f>O278/H278</f>
        <v>0.94234765637346307</v>
      </c>
      <c r="O278" s="344">
        <f>SUM(O218,O273)</f>
        <v>477.03900000000016</v>
      </c>
      <c r="P278" s="346">
        <f>S278/H278</f>
        <v>0.81004456525174595</v>
      </c>
      <c r="Q278" s="346"/>
      <c r="R278" s="346"/>
      <c r="S278" s="344">
        <f>SUM(S218,S273)</f>
        <v>410.06400000000002</v>
      </c>
      <c r="T278" s="343"/>
    </row>
    <row r="279" spans="1:20" ht="15" thickBot="1">
      <c r="A279" s="799"/>
      <c r="B279" s="800"/>
      <c r="C279" s="800"/>
      <c r="D279" s="800"/>
      <c r="E279" s="800"/>
      <c r="F279" s="800"/>
      <c r="G279" s="800"/>
      <c r="H279" s="800"/>
      <c r="I279" s="799"/>
      <c r="J279" s="799"/>
      <c r="K279" s="799"/>
      <c r="L279" s="799"/>
      <c r="M279" s="799"/>
      <c r="N279" s="800"/>
      <c r="O279" s="800"/>
      <c r="P279" s="800"/>
      <c r="Q279" s="800"/>
      <c r="R279" s="800"/>
      <c r="S279" s="800"/>
      <c r="T279" s="800"/>
    </row>
    <row r="280" spans="1:20" ht="30" thickTop="1" thickBot="1">
      <c r="A280" s="740"/>
      <c r="B280" s="741"/>
      <c r="C280" s="742"/>
      <c r="D280" s="742"/>
      <c r="E280" s="741"/>
      <c r="F280" s="741"/>
      <c r="G280" s="767" t="s">
        <v>3507</v>
      </c>
      <c r="H280" s="739">
        <f>H19+H20+H21++H22+H23+H24+H25+H72+H73+H74+H114+H115+H116+H117+H118+H119</f>
        <v>59.68</v>
      </c>
      <c r="I280" s="739">
        <f>I19+I20+I21++I22+I23+I24+I25+I72+I73+I74+I114+I115+I116+I117+I118+I119</f>
        <v>16</v>
      </c>
      <c r="J280" s="739">
        <f>J19+J20+J21++J22+J23+J24+J25+J72+J73+J74+J114+J115+J116+J117+J118+J119</f>
        <v>13</v>
      </c>
      <c r="K280" s="739">
        <f>K19+K20+K21++K22+K23+K24+K25+K72+K73+K74+K114+K115+K116+K117+K118+K119</f>
        <v>52.85</v>
      </c>
      <c r="L280" s="739"/>
      <c r="M280" s="739"/>
      <c r="N280" s="739">
        <f>N19+N20+N21++N22+N23+N24+N25+N72+N73+N74+N114+N115+N116+N117+N118+N119</f>
        <v>10.5</v>
      </c>
      <c r="O280" s="739">
        <f>O19+O20+O21++O22+O23+O24+O25+O72+O73+O74+O114+O115+O116+O117+O118+O119</f>
        <v>41.624999999999993</v>
      </c>
      <c r="P280" s="745"/>
      <c r="Q280" s="745"/>
      <c r="R280" s="768">
        <f>S280/H280</f>
        <v>0.37195040214477215</v>
      </c>
      <c r="S280" s="739">
        <f>S19+S20+S21++S22+S23+S24+S25+S72+S73+S74+S114+S115+S116+S117+S118+S119</f>
        <v>22.198</v>
      </c>
      <c r="T280" s="743"/>
    </row>
    <row r="281" spans="1:20" ht="30" thickTop="1" thickBot="1">
      <c r="A281" s="740"/>
      <c r="B281" s="741"/>
      <c r="C281" s="742"/>
      <c r="D281" s="742"/>
      <c r="E281" s="741"/>
      <c r="F281" s="741"/>
      <c r="G281" s="767" t="s">
        <v>3508</v>
      </c>
      <c r="H281" s="739">
        <f>H144+H145+H146+H147+H148+H149+H150+H151+H152+H153+H154+H155+H156+H254+H255+H256+H257+H258+H259+H260+H261+H262</f>
        <v>96.159999999999982</v>
      </c>
      <c r="I281" s="739">
        <f>I144+I145+I146+I147+I148+I149+I150+I151+I152+I153+I154+I155+I156+I254+I255+I256+I257+I258+I259+I260+I261+I262</f>
        <v>22</v>
      </c>
      <c r="J281" s="739">
        <f>J144+J145+J146+J147+J148+J149+J150+J151+J152+J153+J154+J155+J156+J254+J255+J256+J257+J258+J259+J260+J261+J262</f>
        <v>22</v>
      </c>
      <c r="K281" s="739">
        <f>K144+K145+K146+K147+K148+K149+K150+K151+K152+K153+K154+K155+K156+K254+K255+K256+K257+K258+K259+K260+K261+K262</f>
        <v>96.159999999999982</v>
      </c>
      <c r="L281" s="739"/>
      <c r="M281" s="739"/>
      <c r="N281" s="739">
        <f>N144+N145+N146+N147+N148+N149+N150+N151+N152+N153+N154+N155+N156+N254+N255+N256+N257+N258+N259+N260+N261+N262</f>
        <v>15.5</v>
      </c>
      <c r="O281" s="739">
        <f>O144+O145+O146+O147+O148+O149+O150+O151+O152+O153+O154+O155+O156+O254+O255+O256+O257+O258+O259+O260+O261+O262</f>
        <v>66.975000000000009</v>
      </c>
      <c r="P281" s="745"/>
      <c r="Q281" s="745"/>
      <c r="R281" s="768">
        <f>S281/H281</f>
        <v>0</v>
      </c>
      <c r="S281" s="739">
        <f>S144+S145+S146+S147+S148+S149+S150+S151+S152+S153+S154+S155+S156+S254+S255+S256+S257+S258+S259+S260+S261+S262</f>
        <v>0</v>
      </c>
      <c r="T281" s="743"/>
    </row>
    <row r="282" spans="1:20" ht="15" thickTop="1">
      <c r="A282" s="325"/>
    </row>
    <row r="284" spans="1:20">
      <c r="F284" s="657" t="s">
        <v>2308</v>
      </c>
      <c r="G284" s="651"/>
    </row>
    <row r="285" spans="1:20">
      <c r="F285" s="657" t="s">
        <v>3475</v>
      </c>
      <c r="G285" s="653"/>
    </row>
    <row r="286" spans="1:20">
      <c r="F286" s="657" t="s">
        <v>3478</v>
      </c>
      <c r="G286" s="658"/>
    </row>
  </sheetData>
  <mergeCells count="3">
    <mergeCell ref="J3:K3"/>
    <mergeCell ref="L3:O3"/>
    <mergeCell ref="P3:S3"/>
  </mergeCells>
  <phoneticPr fontId="65" type="noConversion"/>
  <conditionalFormatting sqref="J6:J78 J80:J137 J139:J218 J220:J272">
    <cfRule type="cellIs" dxfId="4" priority="1" stopIfTrue="1" operator="lessThan">
      <formula>1</formula>
    </cfRule>
  </conditionalFormatting>
  <pageMargins left="0.1" right="0.1" top="0.1" bottom="0.1" header="0.3" footer="0.3"/>
  <pageSetup paperSize="9" scale="48" orientation="portrait"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dimension ref="A2:AC1034"/>
  <sheetViews>
    <sheetView showGridLines="0" view="pageBreakPreview" topLeftCell="A19" zoomScale="85" zoomScaleNormal="100" zoomScaleSheetLayoutView="85" workbookViewId="0">
      <selection activeCell="Q1023" sqref="Q5:Q1023"/>
    </sheetView>
  </sheetViews>
  <sheetFormatPr defaultColWidth="9.109375" defaultRowHeight="14.4"/>
  <cols>
    <col min="1" max="1" width="6.88671875" style="306" customWidth="1"/>
    <col min="2" max="2" width="10.33203125" style="306" customWidth="1"/>
    <col min="3" max="5" width="7.88671875" style="306" customWidth="1"/>
    <col min="6" max="6" width="12.6640625" style="306" customWidth="1"/>
    <col min="7" max="7" width="11.109375" style="306" customWidth="1"/>
    <col min="8" max="8" width="8.6640625" style="306" customWidth="1"/>
    <col min="9" max="10" width="7.88671875" style="325" customWidth="1"/>
    <col min="11" max="11" width="13.6640625" style="325" customWidth="1"/>
    <col min="12" max="13" width="11.33203125" style="325" customWidth="1"/>
    <col min="14" max="14" width="7.88671875" style="306" customWidth="1"/>
    <col min="15" max="15" width="13.6640625" style="306" customWidth="1"/>
    <col min="16" max="18" width="10.6640625" style="306" customWidth="1"/>
    <col min="19" max="19" width="15.6640625" style="306" customWidth="1"/>
    <col min="20" max="20" width="18" style="306" customWidth="1"/>
    <col min="21" max="21" width="9.109375" style="306"/>
    <col min="22" max="22" width="15" style="306" bestFit="1" customWidth="1"/>
    <col min="23" max="23" width="10.109375" style="306" bestFit="1" customWidth="1"/>
    <col min="24" max="24" width="13.6640625" style="383" customWidth="1"/>
    <col min="25" max="25" width="10.6640625" style="306" customWidth="1"/>
    <col min="26" max="26" width="15.6640625" style="306" customWidth="1"/>
    <col min="27" max="27" width="5.6640625" style="306" customWidth="1"/>
    <col min="28" max="29" width="16.33203125" style="306" bestFit="1" customWidth="1"/>
    <col min="30" max="31" width="18.33203125" style="306" customWidth="1"/>
    <col min="32" max="16384" width="9.109375" style="306"/>
  </cols>
  <sheetData>
    <row r="2" spans="1:29" ht="18">
      <c r="A2" s="305" t="s">
        <v>458</v>
      </c>
      <c r="I2" s="306"/>
      <c r="J2" s="306"/>
      <c r="K2" s="306"/>
      <c r="L2" s="306"/>
      <c r="M2" s="306"/>
      <c r="V2" s="1027" t="s">
        <v>2716</v>
      </c>
      <c r="W2" s="1028"/>
      <c r="X2" s="1028"/>
      <c r="Y2" s="1028"/>
      <c r="Z2" s="1029"/>
    </row>
    <row r="3" spans="1:29" ht="63.6" customHeight="1">
      <c r="A3" s="308" t="s">
        <v>376</v>
      </c>
      <c r="B3" s="309" t="s">
        <v>2285</v>
      </c>
      <c r="C3" s="308" t="s">
        <v>377</v>
      </c>
      <c r="D3" s="309" t="s">
        <v>378</v>
      </c>
      <c r="E3" s="309" t="s">
        <v>2286</v>
      </c>
      <c r="F3" s="310"/>
      <c r="G3" s="311"/>
      <c r="H3" s="335"/>
      <c r="I3" s="309"/>
      <c r="J3" s="1021" t="s">
        <v>2997</v>
      </c>
      <c r="K3" s="1022"/>
      <c r="L3" s="1021" t="s">
        <v>2998</v>
      </c>
      <c r="M3" s="1023"/>
      <c r="N3" s="1023"/>
      <c r="O3" s="1022"/>
      <c r="P3" s="1021" t="s">
        <v>2310</v>
      </c>
      <c r="Q3" s="1023"/>
      <c r="R3" s="1023"/>
      <c r="S3" s="1022"/>
      <c r="T3" s="309" t="s">
        <v>43</v>
      </c>
      <c r="V3" s="335"/>
      <c r="W3" s="1023" t="s">
        <v>2309</v>
      </c>
      <c r="X3" s="1022"/>
      <c r="Y3" s="1021" t="s">
        <v>2310</v>
      </c>
      <c r="Z3" s="1022"/>
      <c r="AB3" s="335"/>
      <c r="AC3" s="335"/>
    </row>
    <row r="4" spans="1:29" ht="27.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3513</v>
      </c>
      <c r="S4" s="315" t="s">
        <v>3506</v>
      </c>
      <c r="T4" s="314"/>
      <c r="V4" s="314" t="s">
        <v>60</v>
      </c>
      <c r="W4" s="315" t="s">
        <v>381</v>
      </c>
      <c r="X4" s="463" t="s">
        <v>177</v>
      </c>
      <c r="Y4" s="315" t="s">
        <v>382</v>
      </c>
      <c r="Z4" s="315" t="s">
        <v>177</v>
      </c>
      <c r="AB4" s="315" t="s">
        <v>381</v>
      </c>
      <c r="AC4" s="463" t="s">
        <v>177</v>
      </c>
    </row>
    <row r="5" spans="1:29" ht="6.75" customHeight="1">
      <c r="A5" s="316"/>
      <c r="B5" s="317"/>
      <c r="C5" s="316"/>
      <c r="D5" s="316"/>
      <c r="E5" s="317"/>
      <c r="F5" s="317"/>
      <c r="G5" s="316"/>
      <c r="H5" s="316"/>
      <c r="I5" s="316"/>
      <c r="J5" s="316"/>
      <c r="K5" s="316"/>
      <c r="L5" s="316"/>
      <c r="M5" s="316"/>
      <c r="N5" s="316"/>
      <c r="O5" s="316"/>
      <c r="P5" s="633"/>
      <c r="Q5" s="633"/>
      <c r="R5" s="949"/>
      <c r="S5" s="316"/>
      <c r="T5" s="317"/>
      <c r="V5" s="316"/>
      <c r="W5" s="316"/>
      <c r="X5" s="339"/>
      <c r="Y5" s="316"/>
      <c r="Z5" s="316"/>
      <c r="AB5" s="316"/>
      <c r="AC5" s="316"/>
    </row>
    <row r="6" spans="1:29">
      <c r="A6" s="318">
        <v>1</v>
      </c>
      <c r="B6" s="319" t="s">
        <v>383</v>
      </c>
      <c r="C6" s="318">
        <v>600</v>
      </c>
      <c r="D6" s="318">
        <v>6</v>
      </c>
      <c r="E6" s="319">
        <v>1</v>
      </c>
      <c r="F6" s="336" t="s">
        <v>539</v>
      </c>
      <c r="G6" s="318" t="s">
        <v>540</v>
      </c>
      <c r="H6" s="318">
        <v>4.49</v>
      </c>
      <c r="I6" s="318">
        <v>1</v>
      </c>
      <c r="J6" s="318">
        <f>IF(N6&gt;0,1,0)</f>
        <v>1</v>
      </c>
      <c r="K6" s="318">
        <f>H6*J6</f>
        <v>4.49</v>
      </c>
      <c r="L6" s="352" t="s">
        <v>2900</v>
      </c>
      <c r="M6" s="350" t="s">
        <v>2901</v>
      </c>
      <c r="N6" s="318">
        <v>1</v>
      </c>
      <c r="O6" s="318">
        <f>H6*N6</f>
        <v>4.49</v>
      </c>
      <c r="P6" s="750">
        <v>1</v>
      </c>
      <c r="Q6" s="750"/>
      <c r="R6" s="337">
        <v>1</v>
      </c>
      <c r="S6" s="348">
        <f>H6*R6</f>
        <v>4.49</v>
      </c>
      <c r="T6" s="319"/>
      <c r="V6" s="328">
        <f>4.49+1.8</f>
        <v>6.29</v>
      </c>
      <c r="W6" s="458"/>
      <c r="X6" s="348">
        <f t="shared" ref="X6:X25" si="0">V6*W6</f>
        <v>0</v>
      </c>
      <c r="Y6" s="330"/>
      <c r="Z6" s="348">
        <f t="shared" ref="Z6:Z25" si="1">V6*Y6</f>
        <v>0</v>
      </c>
      <c r="AB6" s="328">
        <f>X6-O6</f>
        <v>-4.49</v>
      </c>
      <c r="AC6" s="328">
        <f>Z6-S6</f>
        <v>-4.49</v>
      </c>
    </row>
    <row r="7" spans="1:29">
      <c r="A7" s="318"/>
      <c r="B7" s="319"/>
      <c r="C7" s="318"/>
      <c r="D7" s="318"/>
      <c r="E7" s="319"/>
      <c r="F7" s="319"/>
      <c r="G7" s="318" t="s">
        <v>541</v>
      </c>
      <c r="H7" s="318">
        <v>4.49</v>
      </c>
      <c r="I7" s="318">
        <v>1</v>
      </c>
      <c r="J7" s="318">
        <f t="shared" ref="J7:J55" si="2">IF(N7&gt;0,1,0)</f>
        <v>1</v>
      </c>
      <c r="K7" s="318">
        <f>H7*J7</f>
        <v>4.49</v>
      </c>
      <c r="L7" s="350" t="s">
        <v>2746</v>
      </c>
      <c r="M7" s="318">
        <v>184</v>
      </c>
      <c r="N7" s="318">
        <v>1</v>
      </c>
      <c r="O7" s="318">
        <f t="shared" ref="O7:O55" si="3">H7*N7</f>
        <v>4.49</v>
      </c>
      <c r="P7" s="750">
        <v>1</v>
      </c>
      <c r="Q7" s="750"/>
      <c r="R7" s="337">
        <v>1</v>
      </c>
      <c r="S7" s="348">
        <f>H7*R7</f>
        <v>4.49</v>
      </c>
      <c r="T7" s="319"/>
      <c r="V7" s="328">
        <f t="shared" ref="V7:V21" si="4">4.49</f>
        <v>4.49</v>
      </c>
      <c r="W7" s="320"/>
      <c r="X7" s="348">
        <f t="shared" si="0"/>
        <v>0</v>
      </c>
      <c r="Y7" s="330"/>
      <c r="Z7" s="348">
        <f t="shared" si="1"/>
        <v>0</v>
      </c>
      <c r="AB7" s="328">
        <f t="shared" ref="AB7:AB25" si="5">X7-O7</f>
        <v>-4.49</v>
      </c>
      <c r="AC7" s="328">
        <f t="shared" ref="AC7:AC25" si="6">Z7-S7</f>
        <v>-4.49</v>
      </c>
    </row>
    <row r="8" spans="1:29">
      <c r="A8" s="318"/>
      <c r="B8" s="319"/>
      <c r="C8" s="318"/>
      <c r="D8" s="318"/>
      <c r="E8" s="319"/>
      <c r="F8" s="319"/>
      <c r="G8" s="318" t="s">
        <v>542</v>
      </c>
      <c r="H8" s="318">
        <v>4.49</v>
      </c>
      <c r="I8" s="318">
        <v>1</v>
      </c>
      <c r="J8" s="318">
        <f t="shared" si="2"/>
        <v>1</v>
      </c>
      <c r="K8" s="318">
        <f t="shared" ref="K8:K55" si="7">H8*J8</f>
        <v>4.49</v>
      </c>
      <c r="L8" s="350" t="s">
        <v>3250</v>
      </c>
      <c r="M8" s="350" t="s">
        <v>3251</v>
      </c>
      <c r="N8" s="318">
        <v>1</v>
      </c>
      <c r="O8" s="318">
        <f t="shared" si="3"/>
        <v>4.49</v>
      </c>
      <c r="P8" s="750">
        <v>1</v>
      </c>
      <c r="Q8" s="750"/>
      <c r="R8" s="337">
        <v>1</v>
      </c>
      <c r="S8" s="348">
        <f t="shared" ref="S8:S54" si="8">H8*R8</f>
        <v>4.49</v>
      </c>
      <c r="T8" s="319"/>
      <c r="V8" s="328">
        <f t="shared" si="4"/>
        <v>4.49</v>
      </c>
      <c r="W8" s="320"/>
      <c r="X8" s="348">
        <f t="shared" si="0"/>
        <v>0</v>
      </c>
      <c r="Y8" s="330"/>
      <c r="Z8" s="348">
        <f t="shared" si="1"/>
        <v>0</v>
      </c>
      <c r="AB8" s="328">
        <f t="shared" si="5"/>
        <v>-4.49</v>
      </c>
      <c r="AC8" s="328">
        <f t="shared" si="6"/>
        <v>-4.49</v>
      </c>
    </row>
    <row r="9" spans="1:29">
      <c r="A9" s="318"/>
      <c r="B9" s="319"/>
      <c r="C9" s="318"/>
      <c r="D9" s="318"/>
      <c r="E9" s="319"/>
      <c r="F9" s="319"/>
      <c r="G9" s="318" t="s">
        <v>543</v>
      </c>
      <c r="H9" s="318">
        <v>4.49</v>
      </c>
      <c r="I9" s="318">
        <v>1</v>
      </c>
      <c r="J9" s="318">
        <f t="shared" si="2"/>
        <v>1</v>
      </c>
      <c r="K9" s="318">
        <f t="shared" si="7"/>
        <v>4.49</v>
      </c>
      <c r="L9" s="350" t="s">
        <v>3092</v>
      </c>
      <c r="M9" s="318">
        <v>184</v>
      </c>
      <c r="N9" s="318">
        <v>1</v>
      </c>
      <c r="O9" s="318">
        <f t="shared" si="3"/>
        <v>4.49</v>
      </c>
      <c r="P9" s="750">
        <v>1</v>
      </c>
      <c r="Q9" s="750"/>
      <c r="R9" s="337">
        <v>1</v>
      </c>
      <c r="S9" s="348">
        <f t="shared" si="8"/>
        <v>4.49</v>
      </c>
      <c r="T9" s="319"/>
      <c r="V9" s="328">
        <f t="shared" si="4"/>
        <v>4.49</v>
      </c>
      <c r="W9" s="320"/>
      <c r="X9" s="348">
        <f t="shared" si="0"/>
        <v>0</v>
      </c>
      <c r="Y9" s="330"/>
      <c r="Z9" s="348">
        <f t="shared" si="1"/>
        <v>0</v>
      </c>
      <c r="AB9" s="328">
        <f t="shared" si="5"/>
        <v>-4.49</v>
      </c>
      <c r="AC9" s="328">
        <f t="shared" si="6"/>
        <v>-4.49</v>
      </c>
    </row>
    <row r="10" spans="1:29">
      <c r="A10" s="318"/>
      <c r="B10" s="319"/>
      <c r="C10" s="318"/>
      <c r="D10" s="318"/>
      <c r="E10" s="319"/>
      <c r="F10" s="319"/>
      <c r="G10" s="318" t="s">
        <v>544</v>
      </c>
      <c r="H10" s="318">
        <v>4.49</v>
      </c>
      <c r="I10" s="318">
        <v>1</v>
      </c>
      <c r="J10" s="318">
        <f t="shared" si="2"/>
        <v>1</v>
      </c>
      <c r="K10" s="318">
        <f t="shared" si="7"/>
        <v>4.49</v>
      </c>
      <c r="L10" s="318">
        <v>1945</v>
      </c>
      <c r="M10" s="318">
        <v>177</v>
      </c>
      <c r="N10" s="318">
        <v>1</v>
      </c>
      <c r="O10" s="318">
        <f t="shared" si="3"/>
        <v>4.49</v>
      </c>
      <c r="P10" s="750">
        <v>1</v>
      </c>
      <c r="Q10" s="750"/>
      <c r="R10" s="337">
        <v>1</v>
      </c>
      <c r="S10" s="348">
        <f t="shared" si="8"/>
        <v>4.49</v>
      </c>
      <c r="T10" s="319"/>
      <c r="V10" s="328">
        <f t="shared" si="4"/>
        <v>4.49</v>
      </c>
      <c r="W10" s="320"/>
      <c r="X10" s="348">
        <f t="shared" si="0"/>
        <v>0</v>
      </c>
      <c r="Y10" s="330"/>
      <c r="Z10" s="348">
        <f t="shared" si="1"/>
        <v>0</v>
      </c>
      <c r="AB10" s="328">
        <f t="shared" si="5"/>
        <v>-4.49</v>
      </c>
      <c r="AC10" s="328">
        <f t="shared" si="6"/>
        <v>-4.49</v>
      </c>
    </row>
    <row r="11" spans="1:29">
      <c r="A11" s="318"/>
      <c r="B11" s="319"/>
      <c r="C11" s="318"/>
      <c r="D11" s="318"/>
      <c r="E11" s="319"/>
      <c r="F11" s="319"/>
      <c r="G11" s="318" t="s">
        <v>545</v>
      </c>
      <c r="H11" s="318">
        <v>4.49</v>
      </c>
      <c r="I11" s="318">
        <v>1</v>
      </c>
      <c r="J11" s="318">
        <f t="shared" si="2"/>
        <v>1</v>
      </c>
      <c r="K11" s="318">
        <f t="shared" si="7"/>
        <v>4.49</v>
      </c>
      <c r="L11" s="318">
        <v>1945</v>
      </c>
      <c r="M11" s="318">
        <v>177</v>
      </c>
      <c r="N11" s="318">
        <v>1</v>
      </c>
      <c r="O11" s="318">
        <f t="shared" si="3"/>
        <v>4.49</v>
      </c>
      <c r="P11" s="750">
        <v>1</v>
      </c>
      <c r="Q11" s="750"/>
      <c r="R11" s="337">
        <v>1</v>
      </c>
      <c r="S11" s="348">
        <f t="shared" si="8"/>
        <v>4.49</v>
      </c>
      <c r="T11" s="319"/>
      <c r="V11" s="328">
        <f t="shared" si="4"/>
        <v>4.49</v>
      </c>
      <c r="W11" s="320"/>
      <c r="X11" s="348">
        <f t="shared" si="0"/>
        <v>0</v>
      </c>
      <c r="Y11" s="330"/>
      <c r="Z11" s="348">
        <f t="shared" si="1"/>
        <v>0</v>
      </c>
      <c r="AB11" s="328">
        <f t="shared" si="5"/>
        <v>-4.49</v>
      </c>
      <c r="AC11" s="328">
        <f t="shared" si="6"/>
        <v>-4.49</v>
      </c>
    </row>
    <row r="12" spans="1:29">
      <c r="A12" s="318"/>
      <c r="B12" s="319"/>
      <c r="C12" s="318"/>
      <c r="D12" s="318"/>
      <c r="E12" s="319"/>
      <c r="F12" s="319"/>
      <c r="G12" s="318" t="s">
        <v>546</v>
      </c>
      <c r="H12" s="318">
        <v>4.49</v>
      </c>
      <c r="I12" s="318">
        <v>1</v>
      </c>
      <c r="J12" s="318">
        <f t="shared" si="2"/>
        <v>1</v>
      </c>
      <c r="K12" s="318">
        <f t="shared" si="7"/>
        <v>4.49</v>
      </c>
      <c r="L12" s="318">
        <v>1945</v>
      </c>
      <c r="M12" s="318">
        <v>177</v>
      </c>
      <c r="N12" s="318">
        <v>1</v>
      </c>
      <c r="O12" s="318">
        <f t="shared" si="3"/>
        <v>4.49</v>
      </c>
      <c r="P12" s="750">
        <v>1</v>
      </c>
      <c r="Q12" s="750"/>
      <c r="R12" s="337">
        <v>1</v>
      </c>
      <c r="S12" s="348">
        <f t="shared" si="8"/>
        <v>4.49</v>
      </c>
      <c r="T12" s="319"/>
      <c r="V12" s="328">
        <f t="shared" si="4"/>
        <v>4.49</v>
      </c>
      <c r="W12" s="320">
        <f>1/4</f>
        <v>0.25</v>
      </c>
      <c r="X12" s="348">
        <f t="shared" si="0"/>
        <v>1.1225000000000001</v>
      </c>
      <c r="Y12" s="330"/>
      <c r="Z12" s="348">
        <f t="shared" si="1"/>
        <v>0</v>
      </c>
      <c r="AB12" s="328">
        <f t="shared" si="5"/>
        <v>-3.3675000000000002</v>
      </c>
      <c r="AC12" s="328">
        <f t="shared" si="6"/>
        <v>-4.49</v>
      </c>
    </row>
    <row r="13" spans="1:29">
      <c r="A13" s="318"/>
      <c r="B13" s="319"/>
      <c r="C13" s="318"/>
      <c r="D13" s="318"/>
      <c r="E13" s="319"/>
      <c r="F13" s="319"/>
      <c r="G13" s="318" t="s">
        <v>547</v>
      </c>
      <c r="H13" s="318">
        <v>4.49</v>
      </c>
      <c r="I13" s="318">
        <v>1</v>
      </c>
      <c r="J13" s="318">
        <f t="shared" si="2"/>
        <v>1</v>
      </c>
      <c r="K13" s="318">
        <f t="shared" si="7"/>
        <v>4.49</v>
      </c>
      <c r="L13" s="318">
        <v>1977</v>
      </c>
      <c r="M13" s="318">
        <v>180</v>
      </c>
      <c r="N13" s="318">
        <v>1</v>
      </c>
      <c r="O13" s="318">
        <f t="shared" si="3"/>
        <v>4.49</v>
      </c>
      <c r="P13" s="750">
        <v>1</v>
      </c>
      <c r="Q13" s="750"/>
      <c r="R13" s="337">
        <v>1</v>
      </c>
      <c r="S13" s="348">
        <f t="shared" si="8"/>
        <v>4.49</v>
      </c>
      <c r="T13" s="319"/>
      <c r="V13" s="328">
        <f t="shared" si="4"/>
        <v>4.49</v>
      </c>
      <c r="W13" s="320"/>
      <c r="X13" s="348">
        <f t="shared" si="0"/>
        <v>0</v>
      </c>
      <c r="Y13" s="330"/>
      <c r="Z13" s="348">
        <f t="shared" si="1"/>
        <v>0</v>
      </c>
      <c r="AB13" s="328">
        <f t="shared" si="5"/>
        <v>-4.49</v>
      </c>
      <c r="AC13" s="328">
        <f t="shared" si="6"/>
        <v>-4.49</v>
      </c>
    </row>
    <row r="14" spans="1:29">
      <c r="A14" s="318"/>
      <c r="B14" s="319"/>
      <c r="C14" s="318"/>
      <c r="D14" s="318"/>
      <c r="E14" s="319"/>
      <c r="F14" s="319"/>
      <c r="G14" s="318" t="s">
        <v>548</v>
      </c>
      <c r="H14" s="318">
        <v>4.49</v>
      </c>
      <c r="I14" s="318">
        <v>1</v>
      </c>
      <c r="J14" s="318">
        <f t="shared" si="2"/>
        <v>1</v>
      </c>
      <c r="K14" s="318">
        <f t="shared" si="7"/>
        <v>4.49</v>
      </c>
      <c r="L14" s="318">
        <v>1977</v>
      </c>
      <c r="M14" s="318">
        <v>180</v>
      </c>
      <c r="N14" s="318">
        <v>1</v>
      </c>
      <c r="O14" s="318">
        <f t="shared" si="3"/>
        <v>4.49</v>
      </c>
      <c r="P14" s="750">
        <v>1</v>
      </c>
      <c r="Q14" s="750"/>
      <c r="R14" s="337">
        <v>1</v>
      </c>
      <c r="S14" s="348">
        <f t="shared" si="8"/>
        <v>4.49</v>
      </c>
      <c r="T14" s="319"/>
      <c r="V14" s="328">
        <f t="shared" si="4"/>
        <v>4.49</v>
      </c>
      <c r="W14" s="320"/>
      <c r="X14" s="348">
        <f t="shared" si="0"/>
        <v>0</v>
      </c>
      <c r="Y14" s="330"/>
      <c r="Z14" s="348">
        <f t="shared" si="1"/>
        <v>0</v>
      </c>
      <c r="AB14" s="328">
        <f t="shared" si="5"/>
        <v>-4.49</v>
      </c>
      <c r="AC14" s="328">
        <f t="shared" si="6"/>
        <v>-4.49</v>
      </c>
    </row>
    <row r="15" spans="1:29">
      <c r="A15" s="318"/>
      <c r="B15" s="319"/>
      <c r="C15" s="318"/>
      <c r="D15" s="318"/>
      <c r="E15" s="319"/>
      <c r="F15" s="319"/>
      <c r="G15" s="318" t="s">
        <v>549</v>
      </c>
      <c r="H15" s="318">
        <v>4.49</v>
      </c>
      <c r="I15" s="318">
        <v>1</v>
      </c>
      <c r="J15" s="318">
        <f t="shared" si="2"/>
        <v>1</v>
      </c>
      <c r="K15" s="318">
        <f t="shared" si="7"/>
        <v>4.49</v>
      </c>
      <c r="L15" s="350" t="s">
        <v>2718</v>
      </c>
      <c r="M15" s="350" t="s">
        <v>2734</v>
      </c>
      <c r="N15" s="318">
        <v>1</v>
      </c>
      <c r="O15" s="318">
        <f t="shared" si="3"/>
        <v>4.49</v>
      </c>
      <c r="P15" s="750">
        <v>1</v>
      </c>
      <c r="Q15" s="750"/>
      <c r="R15" s="337">
        <v>1</v>
      </c>
      <c r="S15" s="348">
        <f t="shared" si="8"/>
        <v>4.49</v>
      </c>
      <c r="T15" s="319"/>
      <c r="V15" s="328">
        <f t="shared" si="4"/>
        <v>4.49</v>
      </c>
      <c r="W15" s="320">
        <f>3/4</f>
        <v>0.75</v>
      </c>
      <c r="X15" s="348">
        <f t="shared" si="0"/>
        <v>3.3675000000000002</v>
      </c>
      <c r="Y15" s="330"/>
      <c r="Z15" s="348">
        <f t="shared" si="1"/>
        <v>0</v>
      </c>
      <c r="AB15" s="328">
        <f t="shared" si="5"/>
        <v>-1.1225000000000001</v>
      </c>
      <c r="AC15" s="328">
        <f t="shared" si="6"/>
        <v>-4.49</v>
      </c>
    </row>
    <row r="16" spans="1:29">
      <c r="A16" s="318"/>
      <c r="B16" s="319"/>
      <c r="C16" s="318"/>
      <c r="D16" s="318"/>
      <c r="E16" s="319"/>
      <c r="F16" s="319"/>
      <c r="G16" s="318" t="s">
        <v>550</v>
      </c>
      <c r="H16" s="318">
        <v>4.49</v>
      </c>
      <c r="I16" s="318">
        <v>1</v>
      </c>
      <c r="J16" s="318">
        <f t="shared" si="2"/>
        <v>1</v>
      </c>
      <c r="K16" s="318">
        <f t="shared" si="7"/>
        <v>4.49</v>
      </c>
      <c r="L16" s="350" t="s">
        <v>2718</v>
      </c>
      <c r="M16" s="350" t="s">
        <v>2734</v>
      </c>
      <c r="N16" s="318">
        <v>1</v>
      </c>
      <c r="O16" s="318">
        <f t="shared" si="3"/>
        <v>4.49</v>
      </c>
      <c r="P16" s="750">
        <v>1</v>
      </c>
      <c r="Q16" s="750"/>
      <c r="R16" s="337">
        <v>1</v>
      </c>
      <c r="S16" s="348">
        <f t="shared" si="8"/>
        <v>4.49</v>
      </c>
      <c r="T16" s="319"/>
      <c r="V16" s="328">
        <f t="shared" si="4"/>
        <v>4.49</v>
      </c>
      <c r="W16" s="320">
        <f>3/4</f>
        <v>0.75</v>
      </c>
      <c r="X16" s="348">
        <f t="shared" si="0"/>
        <v>3.3675000000000002</v>
      </c>
      <c r="Y16" s="330"/>
      <c r="Z16" s="348">
        <f t="shared" si="1"/>
        <v>0</v>
      </c>
      <c r="AB16" s="328">
        <f t="shared" si="5"/>
        <v>-1.1225000000000001</v>
      </c>
      <c r="AC16" s="328">
        <f t="shared" si="6"/>
        <v>-4.49</v>
      </c>
    </row>
    <row r="17" spans="1:29" ht="15" thickBot="1">
      <c r="A17" s="318"/>
      <c r="B17" s="319"/>
      <c r="C17" s="318"/>
      <c r="D17" s="318"/>
      <c r="E17" s="319"/>
      <c r="F17" s="319"/>
      <c r="G17" s="318" t="s">
        <v>551</v>
      </c>
      <c r="H17" s="318">
        <v>4.49</v>
      </c>
      <c r="I17" s="318">
        <v>1</v>
      </c>
      <c r="J17" s="318">
        <f t="shared" si="2"/>
        <v>1</v>
      </c>
      <c r="K17" s="318">
        <f t="shared" si="7"/>
        <v>4.49</v>
      </c>
      <c r="L17" s="318">
        <v>1941</v>
      </c>
      <c r="M17" s="318">
        <v>176</v>
      </c>
      <c r="N17" s="318">
        <v>1</v>
      </c>
      <c r="O17" s="318">
        <f t="shared" si="3"/>
        <v>4.49</v>
      </c>
      <c r="P17" s="750">
        <v>1</v>
      </c>
      <c r="Q17" s="750"/>
      <c r="R17" s="592">
        <v>1</v>
      </c>
      <c r="S17" s="348">
        <f t="shared" si="8"/>
        <v>4.49</v>
      </c>
      <c r="T17" s="319"/>
      <c r="V17" s="328">
        <f t="shared" si="4"/>
        <v>4.49</v>
      </c>
      <c r="W17" s="320">
        <v>1</v>
      </c>
      <c r="X17" s="348">
        <f t="shared" si="0"/>
        <v>4.49</v>
      </c>
      <c r="Y17" s="330"/>
      <c r="Z17" s="348">
        <f t="shared" si="1"/>
        <v>0</v>
      </c>
      <c r="AB17" s="328">
        <f t="shared" si="5"/>
        <v>0</v>
      </c>
      <c r="AC17" s="328">
        <f t="shared" si="6"/>
        <v>-4.49</v>
      </c>
    </row>
    <row r="18" spans="1:29" ht="15.6" collapsed="1" thickTop="1" thickBot="1">
      <c r="A18" s="318"/>
      <c r="B18" s="319"/>
      <c r="C18" s="318"/>
      <c r="D18" s="318"/>
      <c r="E18" s="319"/>
      <c r="F18" s="319"/>
      <c r="G18" s="318" t="s">
        <v>552</v>
      </c>
      <c r="H18" s="318">
        <v>4.49</v>
      </c>
      <c r="I18" s="318">
        <v>1</v>
      </c>
      <c r="J18" s="318">
        <f t="shared" si="2"/>
        <v>1</v>
      </c>
      <c r="K18" s="318">
        <f t="shared" si="7"/>
        <v>4.49</v>
      </c>
      <c r="L18" s="318" t="s">
        <v>3081</v>
      </c>
      <c r="M18" s="318" t="s">
        <v>3082</v>
      </c>
      <c r="N18" s="318">
        <v>1</v>
      </c>
      <c r="O18" s="619">
        <f t="shared" si="3"/>
        <v>4.49</v>
      </c>
      <c r="P18" s="773">
        <v>1</v>
      </c>
      <c r="Q18" s="747"/>
      <c r="R18" s="624">
        <v>1</v>
      </c>
      <c r="S18" s="348">
        <f t="shared" si="8"/>
        <v>4.49</v>
      </c>
      <c r="T18" s="319" t="s">
        <v>3350</v>
      </c>
      <c r="V18" s="328">
        <f t="shared" si="4"/>
        <v>4.49</v>
      </c>
      <c r="W18" s="320">
        <f>3/4</f>
        <v>0.75</v>
      </c>
      <c r="X18" s="348">
        <f t="shared" si="0"/>
        <v>3.3675000000000002</v>
      </c>
      <c r="Y18" s="330"/>
      <c r="Z18" s="348">
        <f t="shared" si="1"/>
        <v>0</v>
      </c>
      <c r="AB18" s="328">
        <f t="shared" si="5"/>
        <v>-1.1225000000000001</v>
      </c>
      <c r="AC18" s="328">
        <f t="shared" si="6"/>
        <v>-4.49</v>
      </c>
    </row>
    <row r="19" spans="1:29" ht="15.6" thickTop="1" thickBot="1">
      <c r="A19" s="318"/>
      <c r="B19" s="319"/>
      <c r="C19" s="318"/>
      <c r="D19" s="318"/>
      <c r="E19" s="319"/>
      <c r="F19" s="319"/>
      <c r="G19" s="318" t="s">
        <v>553</v>
      </c>
      <c r="H19" s="318">
        <v>4.49</v>
      </c>
      <c r="I19" s="318">
        <v>1</v>
      </c>
      <c r="J19" s="318">
        <f t="shared" si="2"/>
        <v>1</v>
      </c>
      <c r="K19" s="318">
        <f t="shared" si="7"/>
        <v>4.49</v>
      </c>
      <c r="L19" s="318">
        <v>1961</v>
      </c>
      <c r="M19" s="318">
        <v>179</v>
      </c>
      <c r="N19" s="318">
        <v>1</v>
      </c>
      <c r="O19" s="619">
        <f t="shared" si="3"/>
        <v>4.49</v>
      </c>
      <c r="P19" s="773">
        <v>1</v>
      </c>
      <c r="Q19" s="747"/>
      <c r="R19" s="624">
        <v>1</v>
      </c>
      <c r="S19" s="348">
        <f t="shared" si="8"/>
        <v>4.49</v>
      </c>
      <c r="T19" s="319" t="s">
        <v>3350</v>
      </c>
      <c r="V19" s="328">
        <f t="shared" si="4"/>
        <v>4.49</v>
      </c>
      <c r="W19" s="320">
        <v>1</v>
      </c>
      <c r="X19" s="348">
        <f t="shared" si="0"/>
        <v>4.49</v>
      </c>
      <c r="Y19" s="330"/>
      <c r="Z19" s="348">
        <f t="shared" si="1"/>
        <v>0</v>
      </c>
      <c r="AB19" s="328">
        <f t="shared" si="5"/>
        <v>0</v>
      </c>
      <c r="AC19" s="328">
        <f t="shared" si="6"/>
        <v>-4.49</v>
      </c>
    </row>
    <row r="20" spans="1:29" ht="15.6" thickTop="1" thickBot="1">
      <c r="A20" s="318"/>
      <c r="B20" s="319"/>
      <c r="C20" s="318"/>
      <c r="D20" s="318"/>
      <c r="E20" s="319"/>
      <c r="F20" s="319"/>
      <c r="G20" s="318" t="s">
        <v>554</v>
      </c>
      <c r="H20" s="318">
        <v>4.49</v>
      </c>
      <c r="I20" s="318">
        <v>1</v>
      </c>
      <c r="J20" s="318">
        <f t="shared" si="2"/>
        <v>1</v>
      </c>
      <c r="K20" s="591">
        <f t="shared" si="7"/>
        <v>4.49</v>
      </c>
      <c r="L20" s="318">
        <v>1963</v>
      </c>
      <c r="M20" s="318">
        <v>179</v>
      </c>
      <c r="N20" s="318">
        <v>1</v>
      </c>
      <c r="O20" s="619">
        <f t="shared" si="3"/>
        <v>4.49</v>
      </c>
      <c r="P20" s="773">
        <v>1</v>
      </c>
      <c r="Q20" s="747"/>
      <c r="R20" s="624">
        <v>1</v>
      </c>
      <c r="S20" s="348">
        <f t="shared" si="8"/>
        <v>4.49</v>
      </c>
      <c r="T20" s="319" t="s">
        <v>3350</v>
      </c>
      <c r="V20" s="328">
        <f t="shared" si="4"/>
        <v>4.49</v>
      </c>
      <c r="W20" s="320"/>
      <c r="X20" s="348">
        <f t="shared" si="0"/>
        <v>0</v>
      </c>
      <c r="Y20" s="330"/>
      <c r="Z20" s="348">
        <f t="shared" si="1"/>
        <v>0</v>
      </c>
      <c r="AB20" s="328">
        <f t="shared" si="5"/>
        <v>-4.49</v>
      </c>
      <c r="AC20" s="328">
        <f t="shared" si="6"/>
        <v>-4.49</v>
      </c>
    </row>
    <row r="21" spans="1:29" ht="15.6" thickTop="1" thickBot="1">
      <c r="A21" s="318"/>
      <c r="B21" s="319"/>
      <c r="C21" s="318"/>
      <c r="D21" s="318"/>
      <c r="E21" s="319"/>
      <c r="F21" s="319"/>
      <c r="G21" s="318" t="s">
        <v>555</v>
      </c>
      <c r="H21" s="318">
        <v>4.49</v>
      </c>
      <c r="I21" s="318">
        <v>1</v>
      </c>
      <c r="J21" s="619">
        <f t="shared" si="2"/>
        <v>1</v>
      </c>
      <c r="K21" s="633">
        <f t="shared" si="7"/>
        <v>4.49</v>
      </c>
      <c r="L21" s="620">
        <v>1978</v>
      </c>
      <c r="M21" s="318">
        <v>181</v>
      </c>
      <c r="N21" s="318">
        <v>1</v>
      </c>
      <c r="O21" s="619">
        <f t="shared" si="3"/>
        <v>4.49</v>
      </c>
      <c r="P21" s="773">
        <v>1</v>
      </c>
      <c r="Q21" s="747"/>
      <c r="R21" s="624">
        <v>1</v>
      </c>
      <c r="S21" s="348">
        <f t="shared" si="8"/>
        <v>4.49</v>
      </c>
      <c r="T21" s="319" t="s">
        <v>3350</v>
      </c>
      <c r="V21" s="328">
        <f t="shared" si="4"/>
        <v>4.49</v>
      </c>
      <c r="W21" s="320"/>
      <c r="X21" s="348">
        <f t="shared" si="0"/>
        <v>0</v>
      </c>
      <c r="Y21" s="330"/>
      <c r="Z21" s="348">
        <f t="shared" si="1"/>
        <v>0</v>
      </c>
      <c r="AB21" s="328">
        <f t="shared" si="5"/>
        <v>-4.49</v>
      </c>
      <c r="AC21" s="328">
        <f t="shared" si="6"/>
        <v>-4.49</v>
      </c>
    </row>
    <row r="22" spans="1:29" ht="15.6" thickTop="1" thickBot="1">
      <c r="A22" s="318"/>
      <c r="B22" s="319"/>
      <c r="C22" s="318"/>
      <c r="D22" s="318"/>
      <c r="E22" s="319"/>
      <c r="F22" s="319"/>
      <c r="G22" s="318" t="s">
        <v>556</v>
      </c>
      <c r="H22" s="318">
        <v>3.37</v>
      </c>
      <c r="I22" s="318">
        <v>1</v>
      </c>
      <c r="J22" s="318">
        <f t="shared" si="2"/>
        <v>1</v>
      </c>
      <c r="K22" s="318">
        <f t="shared" si="7"/>
        <v>3.37</v>
      </c>
      <c r="L22" s="318">
        <v>1978</v>
      </c>
      <c r="M22" s="318">
        <v>181</v>
      </c>
      <c r="N22" s="318">
        <v>1</v>
      </c>
      <c r="O22" s="619">
        <f t="shared" si="3"/>
        <v>3.37</v>
      </c>
      <c r="P22" s="773">
        <v>1</v>
      </c>
      <c r="Q22" s="747"/>
      <c r="R22" s="624">
        <v>1</v>
      </c>
      <c r="S22" s="348">
        <f t="shared" si="8"/>
        <v>3.37</v>
      </c>
      <c r="T22" s="319" t="s">
        <v>3350</v>
      </c>
      <c r="V22" s="328">
        <v>3.3650000000000002</v>
      </c>
      <c r="W22" s="320"/>
      <c r="X22" s="348">
        <f t="shared" si="0"/>
        <v>0</v>
      </c>
      <c r="Y22" s="330"/>
      <c r="Z22" s="348">
        <f t="shared" si="1"/>
        <v>0</v>
      </c>
      <c r="AB22" s="328">
        <f t="shared" si="5"/>
        <v>-3.37</v>
      </c>
      <c r="AC22" s="328">
        <f t="shared" si="6"/>
        <v>-3.37</v>
      </c>
    </row>
    <row r="23" spans="1:29" ht="15.6" thickTop="1" thickBot="1">
      <c r="A23" s="318"/>
      <c r="B23" s="319"/>
      <c r="C23" s="318"/>
      <c r="D23" s="318"/>
      <c r="E23" s="319"/>
      <c r="F23" s="319"/>
      <c r="G23" s="318" t="s">
        <v>557</v>
      </c>
      <c r="H23" s="318">
        <v>3.37</v>
      </c>
      <c r="I23" s="318">
        <v>1</v>
      </c>
      <c r="J23" s="318">
        <f t="shared" si="2"/>
        <v>1</v>
      </c>
      <c r="K23" s="318">
        <f t="shared" si="7"/>
        <v>3.37</v>
      </c>
      <c r="L23" s="318">
        <v>1978</v>
      </c>
      <c r="M23" s="318">
        <v>181</v>
      </c>
      <c r="N23" s="318">
        <v>1</v>
      </c>
      <c r="O23" s="619">
        <f t="shared" si="3"/>
        <v>3.37</v>
      </c>
      <c r="P23" s="773">
        <v>1</v>
      </c>
      <c r="Q23" s="747"/>
      <c r="R23" s="624">
        <v>1</v>
      </c>
      <c r="S23" s="348">
        <f t="shared" si="8"/>
        <v>3.37</v>
      </c>
      <c r="T23" s="319" t="s">
        <v>3350</v>
      </c>
      <c r="V23" s="328">
        <v>3.3650000000000002</v>
      </c>
      <c r="W23" s="320"/>
      <c r="X23" s="348">
        <f t="shared" si="0"/>
        <v>0</v>
      </c>
      <c r="Y23" s="330"/>
      <c r="Z23" s="348">
        <f t="shared" si="1"/>
        <v>0</v>
      </c>
      <c r="AB23" s="328">
        <f t="shared" si="5"/>
        <v>-3.37</v>
      </c>
      <c r="AC23" s="328">
        <f t="shared" si="6"/>
        <v>-3.37</v>
      </c>
    </row>
    <row r="24" spans="1:29" ht="15" thickTop="1">
      <c r="A24" s="318"/>
      <c r="B24" s="319"/>
      <c r="C24" s="318"/>
      <c r="D24" s="318"/>
      <c r="E24" s="319"/>
      <c r="F24" s="336" t="s">
        <v>558</v>
      </c>
      <c r="G24" s="318" t="s">
        <v>559</v>
      </c>
      <c r="H24" s="319">
        <v>3.31</v>
      </c>
      <c r="I24" s="318">
        <v>1</v>
      </c>
      <c r="J24" s="318">
        <f t="shared" si="2"/>
        <v>1</v>
      </c>
      <c r="K24" s="318">
        <f t="shared" si="7"/>
        <v>3.31</v>
      </c>
      <c r="L24" s="352" t="s">
        <v>3249</v>
      </c>
      <c r="M24" s="350" t="s">
        <v>3248</v>
      </c>
      <c r="N24" s="318">
        <v>1</v>
      </c>
      <c r="O24" s="318">
        <f t="shared" si="3"/>
        <v>3.31</v>
      </c>
      <c r="P24" s="750">
        <v>1</v>
      </c>
      <c r="Q24" s="750"/>
      <c r="R24" s="337">
        <v>1</v>
      </c>
      <c r="S24" s="348">
        <f t="shared" si="8"/>
        <v>3.31</v>
      </c>
      <c r="T24" s="319"/>
      <c r="V24" s="333">
        <f>3.258</f>
        <v>3.258</v>
      </c>
      <c r="W24" s="320"/>
      <c r="X24" s="348">
        <f t="shared" si="0"/>
        <v>0</v>
      </c>
      <c r="Y24" s="330"/>
      <c r="Z24" s="348">
        <f t="shared" si="1"/>
        <v>0</v>
      </c>
      <c r="AB24" s="333">
        <f t="shared" si="5"/>
        <v>-3.31</v>
      </c>
      <c r="AC24" s="333">
        <f t="shared" si="6"/>
        <v>-3.31</v>
      </c>
    </row>
    <row r="25" spans="1:29" ht="15" thickBot="1">
      <c r="A25" s="318"/>
      <c r="B25" s="319"/>
      <c r="C25" s="318"/>
      <c r="D25" s="318"/>
      <c r="E25" s="319"/>
      <c r="F25" s="336" t="s">
        <v>558</v>
      </c>
      <c r="G25" s="318" t="s">
        <v>560</v>
      </c>
      <c r="H25" s="318">
        <v>4.08</v>
      </c>
      <c r="I25" s="318">
        <v>1</v>
      </c>
      <c r="J25" s="318">
        <f t="shared" si="2"/>
        <v>1</v>
      </c>
      <c r="K25" s="318">
        <f t="shared" si="7"/>
        <v>4.08</v>
      </c>
      <c r="L25" s="352" t="s">
        <v>3249</v>
      </c>
      <c r="M25" s="350" t="s">
        <v>3248</v>
      </c>
      <c r="N25" s="318">
        <v>1</v>
      </c>
      <c r="O25" s="318">
        <f t="shared" si="3"/>
        <v>4.08</v>
      </c>
      <c r="P25" s="750">
        <v>1</v>
      </c>
      <c r="Q25" s="750"/>
      <c r="R25" s="592">
        <v>1</v>
      </c>
      <c r="S25" s="348">
        <f t="shared" si="8"/>
        <v>4.08</v>
      </c>
      <c r="T25" s="319"/>
      <c r="V25" s="328">
        <f>3.258+0.816</f>
        <v>4.0739999999999998</v>
      </c>
      <c r="W25" s="320"/>
      <c r="X25" s="348">
        <f t="shared" si="0"/>
        <v>0</v>
      </c>
      <c r="Y25" s="330"/>
      <c r="Z25" s="348">
        <f t="shared" si="1"/>
        <v>0</v>
      </c>
      <c r="AB25" s="328">
        <f t="shared" si="5"/>
        <v>-4.08</v>
      </c>
      <c r="AC25" s="328">
        <f t="shared" si="6"/>
        <v>-4.08</v>
      </c>
    </row>
    <row r="26" spans="1:29" ht="15.6" collapsed="1" thickTop="1" thickBot="1">
      <c r="A26" s="584"/>
      <c r="B26" s="585"/>
      <c r="C26" s="584"/>
      <c r="D26" s="584"/>
      <c r="E26" s="585"/>
      <c r="F26" s="585" t="s">
        <v>384</v>
      </c>
      <c r="G26" s="584" t="s">
        <v>459</v>
      </c>
      <c r="H26" s="584"/>
      <c r="I26" s="584"/>
      <c r="J26" s="584"/>
      <c r="K26" s="584"/>
      <c r="L26" s="584"/>
      <c r="M26" s="584"/>
      <c r="N26" s="584"/>
      <c r="O26" s="631" t="s">
        <v>2321</v>
      </c>
      <c r="P26" s="773"/>
      <c r="Q26" s="747"/>
      <c r="R26" s="624"/>
      <c r="S26" s="348">
        <f t="shared" si="8"/>
        <v>0</v>
      </c>
      <c r="T26" s="1024" t="s">
        <v>561</v>
      </c>
      <c r="V26" s="328"/>
      <c r="W26" s="318"/>
      <c r="X26" s="384" t="s">
        <v>2321</v>
      </c>
      <c r="Y26" s="337"/>
      <c r="Z26" s="350" t="s">
        <v>2321</v>
      </c>
      <c r="AB26" s="328"/>
      <c r="AC26" s="328"/>
    </row>
    <row r="27" spans="1:29" ht="15.6" thickTop="1" thickBot="1">
      <c r="A27" s="584"/>
      <c r="B27" s="585"/>
      <c r="C27" s="584"/>
      <c r="D27" s="584"/>
      <c r="E27" s="585"/>
      <c r="F27" s="585" t="s">
        <v>384</v>
      </c>
      <c r="G27" s="584" t="s">
        <v>460</v>
      </c>
      <c r="H27" s="584"/>
      <c r="I27" s="584"/>
      <c r="J27" s="584"/>
      <c r="K27" s="584"/>
      <c r="L27" s="584"/>
      <c r="M27" s="584"/>
      <c r="N27" s="584"/>
      <c r="O27" s="631" t="s">
        <v>2321</v>
      </c>
      <c r="P27" s="773"/>
      <c r="Q27" s="747"/>
      <c r="R27" s="624"/>
      <c r="S27" s="348">
        <f t="shared" si="8"/>
        <v>0</v>
      </c>
      <c r="T27" s="1025"/>
      <c r="V27" s="328"/>
      <c r="W27" s="318"/>
      <c r="X27" s="384" t="s">
        <v>2321</v>
      </c>
      <c r="Y27" s="337"/>
      <c r="Z27" s="350" t="s">
        <v>2321</v>
      </c>
      <c r="AB27" s="328"/>
      <c r="AC27" s="328"/>
    </row>
    <row r="28" spans="1:29" ht="15.6" thickTop="1" thickBot="1">
      <c r="A28" s="584"/>
      <c r="B28" s="585"/>
      <c r="C28" s="584"/>
      <c r="D28" s="584"/>
      <c r="E28" s="585"/>
      <c r="F28" s="585" t="s">
        <v>384</v>
      </c>
      <c r="G28" s="584" t="s">
        <v>461</v>
      </c>
      <c r="H28" s="584"/>
      <c r="I28" s="584"/>
      <c r="J28" s="584"/>
      <c r="K28" s="584"/>
      <c r="L28" s="584"/>
      <c r="M28" s="584"/>
      <c r="N28" s="584"/>
      <c r="O28" s="631" t="s">
        <v>2321</v>
      </c>
      <c r="P28" s="773"/>
      <c r="Q28" s="747"/>
      <c r="R28" s="624"/>
      <c r="S28" s="348">
        <f t="shared" si="8"/>
        <v>0</v>
      </c>
      <c r="T28" s="1025"/>
      <c r="V28" s="328"/>
      <c r="W28" s="318"/>
      <c r="X28" s="384" t="s">
        <v>2321</v>
      </c>
      <c r="Y28" s="337"/>
      <c r="Z28" s="350" t="s">
        <v>2321</v>
      </c>
      <c r="AB28" s="328"/>
      <c r="AC28" s="328"/>
    </row>
    <row r="29" spans="1:29" ht="15.6" thickTop="1" thickBot="1">
      <c r="A29" s="584"/>
      <c r="B29" s="585"/>
      <c r="C29" s="584"/>
      <c r="D29" s="584"/>
      <c r="E29" s="585"/>
      <c r="F29" s="585" t="s">
        <v>384</v>
      </c>
      <c r="G29" s="584" t="s">
        <v>462</v>
      </c>
      <c r="H29" s="584"/>
      <c r="I29" s="584"/>
      <c r="J29" s="584"/>
      <c r="K29" s="584"/>
      <c r="L29" s="584"/>
      <c r="M29" s="584"/>
      <c r="N29" s="584"/>
      <c r="O29" s="631" t="s">
        <v>2321</v>
      </c>
      <c r="P29" s="773"/>
      <c r="Q29" s="747"/>
      <c r="R29" s="624"/>
      <c r="S29" s="348">
        <f t="shared" si="8"/>
        <v>0</v>
      </c>
      <c r="T29" s="1026"/>
      <c r="V29" s="328"/>
      <c r="W29" s="318"/>
      <c r="X29" s="384" t="s">
        <v>2321</v>
      </c>
      <c r="Y29" s="337"/>
      <c r="Z29" s="350" t="s">
        <v>2321</v>
      </c>
      <c r="AB29" s="328"/>
      <c r="AC29" s="328"/>
    </row>
    <row r="30" spans="1:29" ht="15" thickTop="1">
      <c r="A30" s="318"/>
      <c r="B30" s="319"/>
      <c r="C30" s="318"/>
      <c r="D30" s="318"/>
      <c r="E30" s="319"/>
      <c r="F30" s="336" t="s">
        <v>558</v>
      </c>
      <c r="G30" s="318" t="s">
        <v>562</v>
      </c>
      <c r="H30" s="318">
        <v>4.09</v>
      </c>
      <c r="I30" s="318">
        <v>1</v>
      </c>
      <c r="J30" s="318">
        <v>1</v>
      </c>
      <c r="K30" s="318">
        <f t="shared" si="7"/>
        <v>4.09</v>
      </c>
      <c r="L30" s="352" t="s">
        <v>3273</v>
      </c>
      <c r="M30" s="608" t="s">
        <v>3305</v>
      </c>
      <c r="N30" s="318">
        <v>1</v>
      </c>
      <c r="O30" s="318">
        <f t="shared" si="3"/>
        <v>4.09</v>
      </c>
      <c r="P30" s="750">
        <v>1</v>
      </c>
      <c r="Q30" s="750"/>
      <c r="R30" s="337">
        <v>1</v>
      </c>
      <c r="S30" s="348">
        <f t="shared" si="8"/>
        <v>4.09</v>
      </c>
      <c r="T30" s="319" t="s">
        <v>3326</v>
      </c>
      <c r="V30" s="328">
        <v>4.0739999999999998</v>
      </c>
      <c r="W30" s="320"/>
      <c r="X30" s="348">
        <f t="shared" ref="X30:X55" si="9">V30*W30</f>
        <v>0</v>
      </c>
      <c r="Y30" s="330"/>
      <c r="Z30" s="348">
        <f t="shared" ref="Z30:Z55" si="10">V30*Y30</f>
        <v>0</v>
      </c>
      <c r="AB30" s="328">
        <f t="shared" ref="AB30:AB55" si="11">X30-O30</f>
        <v>-4.09</v>
      </c>
      <c r="AC30" s="328">
        <f t="shared" ref="AC30:AC55" si="12">Z30-S30</f>
        <v>-4.09</v>
      </c>
    </row>
    <row r="31" spans="1:29">
      <c r="A31" s="318"/>
      <c r="B31" s="319"/>
      <c r="C31" s="318"/>
      <c r="D31" s="318"/>
      <c r="E31" s="319"/>
      <c r="F31" s="336" t="s">
        <v>558</v>
      </c>
      <c r="G31" s="318" t="s">
        <v>563</v>
      </c>
      <c r="H31" s="319">
        <v>3.31</v>
      </c>
      <c r="I31" s="318">
        <v>1</v>
      </c>
      <c r="J31" s="318">
        <f t="shared" si="2"/>
        <v>1</v>
      </c>
      <c r="K31" s="318">
        <f t="shared" si="7"/>
        <v>3.31</v>
      </c>
      <c r="L31" s="352" t="s">
        <v>3272</v>
      </c>
      <c r="M31" s="350" t="s">
        <v>3301</v>
      </c>
      <c r="N31" s="318">
        <v>1</v>
      </c>
      <c r="O31" s="318">
        <f t="shared" si="3"/>
        <v>3.31</v>
      </c>
      <c r="P31" s="750">
        <v>1</v>
      </c>
      <c r="Q31" s="750"/>
      <c r="R31" s="337">
        <v>1</v>
      </c>
      <c r="S31" s="348">
        <f t="shared" si="8"/>
        <v>3.31</v>
      </c>
      <c r="T31" s="319" t="s">
        <v>3326</v>
      </c>
      <c r="V31" s="333">
        <f>3.258</f>
        <v>3.258</v>
      </c>
      <c r="W31" s="320"/>
      <c r="X31" s="348">
        <f t="shared" si="9"/>
        <v>0</v>
      </c>
      <c r="Y31" s="330"/>
      <c r="Z31" s="348">
        <f t="shared" si="10"/>
        <v>0</v>
      </c>
      <c r="AB31" s="333">
        <f t="shared" si="11"/>
        <v>-3.31</v>
      </c>
      <c r="AC31" s="333">
        <f t="shared" si="12"/>
        <v>-3.31</v>
      </c>
    </row>
    <row r="32" spans="1:29">
      <c r="A32" s="318"/>
      <c r="B32" s="319"/>
      <c r="C32" s="318"/>
      <c r="D32" s="318"/>
      <c r="E32" s="319"/>
      <c r="F32" s="319"/>
      <c r="G32" s="318" t="s">
        <v>564</v>
      </c>
      <c r="H32" s="318">
        <v>3.37</v>
      </c>
      <c r="I32" s="318">
        <v>1</v>
      </c>
      <c r="J32" s="318">
        <f t="shared" si="2"/>
        <v>1</v>
      </c>
      <c r="K32" s="318">
        <f t="shared" si="7"/>
        <v>3.37</v>
      </c>
      <c r="L32" s="318">
        <v>1998</v>
      </c>
      <c r="M32" s="318">
        <v>184</v>
      </c>
      <c r="N32" s="318">
        <v>1</v>
      </c>
      <c r="O32" s="318">
        <f t="shared" si="3"/>
        <v>3.37</v>
      </c>
      <c r="P32" s="750">
        <v>1</v>
      </c>
      <c r="Q32" s="750"/>
      <c r="R32" s="337">
        <v>1</v>
      </c>
      <c r="S32" s="348">
        <f t="shared" si="8"/>
        <v>3.37</v>
      </c>
      <c r="T32" s="319"/>
      <c r="V32" s="328">
        <v>3.3650000000000002</v>
      </c>
      <c r="W32" s="320"/>
      <c r="X32" s="348">
        <f t="shared" si="9"/>
        <v>0</v>
      </c>
      <c r="Y32" s="330"/>
      <c r="Z32" s="348">
        <f t="shared" si="10"/>
        <v>0</v>
      </c>
      <c r="AB32" s="328">
        <f t="shared" si="11"/>
        <v>-3.37</v>
      </c>
      <c r="AC32" s="328">
        <f t="shared" si="12"/>
        <v>-3.37</v>
      </c>
    </row>
    <row r="33" spans="1:29">
      <c r="A33" s="318"/>
      <c r="B33" s="319"/>
      <c r="C33" s="318"/>
      <c r="D33" s="318"/>
      <c r="E33" s="319"/>
      <c r="F33" s="319"/>
      <c r="G33" s="318" t="s">
        <v>565</v>
      </c>
      <c r="H33" s="318">
        <v>3.37</v>
      </c>
      <c r="I33" s="318">
        <v>1</v>
      </c>
      <c r="J33" s="318">
        <f t="shared" si="2"/>
        <v>1</v>
      </c>
      <c r="K33" s="318">
        <f t="shared" si="7"/>
        <v>3.37</v>
      </c>
      <c r="L33" s="318">
        <v>1998</v>
      </c>
      <c r="M33" s="318">
        <v>184</v>
      </c>
      <c r="N33" s="318">
        <v>1</v>
      </c>
      <c r="O33" s="318">
        <f t="shared" si="3"/>
        <v>3.37</v>
      </c>
      <c r="P33" s="750">
        <v>1</v>
      </c>
      <c r="Q33" s="750"/>
      <c r="R33" s="337">
        <v>1</v>
      </c>
      <c r="S33" s="348">
        <f t="shared" si="8"/>
        <v>3.37</v>
      </c>
      <c r="T33" s="319"/>
      <c r="V33" s="328">
        <v>3.3650000000000002</v>
      </c>
      <c r="W33" s="320"/>
      <c r="X33" s="348">
        <f t="shared" si="9"/>
        <v>0</v>
      </c>
      <c r="Y33" s="330"/>
      <c r="Z33" s="348">
        <f t="shared" si="10"/>
        <v>0</v>
      </c>
      <c r="AB33" s="328">
        <f t="shared" si="11"/>
        <v>-3.37</v>
      </c>
      <c r="AC33" s="328">
        <f t="shared" si="12"/>
        <v>-3.37</v>
      </c>
    </row>
    <row r="34" spans="1:29">
      <c r="A34" s="318"/>
      <c r="B34" s="319"/>
      <c r="C34" s="318"/>
      <c r="D34" s="318"/>
      <c r="E34" s="319"/>
      <c r="F34" s="319"/>
      <c r="G34" s="318" t="s">
        <v>566</v>
      </c>
      <c r="H34" s="318">
        <v>4.49</v>
      </c>
      <c r="I34" s="318">
        <v>1</v>
      </c>
      <c r="J34" s="318">
        <f t="shared" si="2"/>
        <v>1</v>
      </c>
      <c r="K34" s="318">
        <f t="shared" si="7"/>
        <v>4.49</v>
      </c>
      <c r="L34" s="318">
        <v>2005</v>
      </c>
      <c r="M34" s="318">
        <v>184</v>
      </c>
      <c r="N34" s="318">
        <v>1</v>
      </c>
      <c r="O34" s="318">
        <f t="shared" si="3"/>
        <v>4.49</v>
      </c>
      <c r="P34" s="750">
        <v>1</v>
      </c>
      <c r="Q34" s="750"/>
      <c r="R34" s="337">
        <v>1</v>
      </c>
      <c r="S34" s="348">
        <f t="shared" si="8"/>
        <v>4.49</v>
      </c>
      <c r="T34" s="319"/>
      <c r="V34" s="328">
        <f t="shared" ref="V34:V48" si="13">4.49</f>
        <v>4.49</v>
      </c>
      <c r="W34" s="320"/>
      <c r="X34" s="348">
        <f t="shared" si="9"/>
        <v>0</v>
      </c>
      <c r="Y34" s="330"/>
      <c r="Z34" s="348">
        <f t="shared" si="10"/>
        <v>0</v>
      </c>
      <c r="AB34" s="328">
        <f t="shared" si="11"/>
        <v>-4.49</v>
      </c>
      <c r="AC34" s="328">
        <f t="shared" si="12"/>
        <v>-4.49</v>
      </c>
    </row>
    <row r="35" spans="1:29">
      <c r="A35" s="318"/>
      <c r="B35" s="319"/>
      <c r="C35" s="318"/>
      <c r="D35" s="318"/>
      <c r="E35" s="319"/>
      <c r="F35" s="319"/>
      <c r="G35" s="318" t="s">
        <v>567</v>
      </c>
      <c r="H35" s="318">
        <v>4.49</v>
      </c>
      <c r="I35" s="318">
        <v>1</v>
      </c>
      <c r="J35" s="318">
        <f t="shared" si="2"/>
        <v>1</v>
      </c>
      <c r="K35" s="318">
        <f t="shared" si="7"/>
        <v>4.49</v>
      </c>
      <c r="L35" s="318">
        <v>2005</v>
      </c>
      <c r="M35" s="318">
        <v>184</v>
      </c>
      <c r="N35" s="318">
        <v>1</v>
      </c>
      <c r="O35" s="318">
        <f t="shared" si="3"/>
        <v>4.49</v>
      </c>
      <c r="P35" s="750">
        <v>1</v>
      </c>
      <c r="Q35" s="750"/>
      <c r="R35" s="337">
        <v>1</v>
      </c>
      <c r="S35" s="348">
        <f t="shared" si="8"/>
        <v>4.49</v>
      </c>
      <c r="T35" s="319"/>
      <c r="V35" s="328">
        <f t="shared" si="13"/>
        <v>4.49</v>
      </c>
      <c r="W35" s="320"/>
      <c r="X35" s="348">
        <f t="shared" si="9"/>
        <v>0</v>
      </c>
      <c r="Y35" s="330"/>
      <c r="Z35" s="348">
        <f t="shared" si="10"/>
        <v>0</v>
      </c>
      <c r="AB35" s="328">
        <f t="shared" si="11"/>
        <v>-4.49</v>
      </c>
      <c r="AC35" s="328">
        <f t="shared" si="12"/>
        <v>-4.49</v>
      </c>
    </row>
    <row r="36" spans="1:29">
      <c r="A36" s="318"/>
      <c r="B36" s="319"/>
      <c r="C36" s="318"/>
      <c r="D36" s="318"/>
      <c r="E36" s="319"/>
      <c r="F36" s="319"/>
      <c r="G36" s="318" t="s">
        <v>568</v>
      </c>
      <c r="H36" s="318">
        <v>4.49</v>
      </c>
      <c r="I36" s="318">
        <v>1</v>
      </c>
      <c r="J36" s="318">
        <f t="shared" si="2"/>
        <v>1</v>
      </c>
      <c r="K36" s="318">
        <f t="shared" si="7"/>
        <v>4.49</v>
      </c>
      <c r="L36" s="318">
        <v>2010</v>
      </c>
      <c r="M36" s="318">
        <v>184</v>
      </c>
      <c r="N36" s="318">
        <v>1</v>
      </c>
      <c r="O36" s="318">
        <f t="shared" si="3"/>
        <v>4.49</v>
      </c>
      <c r="P36" s="750">
        <v>1</v>
      </c>
      <c r="Q36" s="750"/>
      <c r="R36" s="337">
        <v>1</v>
      </c>
      <c r="S36" s="348">
        <f t="shared" si="8"/>
        <v>4.49</v>
      </c>
      <c r="T36" s="319"/>
      <c r="V36" s="328">
        <f t="shared" si="13"/>
        <v>4.49</v>
      </c>
      <c r="W36" s="320"/>
      <c r="X36" s="348">
        <f t="shared" si="9"/>
        <v>0</v>
      </c>
      <c r="Y36" s="330"/>
      <c r="Z36" s="348">
        <f t="shared" si="10"/>
        <v>0</v>
      </c>
      <c r="AB36" s="328">
        <f t="shared" si="11"/>
        <v>-4.49</v>
      </c>
      <c r="AC36" s="328">
        <f t="shared" si="12"/>
        <v>-4.49</v>
      </c>
    </row>
    <row r="37" spans="1:29">
      <c r="A37" s="318"/>
      <c r="B37" s="319"/>
      <c r="C37" s="318"/>
      <c r="D37" s="318"/>
      <c r="E37" s="319"/>
      <c r="F37" s="319"/>
      <c r="G37" s="318" t="s">
        <v>569</v>
      </c>
      <c r="H37" s="318">
        <v>4.49</v>
      </c>
      <c r="I37" s="318">
        <v>1</v>
      </c>
      <c r="J37" s="318">
        <f t="shared" si="2"/>
        <v>1</v>
      </c>
      <c r="K37" s="318">
        <f t="shared" si="7"/>
        <v>4.49</v>
      </c>
      <c r="L37" s="318">
        <v>2010</v>
      </c>
      <c r="M37" s="318">
        <v>184</v>
      </c>
      <c r="N37" s="318">
        <v>1</v>
      </c>
      <c r="O37" s="318">
        <f t="shared" si="3"/>
        <v>4.49</v>
      </c>
      <c r="P37" s="750">
        <v>1</v>
      </c>
      <c r="Q37" s="750"/>
      <c r="R37" s="337">
        <v>1</v>
      </c>
      <c r="S37" s="348">
        <f t="shared" si="8"/>
        <v>4.49</v>
      </c>
      <c r="T37" s="319"/>
      <c r="V37" s="328">
        <f t="shared" si="13"/>
        <v>4.49</v>
      </c>
      <c r="W37" s="320"/>
      <c r="X37" s="348">
        <f t="shared" si="9"/>
        <v>0</v>
      </c>
      <c r="Y37" s="330"/>
      <c r="Z37" s="348">
        <f t="shared" si="10"/>
        <v>0</v>
      </c>
      <c r="AB37" s="328">
        <f t="shared" si="11"/>
        <v>-4.49</v>
      </c>
      <c r="AC37" s="328">
        <f t="shared" si="12"/>
        <v>-4.49</v>
      </c>
    </row>
    <row r="38" spans="1:29">
      <c r="A38" s="318"/>
      <c r="B38" s="319"/>
      <c r="C38" s="318"/>
      <c r="D38" s="318"/>
      <c r="E38" s="319"/>
      <c r="F38" s="319"/>
      <c r="G38" s="318" t="s">
        <v>570</v>
      </c>
      <c r="H38" s="318">
        <v>4.49</v>
      </c>
      <c r="I38" s="318">
        <v>1</v>
      </c>
      <c r="J38" s="318">
        <f t="shared" si="2"/>
        <v>1</v>
      </c>
      <c r="K38" s="318">
        <f t="shared" si="7"/>
        <v>4.49</v>
      </c>
      <c r="L38" s="318">
        <v>2011</v>
      </c>
      <c r="M38" s="318">
        <v>185</v>
      </c>
      <c r="N38" s="318">
        <v>1</v>
      </c>
      <c r="O38" s="318">
        <f t="shared" si="3"/>
        <v>4.49</v>
      </c>
      <c r="P38" s="750">
        <v>1</v>
      </c>
      <c r="Q38" s="750"/>
      <c r="R38" s="337">
        <v>1</v>
      </c>
      <c r="S38" s="348">
        <f t="shared" si="8"/>
        <v>4.49</v>
      </c>
      <c r="T38" s="319"/>
      <c r="V38" s="328">
        <f t="shared" si="13"/>
        <v>4.49</v>
      </c>
      <c r="W38" s="320"/>
      <c r="X38" s="348">
        <f t="shared" si="9"/>
        <v>0</v>
      </c>
      <c r="Y38" s="330"/>
      <c r="Z38" s="348">
        <f t="shared" si="10"/>
        <v>0</v>
      </c>
      <c r="AB38" s="328">
        <f t="shared" si="11"/>
        <v>-4.49</v>
      </c>
      <c r="AC38" s="328">
        <f t="shared" si="12"/>
        <v>-4.49</v>
      </c>
    </row>
    <row r="39" spans="1:29" ht="15" thickBot="1">
      <c r="A39" s="318"/>
      <c r="B39" s="319"/>
      <c r="C39" s="318"/>
      <c r="D39" s="318"/>
      <c r="E39" s="319"/>
      <c r="F39" s="319"/>
      <c r="G39" s="318" t="s">
        <v>571</v>
      </c>
      <c r="H39" s="318">
        <v>4.49</v>
      </c>
      <c r="I39" s="318">
        <v>1</v>
      </c>
      <c r="J39" s="318">
        <f t="shared" si="2"/>
        <v>1</v>
      </c>
      <c r="K39" s="318">
        <f t="shared" si="7"/>
        <v>4.49</v>
      </c>
      <c r="L39" s="318">
        <v>2011</v>
      </c>
      <c r="M39" s="318">
        <v>185</v>
      </c>
      <c r="N39" s="318">
        <v>1</v>
      </c>
      <c r="O39" s="318">
        <f t="shared" si="3"/>
        <v>4.49</v>
      </c>
      <c r="P39" s="750">
        <v>1</v>
      </c>
      <c r="Q39" s="750"/>
      <c r="R39" s="592">
        <v>1</v>
      </c>
      <c r="S39" s="348">
        <f t="shared" si="8"/>
        <v>4.49</v>
      </c>
      <c r="T39" s="319"/>
      <c r="V39" s="328">
        <f t="shared" si="13"/>
        <v>4.49</v>
      </c>
      <c r="W39" s="320"/>
      <c r="X39" s="348">
        <f t="shared" si="9"/>
        <v>0</v>
      </c>
      <c r="Y39" s="330"/>
      <c r="Z39" s="348">
        <f t="shared" si="10"/>
        <v>0</v>
      </c>
      <c r="AB39" s="328">
        <f t="shared" si="11"/>
        <v>-4.49</v>
      </c>
      <c r="AC39" s="328">
        <f t="shared" si="12"/>
        <v>-4.49</v>
      </c>
    </row>
    <row r="40" spans="1:29" ht="15.6" thickTop="1" thickBot="1">
      <c r="A40" s="318"/>
      <c r="B40" s="319"/>
      <c r="C40" s="318"/>
      <c r="D40" s="318"/>
      <c r="E40" s="319"/>
      <c r="F40" s="654"/>
      <c r="G40" s="649" t="s">
        <v>572</v>
      </c>
      <c r="H40" s="318">
        <v>4.49</v>
      </c>
      <c r="I40" s="318">
        <v>1</v>
      </c>
      <c r="J40" s="318">
        <v>1</v>
      </c>
      <c r="K40" s="318">
        <f t="shared" si="7"/>
        <v>4.49</v>
      </c>
      <c r="L40" s="350" t="s">
        <v>3287</v>
      </c>
      <c r="M40" s="318"/>
      <c r="N40" s="318">
        <v>1</v>
      </c>
      <c r="O40" s="619">
        <f t="shared" si="3"/>
        <v>4.49</v>
      </c>
      <c r="P40" s="755"/>
      <c r="Q40" s="747"/>
      <c r="R40" s="624"/>
      <c r="S40" s="348">
        <f t="shared" si="8"/>
        <v>0</v>
      </c>
      <c r="T40" s="319"/>
      <c r="V40" s="328">
        <f t="shared" si="13"/>
        <v>4.49</v>
      </c>
      <c r="W40" s="320"/>
      <c r="X40" s="348">
        <f t="shared" si="9"/>
        <v>0</v>
      </c>
      <c r="Y40" s="330"/>
      <c r="Z40" s="348">
        <f t="shared" si="10"/>
        <v>0</v>
      </c>
      <c r="AB40" s="328">
        <f t="shared" si="11"/>
        <v>-4.49</v>
      </c>
      <c r="AC40" s="328">
        <f t="shared" si="12"/>
        <v>0</v>
      </c>
    </row>
    <row r="41" spans="1:29" ht="15.6" thickTop="1" thickBot="1">
      <c r="A41" s="318"/>
      <c r="B41" s="319"/>
      <c r="C41" s="318"/>
      <c r="D41" s="318"/>
      <c r="E41" s="319"/>
      <c r="F41" s="654"/>
      <c r="G41" s="649" t="s">
        <v>573</v>
      </c>
      <c r="H41" s="318">
        <v>4.49</v>
      </c>
      <c r="I41" s="318">
        <v>1</v>
      </c>
      <c r="J41" s="318">
        <v>1</v>
      </c>
      <c r="K41" s="318">
        <f t="shared" si="7"/>
        <v>4.49</v>
      </c>
      <c r="L41" s="350" t="s">
        <v>3287</v>
      </c>
      <c r="M41" s="318"/>
      <c r="N41" s="318">
        <v>1</v>
      </c>
      <c r="O41" s="619">
        <f t="shared" si="3"/>
        <v>4.49</v>
      </c>
      <c r="P41" s="755"/>
      <c r="Q41" s="747"/>
      <c r="R41" s="624"/>
      <c r="S41" s="348">
        <f t="shared" si="8"/>
        <v>0</v>
      </c>
      <c r="T41" s="319"/>
      <c r="V41" s="328">
        <f t="shared" si="13"/>
        <v>4.49</v>
      </c>
      <c r="W41" s="320"/>
      <c r="X41" s="348">
        <f t="shared" si="9"/>
        <v>0</v>
      </c>
      <c r="Y41" s="330"/>
      <c r="Z41" s="348">
        <f t="shared" si="10"/>
        <v>0</v>
      </c>
      <c r="AB41" s="328">
        <f t="shared" si="11"/>
        <v>-4.49</v>
      </c>
      <c r="AC41" s="328">
        <f t="shared" si="12"/>
        <v>0</v>
      </c>
    </row>
    <row r="42" spans="1:29" ht="15.6" thickTop="1" thickBot="1">
      <c r="A42" s="318"/>
      <c r="B42" s="319"/>
      <c r="C42" s="318"/>
      <c r="D42" s="318"/>
      <c r="E42" s="319"/>
      <c r="F42" s="654"/>
      <c r="G42" s="649" t="s">
        <v>574</v>
      </c>
      <c r="H42" s="318">
        <v>4.49</v>
      </c>
      <c r="I42" s="318">
        <v>1</v>
      </c>
      <c r="J42" s="318">
        <v>1</v>
      </c>
      <c r="K42" s="318">
        <f t="shared" si="7"/>
        <v>4.49</v>
      </c>
      <c r="L42" s="481" t="s">
        <v>3288</v>
      </c>
      <c r="M42" s="318"/>
      <c r="N42" s="318">
        <v>1</v>
      </c>
      <c r="O42" s="619">
        <f t="shared" si="3"/>
        <v>4.49</v>
      </c>
      <c r="P42" s="755"/>
      <c r="Q42" s="747"/>
      <c r="R42" s="624"/>
      <c r="S42" s="348">
        <f t="shared" si="8"/>
        <v>0</v>
      </c>
      <c r="T42" s="319"/>
      <c r="V42" s="328">
        <f t="shared" si="13"/>
        <v>4.49</v>
      </c>
      <c r="W42" s="320"/>
      <c r="X42" s="348">
        <f t="shared" si="9"/>
        <v>0</v>
      </c>
      <c r="Y42" s="330"/>
      <c r="Z42" s="348">
        <f t="shared" si="10"/>
        <v>0</v>
      </c>
      <c r="AB42" s="328">
        <f t="shared" si="11"/>
        <v>-4.49</v>
      </c>
      <c r="AC42" s="328">
        <f t="shared" si="12"/>
        <v>0</v>
      </c>
    </row>
    <row r="43" spans="1:29" ht="15.6" thickTop="1" thickBot="1">
      <c r="A43" s="318"/>
      <c r="B43" s="319"/>
      <c r="C43" s="318"/>
      <c r="D43" s="318"/>
      <c r="E43" s="319"/>
      <c r="F43" s="654"/>
      <c r="G43" s="649" t="s">
        <v>575</v>
      </c>
      <c r="H43" s="318">
        <v>4.49</v>
      </c>
      <c r="I43" s="318">
        <v>1</v>
      </c>
      <c r="J43" s="318">
        <v>1</v>
      </c>
      <c r="K43" s="318">
        <f t="shared" si="7"/>
        <v>4.49</v>
      </c>
      <c r="L43" s="350" t="s">
        <v>3289</v>
      </c>
      <c r="M43" s="350" t="s">
        <v>3306</v>
      </c>
      <c r="N43" s="318">
        <v>1</v>
      </c>
      <c r="O43" s="619">
        <f t="shared" si="3"/>
        <v>4.49</v>
      </c>
      <c r="P43" s="755"/>
      <c r="Q43" s="747"/>
      <c r="R43" s="624"/>
      <c r="S43" s="348">
        <f t="shared" si="8"/>
        <v>0</v>
      </c>
      <c r="T43" s="319"/>
      <c r="V43" s="328">
        <f t="shared" si="13"/>
        <v>4.49</v>
      </c>
      <c r="W43" s="320"/>
      <c r="X43" s="348">
        <f t="shared" si="9"/>
        <v>0</v>
      </c>
      <c r="Y43" s="330"/>
      <c r="Z43" s="348">
        <f t="shared" si="10"/>
        <v>0</v>
      </c>
      <c r="AB43" s="328">
        <f t="shared" si="11"/>
        <v>-4.49</v>
      </c>
      <c r="AC43" s="328">
        <f t="shared" si="12"/>
        <v>0</v>
      </c>
    </row>
    <row r="44" spans="1:29" ht="15.6" thickTop="1" thickBot="1">
      <c r="A44" s="318"/>
      <c r="B44" s="319"/>
      <c r="C44" s="318"/>
      <c r="D44" s="318"/>
      <c r="E44" s="319"/>
      <c r="F44" s="654"/>
      <c r="G44" s="649" t="s">
        <v>576</v>
      </c>
      <c r="H44" s="318">
        <v>4.49</v>
      </c>
      <c r="I44" s="318">
        <v>1</v>
      </c>
      <c r="J44" s="318">
        <v>1</v>
      </c>
      <c r="K44" s="318">
        <f t="shared" si="7"/>
        <v>4.49</v>
      </c>
      <c r="L44" s="350" t="s">
        <v>3289</v>
      </c>
      <c r="M44" s="350" t="s">
        <v>3306</v>
      </c>
      <c r="N44" s="318">
        <v>1</v>
      </c>
      <c r="O44" s="619">
        <f t="shared" si="3"/>
        <v>4.49</v>
      </c>
      <c r="P44" s="755"/>
      <c r="Q44" s="747"/>
      <c r="R44" s="624"/>
      <c r="S44" s="348">
        <f t="shared" si="8"/>
        <v>0</v>
      </c>
      <c r="T44" s="319"/>
      <c r="V44" s="328">
        <f t="shared" si="13"/>
        <v>4.49</v>
      </c>
      <c r="W44" s="320"/>
      <c r="X44" s="348">
        <f t="shared" si="9"/>
        <v>0</v>
      </c>
      <c r="Y44" s="330"/>
      <c r="Z44" s="348">
        <f t="shared" si="10"/>
        <v>0</v>
      </c>
      <c r="AB44" s="328">
        <f t="shared" si="11"/>
        <v>-4.49</v>
      </c>
      <c r="AC44" s="328">
        <f t="shared" si="12"/>
        <v>0</v>
      </c>
    </row>
    <row r="45" spans="1:29" ht="15.6" thickTop="1" thickBot="1">
      <c r="A45" s="318"/>
      <c r="B45" s="319"/>
      <c r="C45" s="318"/>
      <c r="D45" s="318"/>
      <c r="E45" s="319"/>
      <c r="F45" s="654"/>
      <c r="G45" s="649" t="s">
        <v>577</v>
      </c>
      <c r="H45" s="318">
        <v>4.49</v>
      </c>
      <c r="I45" s="318">
        <v>1</v>
      </c>
      <c r="J45" s="318">
        <v>1</v>
      </c>
      <c r="K45" s="318">
        <f t="shared" si="7"/>
        <v>4.49</v>
      </c>
      <c r="L45" s="350" t="s">
        <v>3289</v>
      </c>
      <c r="M45" s="350" t="s">
        <v>3306</v>
      </c>
      <c r="N45" s="318">
        <v>1</v>
      </c>
      <c r="O45" s="619">
        <f t="shared" si="3"/>
        <v>4.49</v>
      </c>
      <c r="P45" s="755"/>
      <c r="Q45" s="747"/>
      <c r="R45" s="624"/>
      <c r="S45" s="348">
        <f t="shared" si="8"/>
        <v>0</v>
      </c>
      <c r="T45" s="319"/>
      <c r="V45" s="328">
        <f t="shared" si="13"/>
        <v>4.49</v>
      </c>
      <c r="W45" s="320"/>
      <c r="X45" s="348">
        <f t="shared" si="9"/>
        <v>0</v>
      </c>
      <c r="Y45" s="330"/>
      <c r="Z45" s="348">
        <f t="shared" si="10"/>
        <v>0</v>
      </c>
      <c r="AB45" s="328">
        <f t="shared" si="11"/>
        <v>-4.49</v>
      </c>
      <c r="AC45" s="328">
        <f t="shared" si="12"/>
        <v>0</v>
      </c>
    </row>
    <row r="46" spans="1:29" ht="15" thickTop="1">
      <c r="A46" s="318"/>
      <c r="B46" s="319"/>
      <c r="C46" s="318"/>
      <c r="D46" s="318"/>
      <c r="E46" s="319"/>
      <c r="F46" s="319"/>
      <c r="G46" s="318" t="s">
        <v>578</v>
      </c>
      <c r="H46" s="318">
        <v>4.49</v>
      </c>
      <c r="I46" s="318">
        <v>1</v>
      </c>
      <c r="J46" s="318">
        <f t="shared" si="2"/>
        <v>1</v>
      </c>
      <c r="K46" s="318">
        <f t="shared" si="7"/>
        <v>4.49</v>
      </c>
      <c r="L46" s="318">
        <v>2022</v>
      </c>
      <c r="M46" s="318">
        <v>186</v>
      </c>
      <c r="N46" s="318">
        <v>1</v>
      </c>
      <c r="O46" s="619">
        <f t="shared" si="3"/>
        <v>4.49</v>
      </c>
      <c r="P46" s="750">
        <v>1</v>
      </c>
      <c r="Q46" s="750"/>
      <c r="R46" s="337">
        <v>1</v>
      </c>
      <c r="S46" s="348">
        <f t="shared" si="8"/>
        <v>4.49</v>
      </c>
      <c r="T46" s="319"/>
      <c r="V46" s="328">
        <f t="shared" si="13"/>
        <v>4.49</v>
      </c>
      <c r="W46" s="320"/>
      <c r="X46" s="348">
        <f t="shared" si="9"/>
        <v>0</v>
      </c>
      <c r="Y46" s="330"/>
      <c r="Z46" s="348">
        <f t="shared" si="10"/>
        <v>0</v>
      </c>
      <c r="AB46" s="328">
        <f t="shared" si="11"/>
        <v>-4.49</v>
      </c>
      <c r="AC46" s="328">
        <f t="shared" si="12"/>
        <v>-4.49</v>
      </c>
    </row>
    <row r="47" spans="1:29">
      <c r="A47" s="318"/>
      <c r="B47" s="319"/>
      <c r="C47" s="318"/>
      <c r="D47" s="318"/>
      <c r="E47" s="319"/>
      <c r="F47" s="319"/>
      <c r="G47" s="318" t="s">
        <v>579</v>
      </c>
      <c r="H47" s="318">
        <v>4.49</v>
      </c>
      <c r="I47" s="318">
        <v>1</v>
      </c>
      <c r="J47" s="318">
        <f t="shared" si="2"/>
        <v>1</v>
      </c>
      <c r="K47" s="318">
        <f t="shared" si="7"/>
        <v>4.49</v>
      </c>
      <c r="L47" s="350" t="s">
        <v>3093</v>
      </c>
      <c r="M47" s="318">
        <v>184</v>
      </c>
      <c r="N47" s="318">
        <v>1</v>
      </c>
      <c r="O47" s="619">
        <f t="shared" si="3"/>
        <v>4.49</v>
      </c>
      <c r="P47" s="750">
        <v>1</v>
      </c>
      <c r="Q47" s="750"/>
      <c r="R47" s="337">
        <v>1</v>
      </c>
      <c r="S47" s="348">
        <f t="shared" si="8"/>
        <v>4.49</v>
      </c>
      <c r="T47" s="319"/>
      <c r="V47" s="328">
        <f t="shared" si="13"/>
        <v>4.49</v>
      </c>
      <c r="W47" s="320"/>
      <c r="X47" s="348">
        <f t="shared" si="9"/>
        <v>0</v>
      </c>
      <c r="Y47" s="330"/>
      <c r="Z47" s="348">
        <f t="shared" si="10"/>
        <v>0</v>
      </c>
      <c r="AB47" s="328">
        <f t="shared" si="11"/>
        <v>-4.49</v>
      </c>
      <c r="AC47" s="328">
        <f t="shared" si="12"/>
        <v>-4.49</v>
      </c>
    </row>
    <row r="48" spans="1:29">
      <c r="A48" s="318"/>
      <c r="B48" s="319"/>
      <c r="C48" s="318"/>
      <c r="D48" s="318"/>
      <c r="E48" s="319"/>
      <c r="F48" s="336" t="s">
        <v>539</v>
      </c>
      <c r="G48" s="318" t="s">
        <v>580</v>
      </c>
      <c r="H48" s="318">
        <v>4.49</v>
      </c>
      <c r="I48" s="318">
        <v>1</v>
      </c>
      <c r="J48" s="318">
        <f t="shared" si="2"/>
        <v>1</v>
      </c>
      <c r="K48" s="318">
        <f t="shared" si="7"/>
        <v>4.49</v>
      </c>
      <c r="L48" s="318">
        <v>2007</v>
      </c>
      <c r="M48" s="318">
        <v>184</v>
      </c>
      <c r="N48" s="318">
        <v>1</v>
      </c>
      <c r="O48" s="619">
        <f t="shared" si="3"/>
        <v>4.49</v>
      </c>
      <c r="P48" s="750">
        <v>1</v>
      </c>
      <c r="Q48" s="750"/>
      <c r="R48" s="337">
        <v>1</v>
      </c>
      <c r="S48" s="348">
        <f t="shared" si="8"/>
        <v>4.49</v>
      </c>
      <c r="T48" s="319"/>
      <c r="V48" s="328">
        <f t="shared" si="13"/>
        <v>4.49</v>
      </c>
      <c r="W48" s="320"/>
      <c r="X48" s="348">
        <f t="shared" si="9"/>
        <v>0</v>
      </c>
      <c r="Y48" s="330"/>
      <c r="Z48" s="348">
        <f t="shared" si="10"/>
        <v>0</v>
      </c>
      <c r="AB48" s="328">
        <f t="shared" si="11"/>
        <v>-4.49</v>
      </c>
      <c r="AC48" s="328">
        <f t="shared" si="12"/>
        <v>-4.49</v>
      </c>
    </row>
    <row r="49" spans="1:29">
      <c r="A49" s="318"/>
      <c r="B49" s="319"/>
      <c r="C49" s="318"/>
      <c r="D49" s="318"/>
      <c r="E49" s="319"/>
      <c r="F49" s="319"/>
      <c r="G49" s="318" t="s">
        <v>581</v>
      </c>
      <c r="H49" s="318">
        <v>4.49</v>
      </c>
      <c r="I49" s="318">
        <v>1</v>
      </c>
      <c r="J49" s="318">
        <f t="shared" si="2"/>
        <v>1</v>
      </c>
      <c r="K49" s="318">
        <f t="shared" si="7"/>
        <v>4.49</v>
      </c>
      <c r="L49" s="352" t="s">
        <v>2933</v>
      </c>
      <c r="M49" s="350" t="s">
        <v>2934</v>
      </c>
      <c r="N49" s="318">
        <v>1</v>
      </c>
      <c r="O49" s="619">
        <f t="shared" si="3"/>
        <v>4.49</v>
      </c>
      <c r="P49" s="750">
        <v>1</v>
      </c>
      <c r="Q49" s="750"/>
      <c r="R49" s="337">
        <v>1</v>
      </c>
      <c r="S49" s="348">
        <f t="shared" si="8"/>
        <v>4.49</v>
      </c>
      <c r="T49" s="319"/>
      <c r="V49" s="328">
        <f>4.49+1.8</f>
        <v>6.29</v>
      </c>
      <c r="W49" s="320"/>
      <c r="X49" s="348">
        <f t="shared" si="9"/>
        <v>0</v>
      </c>
      <c r="Y49" s="330"/>
      <c r="Z49" s="348">
        <f t="shared" si="10"/>
        <v>0</v>
      </c>
      <c r="AB49" s="328">
        <f t="shared" si="11"/>
        <v>-4.49</v>
      </c>
      <c r="AC49" s="328">
        <f t="shared" si="12"/>
        <v>-4.49</v>
      </c>
    </row>
    <row r="50" spans="1:29">
      <c r="A50" s="318"/>
      <c r="B50" s="319"/>
      <c r="C50" s="318"/>
      <c r="D50" s="318"/>
      <c r="E50" s="319"/>
      <c r="F50" s="319"/>
      <c r="G50" s="318" t="s">
        <v>582</v>
      </c>
      <c r="H50" s="318">
        <v>4.9800000000000004</v>
      </c>
      <c r="I50" s="318">
        <v>1</v>
      </c>
      <c r="J50" s="318">
        <f t="shared" si="2"/>
        <v>1</v>
      </c>
      <c r="K50" s="318">
        <f t="shared" si="7"/>
        <v>4.9800000000000004</v>
      </c>
      <c r="L50" s="350" t="s">
        <v>2989</v>
      </c>
      <c r="M50" s="350" t="s">
        <v>2889</v>
      </c>
      <c r="N50" s="318">
        <v>1</v>
      </c>
      <c r="O50" s="619">
        <f t="shared" si="3"/>
        <v>4.9800000000000004</v>
      </c>
      <c r="P50" s="750">
        <v>1</v>
      </c>
      <c r="Q50" s="750"/>
      <c r="R50" s="337">
        <v>1</v>
      </c>
      <c r="S50" s="348">
        <f t="shared" si="8"/>
        <v>4.9800000000000004</v>
      </c>
      <c r="T50" s="319"/>
      <c r="V50" s="328">
        <f>3.805-0.6</f>
        <v>3.2050000000000001</v>
      </c>
      <c r="W50" s="320"/>
      <c r="X50" s="348">
        <f t="shared" si="9"/>
        <v>0</v>
      </c>
      <c r="Y50" s="330"/>
      <c r="Z50" s="348">
        <f t="shared" si="10"/>
        <v>0</v>
      </c>
      <c r="AB50" s="328">
        <f t="shared" si="11"/>
        <v>-4.9800000000000004</v>
      </c>
      <c r="AC50" s="328">
        <f t="shared" si="12"/>
        <v>-4.9800000000000004</v>
      </c>
    </row>
    <row r="51" spans="1:29">
      <c r="A51" s="318"/>
      <c r="B51" s="319"/>
      <c r="C51" s="318"/>
      <c r="D51" s="318"/>
      <c r="E51" s="319"/>
      <c r="F51" s="319"/>
      <c r="G51" s="318" t="s">
        <v>583</v>
      </c>
      <c r="H51" s="318">
        <v>4.3499999999999996</v>
      </c>
      <c r="I51" s="318">
        <v>1</v>
      </c>
      <c r="J51" s="318">
        <f t="shared" si="2"/>
        <v>1</v>
      </c>
      <c r="K51" s="318">
        <f t="shared" si="7"/>
        <v>4.3499999999999996</v>
      </c>
      <c r="L51" s="350" t="s">
        <v>2892</v>
      </c>
      <c r="M51" s="350" t="s">
        <v>2891</v>
      </c>
      <c r="N51" s="318">
        <v>1</v>
      </c>
      <c r="O51" s="619">
        <f t="shared" si="3"/>
        <v>4.3499999999999996</v>
      </c>
      <c r="P51" s="750">
        <v>1</v>
      </c>
      <c r="Q51" s="750"/>
      <c r="R51" s="337">
        <v>1</v>
      </c>
      <c r="S51" s="348">
        <f t="shared" si="8"/>
        <v>4.3499999999999996</v>
      </c>
      <c r="T51" s="319"/>
      <c r="V51" s="328">
        <f>4.34</f>
        <v>4.34</v>
      </c>
      <c r="W51" s="320"/>
      <c r="X51" s="348">
        <f t="shared" si="9"/>
        <v>0</v>
      </c>
      <c r="Y51" s="330"/>
      <c r="Z51" s="348">
        <f t="shared" si="10"/>
        <v>0</v>
      </c>
      <c r="AB51" s="328">
        <f t="shared" si="11"/>
        <v>-4.3499999999999996</v>
      </c>
      <c r="AC51" s="328">
        <f t="shared" si="12"/>
        <v>-4.3499999999999996</v>
      </c>
    </row>
    <row r="52" spans="1:29">
      <c r="A52" s="318"/>
      <c r="B52" s="319"/>
      <c r="C52" s="318"/>
      <c r="D52" s="318"/>
      <c r="E52" s="319"/>
      <c r="F52" s="319"/>
      <c r="G52" s="318" t="s">
        <v>584</v>
      </c>
      <c r="H52" s="318">
        <v>4.3499999999999996</v>
      </c>
      <c r="I52" s="318">
        <v>1</v>
      </c>
      <c r="J52" s="318">
        <f t="shared" si="2"/>
        <v>1</v>
      </c>
      <c r="K52" s="318">
        <f t="shared" si="7"/>
        <v>4.3499999999999996</v>
      </c>
      <c r="L52" s="352" t="s">
        <v>2935</v>
      </c>
      <c r="M52" s="350" t="s">
        <v>2927</v>
      </c>
      <c r="N52" s="318">
        <v>1</v>
      </c>
      <c r="O52" s="619">
        <f t="shared" si="3"/>
        <v>4.3499999999999996</v>
      </c>
      <c r="P52" s="750">
        <v>1</v>
      </c>
      <c r="Q52" s="750"/>
      <c r="R52" s="337">
        <v>1</v>
      </c>
      <c r="S52" s="348">
        <f t="shared" si="8"/>
        <v>4.3499999999999996</v>
      </c>
      <c r="T52" s="319"/>
      <c r="V52" s="328">
        <f>4.34</f>
        <v>4.34</v>
      </c>
      <c r="W52" s="320"/>
      <c r="X52" s="348">
        <f t="shared" si="9"/>
        <v>0</v>
      </c>
      <c r="Y52" s="330"/>
      <c r="Z52" s="348">
        <f t="shared" si="10"/>
        <v>0</v>
      </c>
      <c r="AB52" s="328">
        <f t="shared" si="11"/>
        <v>-4.3499999999999996</v>
      </c>
      <c r="AC52" s="328">
        <f t="shared" si="12"/>
        <v>-4.3499999999999996</v>
      </c>
    </row>
    <row r="53" spans="1:29">
      <c r="A53" s="318"/>
      <c r="B53" s="319"/>
      <c r="C53" s="318"/>
      <c r="D53" s="318"/>
      <c r="E53" s="319"/>
      <c r="F53" s="319"/>
      <c r="G53" s="318" t="s">
        <v>585</v>
      </c>
      <c r="H53" s="318">
        <v>4.3499999999999996</v>
      </c>
      <c r="I53" s="318">
        <v>1</v>
      </c>
      <c r="J53" s="318">
        <f t="shared" si="2"/>
        <v>1</v>
      </c>
      <c r="K53" s="318">
        <f t="shared" si="7"/>
        <v>4.3499999999999996</v>
      </c>
      <c r="L53" s="350" t="s">
        <v>2888</v>
      </c>
      <c r="M53" s="350" t="s">
        <v>2886</v>
      </c>
      <c r="N53" s="318">
        <v>1</v>
      </c>
      <c r="O53" s="619">
        <f t="shared" si="3"/>
        <v>4.3499999999999996</v>
      </c>
      <c r="P53" s="750">
        <v>1</v>
      </c>
      <c r="Q53" s="750"/>
      <c r="R53" s="337">
        <v>1</v>
      </c>
      <c r="S53" s="348">
        <f t="shared" si="8"/>
        <v>4.3499999999999996</v>
      </c>
      <c r="T53" s="319"/>
      <c r="V53" s="328">
        <f>4.34</f>
        <v>4.34</v>
      </c>
      <c r="W53" s="320"/>
      <c r="X53" s="348">
        <f t="shared" si="9"/>
        <v>0</v>
      </c>
      <c r="Y53" s="330"/>
      <c r="Z53" s="348">
        <f t="shared" si="10"/>
        <v>0</v>
      </c>
      <c r="AB53" s="328">
        <f t="shared" si="11"/>
        <v>-4.3499999999999996</v>
      </c>
      <c r="AC53" s="328">
        <f t="shared" si="12"/>
        <v>-4.3499999999999996</v>
      </c>
    </row>
    <row r="54" spans="1:29">
      <c r="A54" s="318"/>
      <c r="B54" s="319"/>
      <c r="C54" s="318"/>
      <c r="D54" s="318"/>
      <c r="E54" s="319"/>
      <c r="F54" s="319"/>
      <c r="G54" s="318" t="s">
        <v>586</v>
      </c>
      <c r="H54" s="318">
        <v>4.3499999999999996</v>
      </c>
      <c r="I54" s="318">
        <v>1</v>
      </c>
      <c r="J54" s="318">
        <f t="shared" si="2"/>
        <v>1</v>
      </c>
      <c r="K54" s="318">
        <f t="shared" si="7"/>
        <v>4.3499999999999996</v>
      </c>
      <c r="L54" s="350" t="s">
        <v>2893</v>
      </c>
      <c r="M54" s="350" t="s">
        <v>2891</v>
      </c>
      <c r="N54" s="318">
        <v>1</v>
      </c>
      <c r="O54" s="619">
        <f t="shared" si="3"/>
        <v>4.3499999999999996</v>
      </c>
      <c r="P54" s="750">
        <v>1</v>
      </c>
      <c r="Q54" s="750"/>
      <c r="R54" s="337">
        <v>1</v>
      </c>
      <c r="S54" s="348">
        <f t="shared" si="8"/>
        <v>4.3499999999999996</v>
      </c>
      <c r="T54" s="319"/>
      <c r="V54" s="328">
        <f>4.34</f>
        <v>4.34</v>
      </c>
      <c r="W54" s="320"/>
      <c r="X54" s="348">
        <f t="shared" si="9"/>
        <v>0</v>
      </c>
      <c r="Y54" s="330"/>
      <c r="Z54" s="348">
        <f t="shared" si="10"/>
        <v>0</v>
      </c>
      <c r="AB54" s="328">
        <f t="shared" si="11"/>
        <v>-4.3499999999999996</v>
      </c>
      <c r="AC54" s="328">
        <f t="shared" si="12"/>
        <v>-4.3499999999999996</v>
      </c>
    </row>
    <row r="55" spans="1:29" collapsed="1">
      <c r="A55" s="318"/>
      <c r="B55" s="319"/>
      <c r="C55" s="318"/>
      <c r="D55" s="318"/>
      <c r="E55" s="319"/>
      <c r="F55" s="319"/>
      <c r="G55" s="318" t="s">
        <v>587</v>
      </c>
      <c r="H55" s="318">
        <v>5.17</v>
      </c>
      <c r="I55" s="318">
        <v>1</v>
      </c>
      <c r="J55" s="318">
        <f t="shared" si="2"/>
        <v>1</v>
      </c>
      <c r="K55" s="318">
        <f t="shared" si="7"/>
        <v>5.17</v>
      </c>
      <c r="L55" s="352" t="s">
        <v>2948</v>
      </c>
      <c r="M55" s="350" t="s">
        <v>2947</v>
      </c>
      <c r="N55" s="318">
        <v>1</v>
      </c>
      <c r="O55" s="619">
        <f t="shared" si="3"/>
        <v>5.17</v>
      </c>
      <c r="P55" s="750">
        <v>1</v>
      </c>
      <c r="Q55" s="750"/>
      <c r="R55" s="337">
        <v>1</v>
      </c>
      <c r="S55" s="348">
        <f>H55*R55</f>
        <v>5.17</v>
      </c>
      <c r="T55" s="319"/>
      <c r="V55" s="328">
        <f>3.995-0.6</f>
        <v>3.395</v>
      </c>
      <c r="W55" s="320"/>
      <c r="X55" s="348">
        <f t="shared" si="9"/>
        <v>0</v>
      </c>
      <c r="Y55" s="330"/>
      <c r="Z55" s="348">
        <f t="shared" si="10"/>
        <v>0</v>
      </c>
      <c r="AB55" s="328">
        <f t="shared" si="11"/>
        <v>-5.17</v>
      </c>
      <c r="AC55" s="328">
        <f t="shared" si="12"/>
        <v>-5.17</v>
      </c>
    </row>
    <row r="56" spans="1:29">
      <c r="A56" s="318"/>
      <c r="B56" s="319"/>
      <c r="C56" s="318"/>
      <c r="D56" s="318"/>
      <c r="E56" s="319"/>
      <c r="F56" s="319"/>
      <c r="G56" s="318"/>
      <c r="H56" s="318"/>
      <c r="I56" s="318"/>
      <c r="J56" s="382" t="s">
        <v>389</v>
      </c>
      <c r="K56" s="321">
        <f>SUM(K6:K55)</f>
        <v>199.50000000000006</v>
      </c>
      <c r="L56" s="318"/>
      <c r="M56" s="318"/>
      <c r="N56" s="382" t="s">
        <v>389</v>
      </c>
      <c r="O56" s="748">
        <f>SUM(O6:O55)</f>
        <v>199.50000000000006</v>
      </c>
      <c r="P56" s="751" t="s">
        <v>389</v>
      </c>
      <c r="Q56" s="751"/>
      <c r="R56" s="382"/>
      <c r="S56" s="321">
        <f>SUM(S6:S55)</f>
        <v>172.56</v>
      </c>
      <c r="T56" s="319"/>
      <c r="V56" s="328"/>
      <c r="W56" s="321" t="s">
        <v>389</v>
      </c>
      <c r="X56" s="338">
        <f>SUM(X6:X55)</f>
        <v>20.204999999999998</v>
      </c>
      <c r="Y56" s="321" t="s">
        <v>389</v>
      </c>
      <c r="Z56" s="338">
        <f>SUM(Z6:Z55)</f>
        <v>0</v>
      </c>
      <c r="AB56" s="328"/>
      <c r="AC56" s="328"/>
    </row>
    <row r="57" spans="1:29" ht="6.75" customHeight="1">
      <c r="A57" s="316"/>
      <c r="B57" s="317"/>
      <c r="C57" s="316"/>
      <c r="D57" s="316"/>
      <c r="E57" s="317"/>
      <c r="F57" s="317"/>
      <c r="G57" s="316"/>
      <c r="H57" s="316"/>
      <c r="I57" s="316"/>
      <c r="J57" s="316"/>
      <c r="K57" s="316"/>
      <c r="L57" s="316"/>
      <c r="M57" s="316"/>
      <c r="N57" s="316"/>
      <c r="O57" s="749"/>
      <c r="P57" s="633"/>
      <c r="Q57" s="633"/>
      <c r="R57" s="949"/>
      <c r="S57" s="339"/>
      <c r="T57" s="317"/>
      <c r="V57" s="332"/>
      <c r="W57" s="316"/>
      <c r="X57" s="339"/>
      <c r="Y57" s="316"/>
      <c r="Z57" s="339"/>
      <c r="AB57" s="332"/>
      <c r="AC57" s="332"/>
    </row>
    <row r="58" spans="1:29" s="461" customFormat="1">
      <c r="A58" s="318"/>
      <c r="B58" s="319"/>
      <c r="C58" s="318"/>
      <c r="D58" s="318"/>
      <c r="E58" s="319"/>
      <c r="F58" s="319"/>
      <c r="G58" s="318"/>
      <c r="H58" s="318"/>
      <c r="I58" s="318"/>
      <c r="J58" s="318"/>
      <c r="K58" s="318"/>
      <c r="L58" s="318"/>
      <c r="M58" s="318"/>
      <c r="N58" s="318"/>
      <c r="O58" s="619"/>
      <c r="P58" s="750"/>
      <c r="Q58" s="750"/>
      <c r="R58" s="337"/>
      <c r="S58" s="348"/>
      <c r="T58" s="319"/>
      <c r="V58" s="462"/>
      <c r="W58" s="460"/>
      <c r="X58" s="460"/>
      <c r="Y58" s="459"/>
      <c r="Z58" s="460"/>
      <c r="AB58" s="462"/>
      <c r="AC58" s="462"/>
    </row>
    <row r="59" spans="1:29">
      <c r="A59" s="318">
        <v>2</v>
      </c>
      <c r="B59" s="319" t="s">
        <v>383</v>
      </c>
      <c r="C59" s="318">
        <v>600</v>
      </c>
      <c r="D59" s="318">
        <v>7</v>
      </c>
      <c r="E59" s="319">
        <v>1</v>
      </c>
      <c r="F59" s="319"/>
      <c r="G59" s="318" t="s">
        <v>588</v>
      </c>
      <c r="H59" s="318">
        <v>4.49</v>
      </c>
      <c r="I59" s="318">
        <v>1</v>
      </c>
      <c r="J59" s="318">
        <f t="shared" ref="J59:J75" si="14">IF(N59&gt;0,1,0)</f>
        <v>1</v>
      </c>
      <c r="K59" s="318">
        <f t="shared" ref="K59:K75" si="15">H59*J59</f>
        <v>4.49</v>
      </c>
      <c r="L59" s="318" t="s">
        <v>301</v>
      </c>
      <c r="M59" s="318" t="s">
        <v>309</v>
      </c>
      <c r="N59" s="318">
        <v>1</v>
      </c>
      <c r="O59" s="619">
        <f t="shared" ref="O59:O75" si="16">H59*N59</f>
        <v>4.49</v>
      </c>
      <c r="P59" s="750">
        <v>1</v>
      </c>
      <c r="Q59" s="750"/>
      <c r="R59" s="337">
        <v>1</v>
      </c>
      <c r="S59" s="348">
        <f>H59*R59</f>
        <v>4.49</v>
      </c>
      <c r="T59" s="319"/>
      <c r="V59" s="328">
        <f>4.49+1.8</f>
        <v>6.29</v>
      </c>
      <c r="W59" s="320">
        <v>1</v>
      </c>
      <c r="X59" s="348">
        <f t="shared" ref="X59:X75" si="17">V59*W59</f>
        <v>6.29</v>
      </c>
      <c r="Y59" s="330">
        <v>1</v>
      </c>
      <c r="Z59" s="348">
        <f t="shared" ref="Z59:Z75" si="18">V59*Y59</f>
        <v>6.29</v>
      </c>
      <c r="AB59" s="328">
        <f t="shared" ref="AB59:AB75" si="19">X59-O59</f>
        <v>1.7999999999999998</v>
      </c>
      <c r="AC59" s="328">
        <f t="shared" ref="AC59:AC75" si="20">Z59-S59</f>
        <v>1.7999999999999998</v>
      </c>
    </row>
    <row r="60" spans="1:29">
      <c r="A60" s="318"/>
      <c r="B60" s="319"/>
      <c r="C60" s="318"/>
      <c r="D60" s="318"/>
      <c r="E60" s="319"/>
      <c r="F60" s="319"/>
      <c r="G60" s="318" t="s">
        <v>589</v>
      </c>
      <c r="H60" s="318">
        <v>4.49</v>
      </c>
      <c r="I60" s="318">
        <v>1</v>
      </c>
      <c r="J60" s="318">
        <f t="shared" si="14"/>
        <v>1</v>
      </c>
      <c r="K60" s="318">
        <f t="shared" si="15"/>
        <v>4.49</v>
      </c>
      <c r="L60" s="318" t="s">
        <v>301</v>
      </c>
      <c r="M60" s="318" t="s">
        <v>309</v>
      </c>
      <c r="N60" s="318">
        <v>1</v>
      </c>
      <c r="O60" s="619">
        <f t="shared" si="16"/>
        <v>4.49</v>
      </c>
      <c r="P60" s="750">
        <v>1</v>
      </c>
      <c r="Q60" s="750"/>
      <c r="R60" s="337">
        <v>1</v>
      </c>
      <c r="S60" s="348">
        <f t="shared" ref="S60:S103" si="21">H60*R60</f>
        <v>4.49</v>
      </c>
      <c r="T60" s="319"/>
      <c r="V60" s="328">
        <f t="shared" ref="V60:V74" si="22">4.49</f>
        <v>4.49</v>
      </c>
      <c r="W60" s="320">
        <v>1</v>
      </c>
      <c r="X60" s="348">
        <f t="shared" si="17"/>
        <v>4.49</v>
      </c>
      <c r="Y60" s="330">
        <v>1</v>
      </c>
      <c r="Z60" s="348">
        <f t="shared" si="18"/>
        <v>4.49</v>
      </c>
      <c r="AB60" s="328">
        <f t="shared" si="19"/>
        <v>0</v>
      </c>
      <c r="AC60" s="328">
        <f t="shared" si="20"/>
        <v>0</v>
      </c>
    </row>
    <row r="61" spans="1:29">
      <c r="A61" s="318"/>
      <c r="B61" s="319"/>
      <c r="C61" s="318"/>
      <c r="D61" s="318"/>
      <c r="E61" s="319"/>
      <c r="F61" s="319"/>
      <c r="G61" s="318" t="s">
        <v>590</v>
      </c>
      <c r="H61" s="318">
        <v>4.49</v>
      </c>
      <c r="I61" s="318">
        <v>1</v>
      </c>
      <c r="J61" s="318">
        <f t="shared" si="14"/>
        <v>1</v>
      </c>
      <c r="K61" s="318">
        <f t="shared" si="15"/>
        <v>4.49</v>
      </c>
      <c r="L61" s="318">
        <v>1156</v>
      </c>
      <c r="M61" s="318" t="s">
        <v>182</v>
      </c>
      <c r="N61" s="318">
        <v>1</v>
      </c>
      <c r="O61" s="619">
        <f t="shared" si="16"/>
        <v>4.49</v>
      </c>
      <c r="P61" s="750">
        <v>1</v>
      </c>
      <c r="Q61" s="750"/>
      <c r="R61" s="337">
        <v>1</v>
      </c>
      <c r="S61" s="348">
        <f t="shared" si="21"/>
        <v>4.49</v>
      </c>
      <c r="T61" s="319"/>
      <c r="V61" s="328">
        <f t="shared" si="22"/>
        <v>4.49</v>
      </c>
      <c r="W61" s="320">
        <v>1</v>
      </c>
      <c r="X61" s="348">
        <f t="shared" si="17"/>
        <v>4.49</v>
      </c>
      <c r="Y61" s="330">
        <v>1</v>
      </c>
      <c r="Z61" s="348">
        <f t="shared" si="18"/>
        <v>4.49</v>
      </c>
      <c r="AB61" s="328">
        <f t="shared" si="19"/>
        <v>0</v>
      </c>
      <c r="AC61" s="328">
        <f t="shared" si="20"/>
        <v>0</v>
      </c>
    </row>
    <row r="62" spans="1:29">
      <c r="A62" s="318"/>
      <c r="B62" s="319"/>
      <c r="C62" s="318"/>
      <c r="D62" s="318"/>
      <c r="E62" s="319"/>
      <c r="F62" s="319"/>
      <c r="G62" s="318" t="s">
        <v>591</v>
      </c>
      <c r="H62" s="318">
        <v>4.49</v>
      </c>
      <c r="I62" s="318">
        <v>1</v>
      </c>
      <c r="J62" s="318">
        <f t="shared" si="14"/>
        <v>1</v>
      </c>
      <c r="K62" s="318">
        <f t="shared" si="15"/>
        <v>4.49</v>
      </c>
      <c r="L62" s="318">
        <v>1156</v>
      </c>
      <c r="M62" s="318" t="s">
        <v>182</v>
      </c>
      <c r="N62" s="318">
        <v>1</v>
      </c>
      <c r="O62" s="619">
        <f t="shared" si="16"/>
        <v>4.49</v>
      </c>
      <c r="P62" s="750">
        <v>1</v>
      </c>
      <c r="Q62" s="750"/>
      <c r="R62" s="337">
        <v>1</v>
      </c>
      <c r="S62" s="348">
        <f t="shared" si="21"/>
        <v>4.49</v>
      </c>
      <c r="T62" s="319"/>
      <c r="V62" s="328">
        <f t="shared" si="22"/>
        <v>4.49</v>
      </c>
      <c r="W62" s="320">
        <v>1</v>
      </c>
      <c r="X62" s="348">
        <f t="shared" si="17"/>
        <v>4.49</v>
      </c>
      <c r="Y62" s="330">
        <v>1</v>
      </c>
      <c r="Z62" s="348">
        <f t="shared" si="18"/>
        <v>4.49</v>
      </c>
      <c r="AB62" s="328">
        <f t="shared" si="19"/>
        <v>0</v>
      </c>
      <c r="AC62" s="328">
        <f t="shared" si="20"/>
        <v>0</v>
      </c>
    </row>
    <row r="63" spans="1:29">
      <c r="A63" s="318"/>
      <c r="B63" s="319"/>
      <c r="C63" s="318"/>
      <c r="D63" s="318"/>
      <c r="E63" s="319"/>
      <c r="F63" s="319"/>
      <c r="G63" s="318" t="s">
        <v>592</v>
      </c>
      <c r="H63" s="318">
        <v>4.49</v>
      </c>
      <c r="I63" s="318">
        <v>1</v>
      </c>
      <c r="J63" s="318">
        <f t="shared" si="14"/>
        <v>1</v>
      </c>
      <c r="K63" s="318">
        <f t="shared" si="15"/>
        <v>4.49</v>
      </c>
      <c r="L63" s="318">
        <v>1156</v>
      </c>
      <c r="M63" s="318" t="s">
        <v>182</v>
      </c>
      <c r="N63" s="318">
        <v>1</v>
      </c>
      <c r="O63" s="619">
        <f t="shared" si="16"/>
        <v>4.49</v>
      </c>
      <c r="P63" s="750">
        <v>1</v>
      </c>
      <c r="Q63" s="750"/>
      <c r="R63" s="337">
        <v>1</v>
      </c>
      <c r="S63" s="348">
        <f t="shared" si="21"/>
        <v>4.49</v>
      </c>
      <c r="T63" s="319"/>
      <c r="V63" s="328">
        <f t="shared" si="22"/>
        <v>4.49</v>
      </c>
      <c r="W63" s="320">
        <v>1</v>
      </c>
      <c r="X63" s="348">
        <f t="shared" si="17"/>
        <v>4.49</v>
      </c>
      <c r="Y63" s="330">
        <v>1</v>
      </c>
      <c r="Z63" s="348">
        <f t="shared" si="18"/>
        <v>4.49</v>
      </c>
      <c r="AB63" s="328">
        <f t="shared" si="19"/>
        <v>0</v>
      </c>
      <c r="AC63" s="328">
        <f t="shared" si="20"/>
        <v>0</v>
      </c>
    </row>
    <row r="64" spans="1:29">
      <c r="A64" s="318"/>
      <c r="B64" s="319"/>
      <c r="C64" s="318"/>
      <c r="D64" s="318"/>
      <c r="E64" s="319"/>
      <c r="F64" s="319"/>
      <c r="G64" s="318" t="s">
        <v>593</v>
      </c>
      <c r="H64" s="318">
        <v>4.49</v>
      </c>
      <c r="I64" s="318">
        <v>1</v>
      </c>
      <c r="J64" s="318">
        <f t="shared" si="14"/>
        <v>1</v>
      </c>
      <c r="K64" s="318">
        <f t="shared" si="15"/>
        <v>4.49</v>
      </c>
      <c r="L64" s="318">
        <v>1156</v>
      </c>
      <c r="M64" s="318" t="s">
        <v>182</v>
      </c>
      <c r="N64" s="318">
        <v>1</v>
      </c>
      <c r="O64" s="619">
        <f t="shared" si="16"/>
        <v>4.49</v>
      </c>
      <c r="P64" s="750">
        <v>1</v>
      </c>
      <c r="Q64" s="750"/>
      <c r="R64" s="337">
        <v>1</v>
      </c>
      <c r="S64" s="348">
        <f t="shared" si="21"/>
        <v>4.49</v>
      </c>
      <c r="T64" s="319"/>
      <c r="V64" s="328">
        <f t="shared" si="22"/>
        <v>4.49</v>
      </c>
      <c r="W64" s="320">
        <v>1</v>
      </c>
      <c r="X64" s="348">
        <f t="shared" si="17"/>
        <v>4.49</v>
      </c>
      <c r="Y64" s="330">
        <v>1</v>
      </c>
      <c r="Z64" s="348">
        <f t="shared" si="18"/>
        <v>4.49</v>
      </c>
      <c r="AB64" s="328">
        <f t="shared" si="19"/>
        <v>0</v>
      </c>
      <c r="AC64" s="328">
        <f t="shared" si="20"/>
        <v>0</v>
      </c>
    </row>
    <row r="65" spans="1:29">
      <c r="A65" s="318"/>
      <c r="B65" s="319"/>
      <c r="C65" s="318"/>
      <c r="D65" s="318"/>
      <c r="E65" s="319"/>
      <c r="F65" s="319"/>
      <c r="G65" s="318" t="s">
        <v>594</v>
      </c>
      <c r="H65" s="318">
        <v>4.49</v>
      </c>
      <c r="I65" s="318">
        <v>1</v>
      </c>
      <c r="J65" s="318">
        <f t="shared" si="14"/>
        <v>1</v>
      </c>
      <c r="K65" s="318">
        <f t="shared" si="15"/>
        <v>4.49</v>
      </c>
      <c r="L65" s="318">
        <v>1156</v>
      </c>
      <c r="M65" s="318" t="s">
        <v>182</v>
      </c>
      <c r="N65" s="318">
        <v>1</v>
      </c>
      <c r="O65" s="619">
        <f t="shared" si="16"/>
        <v>4.49</v>
      </c>
      <c r="P65" s="750">
        <v>1</v>
      </c>
      <c r="Q65" s="750"/>
      <c r="R65" s="337">
        <v>1</v>
      </c>
      <c r="S65" s="348">
        <f t="shared" si="21"/>
        <v>4.49</v>
      </c>
      <c r="T65" s="319"/>
      <c r="V65" s="328">
        <f t="shared" si="22"/>
        <v>4.49</v>
      </c>
      <c r="W65" s="320">
        <v>1</v>
      </c>
      <c r="X65" s="348">
        <f t="shared" si="17"/>
        <v>4.49</v>
      </c>
      <c r="Y65" s="330">
        <v>1</v>
      </c>
      <c r="Z65" s="348">
        <f t="shared" si="18"/>
        <v>4.49</v>
      </c>
      <c r="AB65" s="328">
        <f t="shared" si="19"/>
        <v>0</v>
      </c>
      <c r="AC65" s="328">
        <f t="shared" si="20"/>
        <v>0</v>
      </c>
    </row>
    <row r="66" spans="1:29">
      <c r="A66" s="318"/>
      <c r="B66" s="319"/>
      <c r="C66" s="318"/>
      <c r="D66" s="318"/>
      <c r="E66" s="319"/>
      <c r="F66" s="319"/>
      <c r="G66" s="318" t="s">
        <v>595</v>
      </c>
      <c r="H66" s="318">
        <v>4.49</v>
      </c>
      <c r="I66" s="318">
        <v>1</v>
      </c>
      <c r="J66" s="318">
        <f t="shared" si="14"/>
        <v>1</v>
      </c>
      <c r="K66" s="318">
        <f t="shared" si="15"/>
        <v>4.49</v>
      </c>
      <c r="L66" s="318">
        <v>1156</v>
      </c>
      <c r="M66" s="318" t="s">
        <v>182</v>
      </c>
      <c r="N66" s="318">
        <v>1</v>
      </c>
      <c r="O66" s="619">
        <f t="shared" si="16"/>
        <v>4.49</v>
      </c>
      <c r="P66" s="750">
        <v>1</v>
      </c>
      <c r="Q66" s="750"/>
      <c r="R66" s="337">
        <v>1</v>
      </c>
      <c r="S66" s="348">
        <f t="shared" si="21"/>
        <v>4.49</v>
      </c>
      <c r="T66" s="319"/>
      <c r="V66" s="328">
        <f t="shared" si="22"/>
        <v>4.49</v>
      </c>
      <c r="W66" s="320">
        <v>1</v>
      </c>
      <c r="X66" s="348">
        <f t="shared" si="17"/>
        <v>4.49</v>
      </c>
      <c r="Y66" s="330">
        <v>1</v>
      </c>
      <c r="Z66" s="348">
        <f t="shared" si="18"/>
        <v>4.49</v>
      </c>
      <c r="AB66" s="328">
        <f t="shared" si="19"/>
        <v>0</v>
      </c>
      <c r="AC66" s="328">
        <f t="shared" si="20"/>
        <v>0</v>
      </c>
    </row>
    <row r="67" spans="1:29">
      <c r="A67" s="318"/>
      <c r="B67" s="319"/>
      <c r="C67" s="318"/>
      <c r="D67" s="318"/>
      <c r="E67" s="319"/>
      <c r="F67" s="319"/>
      <c r="G67" s="318" t="s">
        <v>596</v>
      </c>
      <c r="H67" s="318">
        <v>4.49</v>
      </c>
      <c r="I67" s="318">
        <v>1</v>
      </c>
      <c r="J67" s="318">
        <f t="shared" si="14"/>
        <v>1</v>
      </c>
      <c r="K67" s="318">
        <f t="shared" si="15"/>
        <v>4.49</v>
      </c>
      <c r="L67" s="318">
        <v>1161</v>
      </c>
      <c r="M67" s="318" t="s">
        <v>183</v>
      </c>
      <c r="N67" s="318">
        <v>1</v>
      </c>
      <c r="O67" s="619">
        <f t="shared" si="16"/>
        <v>4.49</v>
      </c>
      <c r="P67" s="750">
        <v>1</v>
      </c>
      <c r="Q67" s="750"/>
      <c r="R67" s="337">
        <v>1</v>
      </c>
      <c r="S67" s="348">
        <f t="shared" si="21"/>
        <v>4.49</v>
      </c>
      <c r="T67" s="319"/>
      <c r="V67" s="328">
        <f t="shared" si="22"/>
        <v>4.49</v>
      </c>
      <c r="W67" s="320">
        <v>1</v>
      </c>
      <c r="X67" s="348">
        <f t="shared" si="17"/>
        <v>4.49</v>
      </c>
      <c r="Y67" s="330">
        <v>1</v>
      </c>
      <c r="Z67" s="348">
        <f t="shared" si="18"/>
        <v>4.49</v>
      </c>
      <c r="AB67" s="328">
        <f t="shared" si="19"/>
        <v>0</v>
      </c>
      <c r="AC67" s="328">
        <f t="shared" si="20"/>
        <v>0</v>
      </c>
    </row>
    <row r="68" spans="1:29">
      <c r="A68" s="318"/>
      <c r="B68" s="319"/>
      <c r="C68" s="318"/>
      <c r="D68" s="318"/>
      <c r="E68" s="319"/>
      <c r="F68" s="319"/>
      <c r="G68" s="318" t="s">
        <v>597</v>
      </c>
      <c r="H68" s="318">
        <v>4.49</v>
      </c>
      <c r="I68" s="318">
        <v>1</v>
      </c>
      <c r="J68" s="318">
        <f t="shared" si="14"/>
        <v>1</v>
      </c>
      <c r="K68" s="318">
        <f t="shared" si="15"/>
        <v>4.49</v>
      </c>
      <c r="L68" s="318">
        <v>1161</v>
      </c>
      <c r="M68" s="318" t="s">
        <v>183</v>
      </c>
      <c r="N68" s="318">
        <v>1</v>
      </c>
      <c r="O68" s="619">
        <f t="shared" si="16"/>
        <v>4.49</v>
      </c>
      <c r="P68" s="750">
        <v>1</v>
      </c>
      <c r="Q68" s="750"/>
      <c r="R68" s="337">
        <v>1</v>
      </c>
      <c r="S68" s="348">
        <f t="shared" si="21"/>
        <v>4.49</v>
      </c>
      <c r="T68" s="319"/>
      <c r="V68" s="328">
        <f t="shared" si="22"/>
        <v>4.49</v>
      </c>
      <c r="W68" s="320">
        <v>1</v>
      </c>
      <c r="X68" s="348">
        <f t="shared" si="17"/>
        <v>4.49</v>
      </c>
      <c r="Y68" s="330">
        <v>1</v>
      </c>
      <c r="Z68" s="348">
        <f t="shared" si="18"/>
        <v>4.49</v>
      </c>
      <c r="AB68" s="328">
        <f t="shared" si="19"/>
        <v>0</v>
      </c>
      <c r="AC68" s="328">
        <f t="shared" si="20"/>
        <v>0</v>
      </c>
    </row>
    <row r="69" spans="1:29">
      <c r="A69" s="318"/>
      <c r="B69" s="319"/>
      <c r="C69" s="318"/>
      <c r="D69" s="318"/>
      <c r="E69" s="319"/>
      <c r="F69" s="319"/>
      <c r="G69" s="318" t="s">
        <v>598</v>
      </c>
      <c r="H69" s="318">
        <v>4.49</v>
      </c>
      <c r="I69" s="318">
        <v>1</v>
      </c>
      <c r="J69" s="318">
        <f t="shared" si="14"/>
        <v>1</v>
      </c>
      <c r="K69" s="318">
        <f t="shared" si="15"/>
        <v>4.49</v>
      </c>
      <c r="L69" s="318">
        <v>1161</v>
      </c>
      <c r="M69" s="318" t="s">
        <v>183</v>
      </c>
      <c r="N69" s="318">
        <v>1</v>
      </c>
      <c r="O69" s="619">
        <f t="shared" si="16"/>
        <v>4.49</v>
      </c>
      <c r="P69" s="750">
        <v>1</v>
      </c>
      <c r="Q69" s="750"/>
      <c r="R69" s="337">
        <v>1</v>
      </c>
      <c r="S69" s="348">
        <f t="shared" si="21"/>
        <v>4.49</v>
      </c>
      <c r="T69" s="319"/>
      <c r="V69" s="328">
        <f t="shared" si="22"/>
        <v>4.49</v>
      </c>
      <c r="W69" s="320">
        <v>1</v>
      </c>
      <c r="X69" s="348">
        <f t="shared" si="17"/>
        <v>4.49</v>
      </c>
      <c r="Y69" s="330">
        <v>1</v>
      </c>
      <c r="Z69" s="348">
        <f t="shared" si="18"/>
        <v>4.49</v>
      </c>
      <c r="AB69" s="328">
        <f t="shared" si="19"/>
        <v>0</v>
      </c>
      <c r="AC69" s="328">
        <f t="shared" si="20"/>
        <v>0</v>
      </c>
    </row>
    <row r="70" spans="1:29">
      <c r="A70" s="318"/>
      <c r="B70" s="319"/>
      <c r="C70" s="318"/>
      <c r="D70" s="318"/>
      <c r="E70" s="319"/>
      <c r="F70" s="319"/>
      <c r="G70" s="318" t="s">
        <v>599</v>
      </c>
      <c r="H70" s="318">
        <v>4.49</v>
      </c>
      <c r="I70" s="318">
        <v>1</v>
      </c>
      <c r="J70" s="318">
        <f t="shared" si="14"/>
        <v>1</v>
      </c>
      <c r="K70" s="318">
        <f t="shared" si="15"/>
        <v>4.49</v>
      </c>
      <c r="L70" s="318">
        <v>1161</v>
      </c>
      <c r="M70" s="318" t="s">
        <v>183</v>
      </c>
      <c r="N70" s="318">
        <v>1</v>
      </c>
      <c r="O70" s="619">
        <f t="shared" si="16"/>
        <v>4.49</v>
      </c>
      <c r="P70" s="750">
        <v>1</v>
      </c>
      <c r="Q70" s="750"/>
      <c r="R70" s="337">
        <v>1</v>
      </c>
      <c r="S70" s="348">
        <f t="shared" si="21"/>
        <v>4.49</v>
      </c>
      <c r="T70" s="319"/>
      <c r="V70" s="328">
        <f t="shared" si="22"/>
        <v>4.49</v>
      </c>
      <c r="W70" s="320">
        <v>1</v>
      </c>
      <c r="X70" s="348">
        <f t="shared" si="17"/>
        <v>4.49</v>
      </c>
      <c r="Y70" s="330">
        <v>1</v>
      </c>
      <c r="Z70" s="348">
        <f t="shared" si="18"/>
        <v>4.49</v>
      </c>
      <c r="AB70" s="328">
        <f t="shared" si="19"/>
        <v>0</v>
      </c>
      <c r="AC70" s="328">
        <f t="shared" si="20"/>
        <v>0</v>
      </c>
    </row>
    <row r="71" spans="1:29">
      <c r="A71" s="318"/>
      <c r="B71" s="319"/>
      <c r="C71" s="318"/>
      <c r="D71" s="318"/>
      <c r="E71" s="319"/>
      <c r="F71" s="319"/>
      <c r="G71" s="318" t="s">
        <v>600</v>
      </c>
      <c r="H71" s="318">
        <v>4.49</v>
      </c>
      <c r="I71" s="318">
        <v>1</v>
      </c>
      <c r="J71" s="318">
        <f t="shared" si="14"/>
        <v>1</v>
      </c>
      <c r="K71" s="318">
        <f t="shared" si="15"/>
        <v>4.49</v>
      </c>
      <c r="L71" s="318">
        <v>1161</v>
      </c>
      <c r="M71" s="318" t="s">
        <v>183</v>
      </c>
      <c r="N71" s="318">
        <v>1</v>
      </c>
      <c r="O71" s="619">
        <f t="shared" si="16"/>
        <v>4.49</v>
      </c>
      <c r="P71" s="750">
        <v>1</v>
      </c>
      <c r="Q71" s="750"/>
      <c r="R71" s="337">
        <v>1</v>
      </c>
      <c r="S71" s="348">
        <f t="shared" si="21"/>
        <v>4.49</v>
      </c>
      <c r="T71" s="319"/>
      <c r="V71" s="328">
        <f t="shared" si="22"/>
        <v>4.49</v>
      </c>
      <c r="W71" s="320">
        <v>1</v>
      </c>
      <c r="X71" s="348">
        <f t="shared" si="17"/>
        <v>4.49</v>
      </c>
      <c r="Y71" s="330">
        <v>1</v>
      </c>
      <c r="Z71" s="348">
        <f t="shared" si="18"/>
        <v>4.49</v>
      </c>
      <c r="AB71" s="328">
        <f t="shared" si="19"/>
        <v>0</v>
      </c>
      <c r="AC71" s="328">
        <f t="shared" si="20"/>
        <v>0</v>
      </c>
    </row>
    <row r="72" spans="1:29">
      <c r="A72" s="318"/>
      <c r="B72" s="319"/>
      <c r="C72" s="318"/>
      <c r="D72" s="318"/>
      <c r="E72" s="319"/>
      <c r="F72" s="319"/>
      <c r="G72" s="318" t="s">
        <v>601</v>
      </c>
      <c r="H72" s="318">
        <v>4.49</v>
      </c>
      <c r="I72" s="318">
        <v>1</v>
      </c>
      <c r="J72" s="318">
        <f t="shared" si="14"/>
        <v>1</v>
      </c>
      <c r="K72" s="318">
        <f t="shared" si="15"/>
        <v>4.49</v>
      </c>
      <c r="L72" s="318">
        <v>1161</v>
      </c>
      <c r="M72" s="318" t="s">
        <v>183</v>
      </c>
      <c r="N72" s="318">
        <v>1</v>
      </c>
      <c r="O72" s="619">
        <f t="shared" si="16"/>
        <v>4.49</v>
      </c>
      <c r="P72" s="750">
        <v>1</v>
      </c>
      <c r="Q72" s="750"/>
      <c r="R72" s="337">
        <v>1</v>
      </c>
      <c r="S72" s="348">
        <f t="shared" si="21"/>
        <v>4.49</v>
      </c>
      <c r="T72" s="319"/>
      <c r="V72" s="328">
        <f t="shared" si="22"/>
        <v>4.49</v>
      </c>
      <c r="W72" s="320">
        <v>1</v>
      </c>
      <c r="X72" s="348">
        <f t="shared" si="17"/>
        <v>4.49</v>
      </c>
      <c r="Y72" s="330">
        <v>1</v>
      </c>
      <c r="Z72" s="348">
        <f t="shared" si="18"/>
        <v>4.49</v>
      </c>
      <c r="AB72" s="328">
        <f t="shared" si="19"/>
        <v>0</v>
      </c>
      <c r="AC72" s="328">
        <f t="shared" si="20"/>
        <v>0</v>
      </c>
    </row>
    <row r="73" spans="1:29">
      <c r="A73" s="318"/>
      <c r="B73" s="319"/>
      <c r="C73" s="318"/>
      <c r="D73" s="318"/>
      <c r="E73" s="319"/>
      <c r="F73" s="319"/>
      <c r="G73" s="318" t="s">
        <v>602</v>
      </c>
      <c r="H73" s="318">
        <v>4.49</v>
      </c>
      <c r="I73" s="318">
        <v>1</v>
      </c>
      <c r="J73" s="318">
        <f t="shared" si="14"/>
        <v>1</v>
      </c>
      <c r="K73" s="318">
        <f t="shared" si="15"/>
        <v>4.49</v>
      </c>
      <c r="L73" s="318">
        <v>1161</v>
      </c>
      <c r="M73" s="318" t="s">
        <v>183</v>
      </c>
      <c r="N73" s="318">
        <v>1</v>
      </c>
      <c r="O73" s="619">
        <f t="shared" si="16"/>
        <v>4.49</v>
      </c>
      <c r="P73" s="750">
        <v>1</v>
      </c>
      <c r="Q73" s="750"/>
      <c r="R73" s="337">
        <v>1</v>
      </c>
      <c r="S73" s="348">
        <f t="shared" si="21"/>
        <v>4.49</v>
      </c>
      <c r="T73" s="319"/>
      <c r="V73" s="328">
        <f t="shared" si="22"/>
        <v>4.49</v>
      </c>
      <c r="W73" s="320">
        <v>1</v>
      </c>
      <c r="X73" s="348">
        <f t="shared" si="17"/>
        <v>4.49</v>
      </c>
      <c r="Y73" s="330">
        <v>1</v>
      </c>
      <c r="Z73" s="348">
        <f t="shared" si="18"/>
        <v>4.49</v>
      </c>
      <c r="AB73" s="328">
        <f t="shared" si="19"/>
        <v>0</v>
      </c>
      <c r="AC73" s="328">
        <f t="shared" si="20"/>
        <v>0</v>
      </c>
    </row>
    <row r="74" spans="1:29">
      <c r="A74" s="318"/>
      <c r="B74" s="319"/>
      <c r="C74" s="318"/>
      <c r="D74" s="318"/>
      <c r="E74" s="319"/>
      <c r="F74" s="319"/>
      <c r="G74" s="318" t="s">
        <v>603</v>
      </c>
      <c r="H74" s="318">
        <v>4.49</v>
      </c>
      <c r="I74" s="318">
        <v>1</v>
      </c>
      <c r="J74" s="318">
        <f t="shared" si="14"/>
        <v>1</v>
      </c>
      <c r="K74" s="318">
        <f t="shared" si="15"/>
        <v>4.49</v>
      </c>
      <c r="L74" s="318">
        <v>1161</v>
      </c>
      <c r="M74" s="318" t="s">
        <v>183</v>
      </c>
      <c r="N74" s="318">
        <v>1</v>
      </c>
      <c r="O74" s="619">
        <f t="shared" si="16"/>
        <v>4.49</v>
      </c>
      <c r="P74" s="750">
        <v>1</v>
      </c>
      <c r="Q74" s="750"/>
      <c r="R74" s="337">
        <v>1</v>
      </c>
      <c r="S74" s="348">
        <f t="shared" si="21"/>
        <v>4.49</v>
      </c>
      <c r="T74" s="319"/>
      <c r="V74" s="328">
        <f t="shared" si="22"/>
        <v>4.49</v>
      </c>
      <c r="W74" s="320">
        <v>1</v>
      </c>
      <c r="X74" s="348">
        <f t="shared" si="17"/>
        <v>4.49</v>
      </c>
      <c r="Y74" s="330">
        <v>1</v>
      </c>
      <c r="Z74" s="348">
        <f t="shared" si="18"/>
        <v>4.49</v>
      </c>
      <c r="AB74" s="328">
        <f t="shared" si="19"/>
        <v>0</v>
      </c>
      <c r="AC74" s="328">
        <f t="shared" si="20"/>
        <v>0</v>
      </c>
    </row>
    <row r="75" spans="1:29" ht="20.399999999999999">
      <c r="A75" s="318"/>
      <c r="B75" s="319"/>
      <c r="C75" s="318"/>
      <c r="D75" s="318"/>
      <c r="E75" s="319"/>
      <c r="F75" s="336" t="s">
        <v>604</v>
      </c>
      <c r="G75" s="318" t="s">
        <v>605</v>
      </c>
      <c r="H75" s="318">
        <v>2.2000000000000002</v>
      </c>
      <c r="I75" s="318">
        <v>1</v>
      </c>
      <c r="J75" s="318">
        <f t="shared" si="14"/>
        <v>1</v>
      </c>
      <c r="K75" s="318">
        <f t="shared" si="15"/>
        <v>2.2000000000000002</v>
      </c>
      <c r="L75" s="318" t="s">
        <v>247</v>
      </c>
      <c r="M75" s="318" t="s">
        <v>248</v>
      </c>
      <c r="N75" s="318">
        <v>1</v>
      </c>
      <c r="O75" s="619">
        <f t="shared" si="16"/>
        <v>2.2000000000000002</v>
      </c>
      <c r="P75" s="750">
        <v>1</v>
      </c>
      <c r="Q75" s="750"/>
      <c r="R75" s="337">
        <v>1</v>
      </c>
      <c r="S75" s="348">
        <f t="shared" si="21"/>
        <v>2.2000000000000002</v>
      </c>
      <c r="T75" s="319"/>
      <c r="V75" s="328">
        <f>2.354</f>
        <v>2.3540000000000001</v>
      </c>
      <c r="W75" s="320">
        <v>1</v>
      </c>
      <c r="X75" s="348">
        <f t="shared" si="17"/>
        <v>2.3540000000000001</v>
      </c>
      <c r="Y75" s="330">
        <v>1</v>
      </c>
      <c r="Z75" s="348">
        <f t="shared" si="18"/>
        <v>2.3540000000000001</v>
      </c>
      <c r="AB75" s="328">
        <f t="shared" si="19"/>
        <v>0.15399999999999991</v>
      </c>
      <c r="AC75" s="328">
        <f t="shared" si="20"/>
        <v>0.15399999999999991</v>
      </c>
    </row>
    <row r="76" spans="1:29" collapsed="1">
      <c r="A76" s="584"/>
      <c r="B76" s="585"/>
      <c r="C76" s="584"/>
      <c r="D76" s="584"/>
      <c r="E76" s="585"/>
      <c r="F76" s="585" t="s">
        <v>384</v>
      </c>
      <c r="G76" s="584" t="s">
        <v>463</v>
      </c>
      <c r="H76" s="584"/>
      <c r="I76" s="584"/>
      <c r="J76" s="584"/>
      <c r="K76" s="584"/>
      <c r="L76" s="584"/>
      <c r="M76" s="584"/>
      <c r="N76" s="584"/>
      <c r="O76" s="631" t="s">
        <v>2321</v>
      </c>
      <c r="P76" s="750"/>
      <c r="Q76" s="750"/>
      <c r="R76" s="337"/>
      <c r="S76" s="348">
        <f t="shared" si="21"/>
        <v>0</v>
      </c>
      <c r="T76" s="1030" t="s">
        <v>561</v>
      </c>
      <c r="V76" s="328"/>
      <c r="W76" s="318"/>
      <c r="X76" s="384" t="s">
        <v>2321</v>
      </c>
      <c r="Y76" s="337"/>
      <c r="Z76" s="350" t="s">
        <v>2321</v>
      </c>
      <c r="AB76" s="328"/>
      <c r="AC76" s="328"/>
    </row>
    <row r="77" spans="1:29">
      <c r="A77" s="584"/>
      <c r="B77" s="585"/>
      <c r="C77" s="584"/>
      <c r="D77" s="584"/>
      <c r="E77" s="585"/>
      <c r="F77" s="585" t="s">
        <v>384</v>
      </c>
      <c r="G77" s="584" t="s">
        <v>464</v>
      </c>
      <c r="H77" s="585"/>
      <c r="I77" s="584"/>
      <c r="J77" s="584"/>
      <c r="K77" s="584"/>
      <c r="L77" s="584"/>
      <c r="M77" s="584"/>
      <c r="N77" s="584"/>
      <c r="O77" s="631" t="s">
        <v>2321</v>
      </c>
      <c r="P77" s="750"/>
      <c r="Q77" s="750"/>
      <c r="R77" s="337"/>
      <c r="S77" s="348">
        <f t="shared" si="21"/>
        <v>0</v>
      </c>
      <c r="T77" s="1031"/>
      <c r="V77" s="333"/>
      <c r="W77" s="318"/>
      <c r="X77" s="384" t="s">
        <v>2321</v>
      </c>
      <c r="Y77" s="337"/>
      <c r="Z77" s="350" t="s">
        <v>2321</v>
      </c>
      <c r="AB77" s="333"/>
      <c r="AC77" s="333"/>
    </row>
    <row r="78" spans="1:29">
      <c r="A78" s="318"/>
      <c r="B78" s="319"/>
      <c r="C78" s="318"/>
      <c r="D78" s="318"/>
      <c r="E78" s="319"/>
      <c r="F78" s="336" t="s">
        <v>558</v>
      </c>
      <c r="G78" s="318" t="s">
        <v>606</v>
      </c>
      <c r="H78" s="318">
        <v>4.0999999999999996</v>
      </c>
      <c r="I78" s="318">
        <v>1</v>
      </c>
      <c r="J78" s="318">
        <f t="shared" ref="J78:J88" si="23">IF(N78&gt;0,1,0)</f>
        <v>1</v>
      </c>
      <c r="K78" s="318">
        <f t="shared" ref="K78:K88" si="24">H78*J78</f>
        <v>4.0999999999999996</v>
      </c>
      <c r="L78" s="318">
        <v>1218</v>
      </c>
      <c r="M78" s="318" t="s">
        <v>207</v>
      </c>
      <c r="N78" s="318">
        <v>1</v>
      </c>
      <c r="O78" s="619">
        <f t="shared" ref="O78:O103" si="25">H78*N78</f>
        <v>4.0999999999999996</v>
      </c>
      <c r="P78" s="750">
        <v>1</v>
      </c>
      <c r="Q78" s="750"/>
      <c r="R78" s="337">
        <v>1</v>
      </c>
      <c r="S78" s="348">
        <f t="shared" si="21"/>
        <v>4.0999999999999996</v>
      </c>
      <c r="T78" s="319"/>
      <c r="V78" s="328">
        <f>0.821+3.251</f>
        <v>4.0720000000000001</v>
      </c>
      <c r="W78" s="320">
        <v>1</v>
      </c>
      <c r="X78" s="348">
        <f t="shared" ref="X78:X88" si="26">V78*W78</f>
        <v>4.0720000000000001</v>
      </c>
      <c r="Y78" s="330">
        <v>1</v>
      </c>
      <c r="Z78" s="348">
        <f t="shared" ref="Z78:Z88" si="27">V78*Y78</f>
        <v>4.0720000000000001</v>
      </c>
      <c r="AB78" s="328">
        <f t="shared" ref="AB78:AB88" si="28">X78-O78</f>
        <v>-2.7999999999999581E-2</v>
      </c>
      <c r="AC78" s="328">
        <f t="shared" ref="AC78:AC88" si="29">Z78-S78</f>
        <v>-2.7999999999999581E-2</v>
      </c>
    </row>
    <row r="79" spans="1:29">
      <c r="A79" s="318"/>
      <c r="B79" s="319"/>
      <c r="C79" s="318"/>
      <c r="D79" s="318"/>
      <c r="E79" s="319"/>
      <c r="F79" s="336" t="s">
        <v>558</v>
      </c>
      <c r="G79" s="318" t="s">
        <v>607</v>
      </c>
      <c r="H79" s="318">
        <v>3.3</v>
      </c>
      <c r="I79" s="318">
        <v>1</v>
      </c>
      <c r="J79" s="318">
        <f t="shared" si="23"/>
        <v>1</v>
      </c>
      <c r="K79" s="318">
        <f t="shared" si="24"/>
        <v>3.3</v>
      </c>
      <c r="L79" s="318">
        <v>1218</v>
      </c>
      <c r="M79" s="318" t="s">
        <v>207</v>
      </c>
      <c r="N79" s="318">
        <v>1</v>
      </c>
      <c r="O79" s="619">
        <f t="shared" si="25"/>
        <v>3.3</v>
      </c>
      <c r="P79" s="750">
        <v>1</v>
      </c>
      <c r="Q79" s="750"/>
      <c r="R79" s="337">
        <v>1</v>
      </c>
      <c r="S79" s="348">
        <f t="shared" si="21"/>
        <v>3.3</v>
      </c>
      <c r="T79" s="319"/>
      <c r="V79" s="328">
        <f>3.251</f>
        <v>3.2509999999999999</v>
      </c>
      <c r="W79" s="320">
        <v>1</v>
      </c>
      <c r="X79" s="348">
        <f t="shared" si="26"/>
        <v>3.2509999999999999</v>
      </c>
      <c r="Y79" s="330">
        <v>1</v>
      </c>
      <c r="Z79" s="348">
        <f t="shared" si="27"/>
        <v>3.2509999999999999</v>
      </c>
      <c r="AB79" s="328">
        <f t="shared" si="28"/>
        <v>-4.8999999999999932E-2</v>
      </c>
      <c r="AC79" s="328">
        <f t="shared" si="29"/>
        <v>-4.8999999999999932E-2</v>
      </c>
    </row>
    <row r="80" spans="1:29">
      <c r="A80" s="318"/>
      <c r="B80" s="319"/>
      <c r="C80" s="318"/>
      <c r="D80" s="318"/>
      <c r="E80" s="319"/>
      <c r="F80" s="319"/>
      <c r="G80" s="318" t="s">
        <v>608</v>
      </c>
      <c r="H80" s="318">
        <v>3.4</v>
      </c>
      <c r="I80" s="318">
        <v>1</v>
      </c>
      <c r="J80" s="318">
        <f t="shared" si="23"/>
        <v>1</v>
      </c>
      <c r="K80" s="318">
        <f t="shared" si="24"/>
        <v>3.4</v>
      </c>
      <c r="L80" s="318">
        <v>1191</v>
      </c>
      <c r="M80" s="318" t="s">
        <v>196</v>
      </c>
      <c r="N80" s="318">
        <v>1</v>
      </c>
      <c r="O80" s="619">
        <f t="shared" si="25"/>
        <v>3.4</v>
      </c>
      <c r="P80" s="750">
        <v>1</v>
      </c>
      <c r="Q80" s="750"/>
      <c r="R80" s="337">
        <v>1</v>
      </c>
      <c r="S80" s="348">
        <f t="shared" si="21"/>
        <v>3.4</v>
      </c>
      <c r="T80" s="319"/>
      <c r="V80" s="328">
        <f>3.365</f>
        <v>3.3650000000000002</v>
      </c>
      <c r="W80" s="320">
        <v>1</v>
      </c>
      <c r="X80" s="348">
        <f t="shared" si="26"/>
        <v>3.3650000000000002</v>
      </c>
      <c r="Y80" s="330">
        <v>1</v>
      </c>
      <c r="Z80" s="348">
        <f t="shared" si="27"/>
        <v>3.3650000000000002</v>
      </c>
      <c r="AB80" s="328">
        <f t="shared" si="28"/>
        <v>-3.4999999999999698E-2</v>
      </c>
      <c r="AC80" s="328">
        <f t="shared" si="29"/>
        <v>-3.4999999999999698E-2</v>
      </c>
    </row>
    <row r="81" spans="1:29">
      <c r="A81" s="318"/>
      <c r="B81" s="319"/>
      <c r="C81" s="318"/>
      <c r="D81" s="318"/>
      <c r="E81" s="319"/>
      <c r="F81" s="319"/>
      <c r="G81" s="318" t="s">
        <v>609</v>
      </c>
      <c r="H81" s="318">
        <v>3.4</v>
      </c>
      <c r="I81" s="318">
        <v>1</v>
      </c>
      <c r="J81" s="318">
        <f t="shared" si="23"/>
        <v>1</v>
      </c>
      <c r="K81" s="318">
        <f t="shared" si="24"/>
        <v>3.4</v>
      </c>
      <c r="L81" s="318" t="s">
        <v>184</v>
      </c>
      <c r="M81" s="318" t="s">
        <v>185</v>
      </c>
      <c r="N81" s="318">
        <v>1</v>
      </c>
      <c r="O81" s="619">
        <f t="shared" si="25"/>
        <v>3.4</v>
      </c>
      <c r="P81" s="750">
        <v>1</v>
      </c>
      <c r="Q81" s="750"/>
      <c r="R81" s="337">
        <v>1</v>
      </c>
      <c r="S81" s="348">
        <f t="shared" si="21"/>
        <v>3.4</v>
      </c>
      <c r="T81" s="319"/>
      <c r="V81" s="328">
        <f>3.365</f>
        <v>3.3650000000000002</v>
      </c>
      <c r="W81" s="320">
        <v>1</v>
      </c>
      <c r="X81" s="348">
        <f t="shared" si="26"/>
        <v>3.3650000000000002</v>
      </c>
      <c r="Y81" s="330">
        <v>1</v>
      </c>
      <c r="Z81" s="348">
        <f t="shared" si="27"/>
        <v>3.3650000000000002</v>
      </c>
      <c r="AB81" s="328">
        <f t="shared" si="28"/>
        <v>-3.4999999999999698E-2</v>
      </c>
      <c r="AC81" s="328">
        <f t="shared" si="29"/>
        <v>-3.4999999999999698E-2</v>
      </c>
    </row>
    <row r="82" spans="1:29">
      <c r="A82" s="318"/>
      <c r="B82" s="319"/>
      <c r="C82" s="318"/>
      <c r="D82" s="318"/>
      <c r="E82" s="319"/>
      <c r="F82" s="319"/>
      <c r="G82" s="318" t="s">
        <v>610</v>
      </c>
      <c r="H82" s="318">
        <v>4.49</v>
      </c>
      <c r="I82" s="318">
        <v>1</v>
      </c>
      <c r="J82" s="318">
        <f t="shared" si="23"/>
        <v>1</v>
      </c>
      <c r="K82" s="318">
        <f t="shared" si="24"/>
        <v>4.49</v>
      </c>
      <c r="L82" s="318" t="s">
        <v>184</v>
      </c>
      <c r="M82" s="318" t="s">
        <v>185</v>
      </c>
      <c r="N82" s="318">
        <v>1</v>
      </c>
      <c r="O82" s="619">
        <f t="shared" si="25"/>
        <v>4.49</v>
      </c>
      <c r="P82" s="750">
        <v>1</v>
      </c>
      <c r="Q82" s="750"/>
      <c r="R82" s="337">
        <v>1</v>
      </c>
      <c r="S82" s="348">
        <f t="shared" si="21"/>
        <v>4.49</v>
      </c>
      <c r="T82" s="319"/>
      <c r="V82" s="328">
        <f t="shared" ref="V82:V96" si="30">4.49</f>
        <v>4.49</v>
      </c>
      <c r="W82" s="320">
        <v>1</v>
      </c>
      <c r="X82" s="348">
        <f t="shared" si="26"/>
        <v>4.49</v>
      </c>
      <c r="Y82" s="330">
        <v>1</v>
      </c>
      <c r="Z82" s="348">
        <f t="shared" si="27"/>
        <v>4.49</v>
      </c>
      <c r="AB82" s="328">
        <f t="shared" si="28"/>
        <v>0</v>
      </c>
      <c r="AC82" s="328">
        <f t="shared" si="29"/>
        <v>0</v>
      </c>
    </row>
    <row r="83" spans="1:29">
      <c r="A83" s="318"/>
      <c r="B83" s="319"/>
      <c r="C83" s="318"/>
      <c r="D83" s="318"/>
      <c r="E83" s="319"/>
      <c r="F83" s="319"/>
      <c r="G83" s="318" t="s">
        <v>611</v>
      </c>
      <c r="H83" s="318">
        <v>4.49</v>
      </c>
      <c r="I83" s="318">
        <v>1</v>
      </c>
      <c r="J83" s="318">
        <f t="shared" si="23"/>
        <v>1</v>
      </c>
      <c r="K83" s="318">
        <f t="shared" si="24"/>
        <v>4.49</v>
      </c>
      <c r="L83" s="318" t="s">
        <v>184</v>
      </c>
      <c r="M83" s="318" t="s">
        <v>185</v>
      </c>
      <c r="N83" s="318">
        <v>1</v>
      </c>
      <c r="O83" s="619">
        <f t="shared" si="25"/>
        <v>4.49</v>
      </c>
      <c r="P83" s="750">
        <v>1</v>
      </c>
      <c r="Q83" s="750"/>
      <c r="R83" s="337">
        <v>1</v>
      </c>
      <c r="S83" s="348">
        <f t="shared" si="21"/>
        <v>4.49</v>
      </c>
      <c r="T83" s="319"/>
      <c r="V83" s="328">
        <f t="shared" si="30"/>
        <v>4.49</v>
      </c>
      <c r="W83" s="320">
        <v>1</v>
      </c>
      <c r="X83" s="348">
        <f t="shared" si="26"/>
        <v>4.49</v>
      </c>
      <c r="Y83" s="330">
        <v>1</v>
      </c>
      <c r="Z83" s="348">
        <f t="shared" si="27"/>
        <v>4.49</v>
      </c>
      <c r="AB83" s="328">
        <f t="shared" si="28"/>
        <v>0</v>
      </c>
      <c r="AC83" s="328">
        <f t="shared" si="29"/>
        <v>0</v>
      </c>
    </row>
    <row r="84" spans="1:29">
      <c r="A84" s="318"/>
      <c r="B84" s="319"/>
      <c r="C84" s="318"/>
      <c r="D84" s="318"/>
      <c r="E84" s="319"/>
      <c r="F84" s="319"/>
      <c r="G84" s="318" t="s">
        <v>612</v>
      </c>
      <c r="H84" s="318">
        <v>4.49</v>
      </c>
      <c r="I84" s="318">
        <v>1</v>
      </c>
      <c r="J84" s="318">
        <f t="shared" si="23"/>
        <v>1</v>
      </c>
      <c r="K84" s="318">
        <f t="shared" si="24"/>
        <v>4.49</v>
      </c>
      <c r="L84" s="318" t="s">
        <v>184</v>
      </c>
      <c r="M84" s="318" t="s">
        <v>185</v>
      </c>
      <c r="N84" s="318">
        <v>1</v>
      </c>
      <c r="O84" s="619">
        <f t="shared" si="25"/>
        <v>4.49</v>
      </c>
      <c r="P84" s="750">
        <v>1</v>
      </c>
      <c r="Q84" s="750"/>
      <c r="R84" s="337">
        <v>1</v>
      </c>
      <c r="S84" s="348">
        <f t="shared" si="21"/>
        <v>4.49</v>
      </c>
      <c r="T84" s="319"/>
      <c r="V84" s="328">
        <f t="shared" si="30"/>
        <v>4.49</v>
      </c>
      <c r="W84" s="320">
        <v>1</v>
      </c>
      <c r="X84" s="348">
        <f t="shared" si="26"/>
        <v>4.49</v>
      </c>
      <c r="Y84" s="330">
        <v>1</v>
      </c>
      <c r="Z84" s="348">
        <f t="shared" si="27"/>
        <v>4.49</v>
      </c>
      <c r="AB84" s="328">
        <f t="shared" si="28"/>
        <v>0</v>
      </c>
      <c r="AC84" s="328">
        <f t="shared" si="29"/>
        <v>0</v>
      </c>
    </row>
    <row r="85" spans="1:29">
      <c r="A85" s="318"/>
      <c r="B85" s="319"/>
      <c r="C85" s="318"/>
      <c r="D85" s="318"/>
      <c r="E85" s="319"/>
      <c r="F85" s="319"/>
      <c r="G85" s="318" t="s">
        <v>613</v>
      </c>
      <c r="H85" s="318">
        <v>4.49</v>
      </c>
      <c r="I85" s="318">
        <v>1</v>
      </c>
      <c r="J85" s="318">
        <f t="shared" si="23"/>
        <v>1</v>
      </c>
      <c r="K85" s="318">
        <f t="shared" si="24"/>
        <v>4.49</v>
      </c>
      <c r="L85" s="318" t="s">
        <v>184</v>
      </c>
      <c r="M85" s="318" t="s">
        <v>185</v>
      </c>
      <c r="N85" s="318">
        <v>1</v>
      </c>
      <c r="O85" s="619">
        <f t="shared" si="25"/>
        <v>4.49</v>
      </c>
      <c r="P85" s="750">
        <v>1</v>
      </c>
      <c r="Q85" s="750"/>
      <c r="R85" s="337">
        <v>1</v>
      </c>
      <c r="S85" s="348">
        <f t="shared" si="21"/>
        <v>4.49</v>
      </c>
      <c r="T85" s="319"/>
      <c r="V85" s="328">
        <f t="shared" si="30"/>
        <v>4.49</v>
      </c>
      <c r="W85" s="320">
        <v>1</v>
      </c>
      <c r="X85" s="348">
        <f t="shared" si="26"/>
        <v>4.49</v>
      </c>
      <c r="Y85" s="330">
        <v>1</v>
      </c>
      <c r="Z85" s="348">
        <f t="shared" si="27"/>
        <v>4.49</v>
      </c>
      <c r="AB85" s="328">
        <f t="shared" si="28"/>
        <v>0</v>
      </c>
      <c r="AC85" s="328">
        <f t="shared" si="29"/>
        <v>0</v>
      </c>
    </row>
    <row r="86" spans="1:29">
      <c r="A86" s="318"/>
      <c r="B86" s="319"/>
      <c r="C86" s="318"/>
      <c r="D86" s="318"/>
      <c r="E86" s="319"/>
      <c r="F86" s="319"/>
      <c r="G86" s="318" t="s">
        <v>614</v>
      </c>
      <c r="H86" s="318">
        <v>4.49</v>
      </c>
      <c r="I86" s="318">
        <v>1</v>
      </c>
      <c r="J86" s="318">
        <f t="shared" si="23"/>
        <v>1</v>
      </c>
      <c r="K86" s="318">
        <f t="shared" si="24"/>
        <v>4.49</v>
      </c>
      <c r="L86" s="318" t="s">
        <v>184</v>
      </c>
      <c r="M86" s="318" t="s">
        <v>185</v>
      </c>
      <c r="N86" s="318">
        <v>1</v>
      </c>
      <c r="O86" s="619">
        <f t="shared" si="25"/>
        <v>4.49</v>
      </c>
      <c r="P86" s="750">
        <v>1</v>
      </c>
      <c r="Q86" s="750"/>
      <c r="R86" s="337">
        <v>1</v>
      </c>
      <c r="S86" s="348">
        <f t="shared" si="21"/>
        <v>4.49</v>
      </c>
      <c r="T86" s="319"/>
      <c r="V86" s="328">
        <f t="shared" si="30"/>
        <v>4.49</v>
      </c>
      <c r="W86" s="320">
        <v>1</v>
      </c>
      <c r="X86" s="348">
        <f t="shared" si="26"/>
        <v>4.49</v>
      </c>
      <c r="Y86" s="330">
        <v>1</v>
      </c>
      <c r="Z86" s="348">
        <f t="shared" si="27"/>
        <v>4.49</v>
      </c>
      <c r="AB86" s="328">
        <f t="shared" si="28"/>
        <v>0</v>
      </c>
      <c r="AC86" s="328">
        <f t="shared" si="29"/>
        <v>0</v>
      </c>
    </row>
    <row r="87" spans="1:29">
      <c r="A87" s="318"/>
      <c r="B87" s="319"/>
      <c r="C87" s="318"/>
      <c r="D87" s="318"/>
      <c r="E87" s="319"/>
      <c r="F87" s="319"/>
      <c r="G87" s="318" t="s">
        <v>615</v>
      </c>
      <c r="H87" s="318">
        <v>4.49</v>
      </c>
      <c r="I87" s="318">
        <v>1</v>
      </c>
      <c r="J87" s="318">
        <f t="shared" si="23"/>
        <v>1</v>
      </c>
      <c r="K87" s="318">
        <f t="shared" si="24"/>
        <v>4.49</v>
      </c>
      <c r="L87" s="318" t="s">
        <v>184</v>
      </c>
      <c r="M87" s="318" t="s">
        <v>185</v>
      </c>
      <c r="N87" s="318">
        <v>1</v>
      </c>
      <c r="O87" s="619">
        <f t="shared" si="25"/>
        <v>4.49</v>
      </c>
      <c r="P87" s="750">
        <v>1</v>
      </c>
      <c r="Q87" s="750"/>
      <c r="R87" s="337">
        <v>1</v>
      </c>
      <c r="S87" s="348">
        <f t="shared" si="21"/>
        <v>4.49</v>
      </c>
      <c r="T87" s="319"/>
      <c r="V87" s="328">
        <f t="shared" si="30"/>
        <v>4.49</v>
      </c>
      <c r="W87" s="320">
        <v>1</v>
      </c>
      <c r="X87" s="348">
        <f t="shared" si="26"/>
        <v>4.49</v>
      </c>
      <c r="Y87" s="330">
        <v>1</v>
      </c>
      <c r="Z87" s="348">
        <f t="shared" si="27"/>
        <v>4.49</v>
      </c>
      <c r="AB87" s="328">
        <f t="shared" si="28"/>
        <v>0</v>
      </c>
      <c r="AC87" s="328">
        <f t="shared" si="29"/>
        <v>0</v>
      </c>
    </row>
    <row r="88" spans="1:29" ht="20.399999999999999">
      <c r="A88" s="318"/>
      <c r="B88" s="319"/>
      <c r="C88" s="318"/>
      <c r="D88" s="318"/>
      <c r="E88" s="319"/>
      <c r="F88" s="336" t="s">
        <v>604</v>
      </c>
      <c r="G88" s="649" t="s">
        <v>616</v>
      </c>
      <c r="H88" s="318">
        <v>4.8</v>
      </c>
      <c r="I88" s="318">
        <v>1</v>
      </c>
      <c r="J88" s="318">
        <f t="shared" si="23"/>
        <v>1</v>
      </c>
      <c r="K88" s="318">
        <f t="shared" si="24"/>
        <v>4.8</v>
      </c>
      <c r="L88" s="318">
        <v>2449</v>
      </c>
      <c r="M88" s="318">
        <v>240</v>
      </c>
      <c r="N88" s="318">
        <v>1</v>
      </c>
      <c r="O88" s="619">
        <f t="shared" si="25"/>
        <v>4.8</v>
      </c>
      <c r="P88" s="750">
        <v>1</v>
      </c>
      <c r="Q88" s="750"/>
      <c r="R88" s="337">
        <v>1</v>
      </c>
      <c r="S88" s="348">
        <f t="shared" si="21"/>
        <v>4.8</v>
      </c>
      <c r="T88" s="319"/>
      <c r="V88" s="328">
        <f t="shared" si="30"/>
        <v>4.49</v>
      </c>
      <c r="W88" s="320"/>
      <c r="X88" s="348">
        <f t="shared" si="26"/>
        <v>0</v>
      </c>
      <c r="Y88" s="330"/>
      <c r="Z88" s="348">
        <f t="shared" si="27"/>
        <v>0</v>
      </c>
      <c r="AB88" s="328">
        <f t="shared" si="28"/>
        <v>-4.8</v>
      </c>
      <c r="AC88" s="328">
        <f t="shared" si="29"/>
        <v>-4.8</v>
      </c>
    </row>
    <row r="89" spans="1:29">
      <c r="A89" s="584"/>
      <c r="B89" s="585"/>
      <c r="C89" s="584"/>
      <c r="D89" s="584"/>
      <c r="E89" s="585"/>
      <c r="F89" s="585" t="s">
        <v>384</v>
      </c>
      <c r="G89" s="584" t="s">
        <v>465</v>
      </c>
      <c r="H89" s="584"/>
      <c r="I89" s="584"/>
      <c r="J89" s="584"/>
      <c r="K89" s="584"/>
      <c r="L89" s="584"/>
      <c r="M89" s="584"/>
      <c r="N89" s="584"/>
      <c r="O89" s="631" t="s">
        <v>2321</v>
      </c>
      <c r="P89" s="750"/>
      <c r="Q89" s="750"/>
      <c r="R89" s="337"/>
      <c r="S89" s="348">
        <f t="shared" si="21"/>
        <v>0</v>
      </c>
      <c r="T89" s="1024" t="s">
        <v>561</v>
      </c>
      <c r="V89" s="328"/>
      <c r="W89" s="318"/>
      <c r="X89" s="384" t="s">
        <v>2321</v>
      </c>
      <c r="Y89" s="337"/>
      <c r="Z89" s="350" t="s">
        <v>2321</v>
      </c>
      <c r="AB89" s="328"/>
      <c r="AC89" s="328"/>
    </row>
    <row r="90" spans="1:29">
      <c r="A90" s="584"/>
      <c r="B90" s="585"/>
      <c r="C90" s="584"/>
      <c r="D90" s="584"/>
      <c r="E90" s="585"/>
      <c r="F90" s="585" t="s">
        <v>384</v>
      </c>
      <c r="G90" s="584" t="s">
        <v>466</v>
      </c>
      <c r="H90" s="584"/>
      <c r="I90" s="584"/>
      <c r="J90" s="584"/>
      <c r="K90" s="584"/>
      <c r="L90" s="584"/>
      <c r="M90" s="584"/>
      <c r="N90" s="584"/>
      <c r="O90" s="631" t="s">
        <v>2321</v>
      </c>
      <c r="P90" s="750"/>
      <c r="Q90" s="750"/>
      <c r="R90" s="337"/>
      <c r="S90" s="348">
        <f t="shared" si="21"/>
        <v>0</v>
      </c>
      <c r="T90" s="1025"/>
      <c r="V90" s="328"/>
      <c r="W90" s="318"/>
      <c r="X90" s="384" t="s">
        <v>2321</v>
      </c>
      <c r="Y90" s="337"/>
      <c r="Z90" s="350" t="s">
        <v>2321</v>
      </c>
      <c r="AB90" s="328"/>
      <c r="AC90" s="328"/>
    </row>
    <row r="91" spans="1:29">
      <c r="A91" s="584"/>
      <c r="B91" s="585"/>
      <c r="C91" s="584"/>
      <c r="D91" s="584"/>
      <c r="E91" s="585"/>
      <c r="F91" s="585" t="s">
        <v>384</v>
      </c>
      <c r="G91" s="584" t="s">
        <v>467</v>
      </c>
      <c r="H91" s="584"/>
      <c r="I91" s="584"/>
      <c r="J91" s="584"/>
      <c r="K91" s="584"/>
      <c r="L91" s="584"/>
      <c r="M91" s="584"/>
      <c r="N91" s="584"/>
      <c r="O91" s="631" t="s">
        <v>2321</v>
      </c>
      <c r="P91" s="750"/>
      <c r="Q91" s="750"/>
      <c r="R91" s="337"/>
      <c r="S91" s="348">
        <f t="shared" si="21"/>
        <v>0</v>
      </c>
      <c r="T91" s="1025"/>
      <c r="V91" s="328"/>
      <c r="W91" s="318"/>
      <c r="X91" s="384" t="s">
        <v>2321</v>
      </c>
      <c r="Y91" s="337"/>
      <c r="Z91" s="350" t="s">
        <v>2321</v>
      </c>
      <c r="AB91" s="328"/>
      <c r="AC91" s="328"/>
    </row>
    <row r="92" spans="1:29">
      <c r="A92" s="584"/>
      <c r="B92" s="585"/>
      <c r="C92" s="584"/>
      <c r="D92" s="584"/>
      <c r="E92" s="585"/>
      <c r="F92" s="585" t="s">
        <v>384</v>
      </c>
      <c r="G92" s="584" t="s">
        <v>468</v>
      </c>
      <c r="H92" s="584"/>
      <c r="I92" s="584"/>
      <c r="J92" s="584"/>
      <c r="K92" s="584"/>
      <c r="L92" s="584"/>
      <c r="M92" s="584"/>
      <c r="N92" s="584"/>
      <c r="O92" s="631" t="s">
        <v>2321</v>
      </c>
      <c r="P92" s="750"/>
      <c r="Q92" s="750"/>
      <c r="R92" s="337"/>
      <c r="S92" s="348">
        <f t="shared" si="21"/>
        <v>0</v>
      </c>
      <c r="T92" s="1026"/>
      <c r="V92" s="328"/>
      <c r="W92" s="318"/>
      <c r="X92" s="384" t="s">
        <v>2321</v>
      </c>
      <c r="Y92" s="337"/>
      <c r="Z92" s="350" t="s">
        <v>2321</v>
      </c>
      <c r="AB92" s="328"/>
      <c r="AC92" s="328"/>
    </row>
    <row r="93" spans="1:29" ht="20.399999999999999">
      <c r="A93" s="318"/>
      <c r="B93" s="319"/>
      <c r="C93" s="318"/>
      <c r="D93" s="318"/>
      <c r="E93" s="319"/>
      <c r="F93" s="336" t="s">
        <v>604</v>
      </c>
      <c r="G93" s="649" t="s">
        <v>617</v>
      </c>
      <c r="H93" s="318">
        <v>4.8</v>
      </c>
      <c r="I93" s="318">
        <v>1</v>
      </c>
      <c r="J93" s="318">
        <f t="shared" ref="J93:J103" si="31">IF(N93&gt;0,1,0)</f>
        <v>1</v>
      </c>
      <c r="K93" s="318">
        <f t="shared" ref="K93:K103" si="32">H93*J93</f>
        <v>4.8</v>
      </c>
      <c r="L93" s="875" t="s">
        <v>3647</v>
      </c>
      <c r="M93" s="350" t="s">
        <v>3648</v>
      </c>
      <c r="N93" s="318">
        <v>1</v>
      </c>
      <c r="O93" s="619">
        <f t="shared" si="25"/>
        <v>4.8</v>
      </c>
      <c r="P93" s="750">
        <v>1</v>
      </c>
      <c r="Q93" s="750"/>
      <c r="R93" s="337">
        <v>1</v>
      </c>
      <c r="S93" s="348">
        <f t="shared" si="21"/>
        <v>4.8</v>
      </c>
      <c r="T93" s="319"/>
      <c r="V93" s="328">
        <f t="shared" si="30"/>
        <v>4.49</v>
      </c>
      <c r="W93" s="320"/>
      <c r="X93" s="348">
        <f t="shared" ref="X93:X103" si="33">V93*W93</f>
        <v>0</v>
      </c>
      <c r="Y93" s="330"/>
      <c r="Z93" s="348">
        <f t="shared" ref="Z93:Z103" si="34">V93*Y93</f>
        <v>0</v>
      </c>
      <c r="AB93" s="328">
        <f t="shared" ref="AB93:AB103" si="35">X93-O93</f>
        <v>-4.8</v>
      </c>
      <c r="AC93" s="328">
        <f t="shared" ref="AC93:AC103" si="36">Z93-S93</f>
        <v>-4.8</v>
      </c>
    </row>
    <row r="94" spans="1:29">
      <c r="A94" s="318"/>
      <c r="B94" s="319"/>
      <c r="C94" s="318"/>
      <c r="D94" s="318"/>
      <c r="E94" s="319"/>
      <c r="F94" s="319"/>
      <c r="G94" s="318" t="s">
        <v>618</v>
      </c>
      <c r="H94" s="318">
        <v>4.49</v>
      </c>
      <c r="I94" s="318">
        <v>1</v>
      </c>
      <c r="J94" s="318">
        <f t="shared" si="31"/>
        <v>1</v>
      </c>
      <c r="K94" s="318">
        <f t="shared" si="32"/>
        <v>4.49</v>
      </c>
      <c r="L94" s="318" t="s">
        <v>186</v>
      </c>
      <c r="M94" s="318" t="s">
        <v>187</v>
      </c>
      <c r="N94" s="318">
        <v>1</v>
      </c>
      <c r="O94" s="619">
        <f t="shared" si="25"/>
        <v>4.49</v>
      </c>
      <c r="P94" s="750">
        <v>1</v>
      </c>
      <c r="Q94" s="750"/>
      <c r="R94" s="337">
        <v>1</v>
      </c>
      <c r="S94" s="348">
        <f t="shared" si="21"/>
        <v>4.49</v>
      </c>
      <c r="T94" s="319"/>
      <c r="V94" s="328">
        <f t="shared" si="30"/>
        <v>4.49</v>
      </c>
      <c r="W94" s="320">
        <v>1</v>
      </c>
      <c r="X94" s="348">
        <f t="shared" si="33"/>
        <v>4.49</v>
      </c>
      <c r="Y94" s="330">
        <v>1</v>
      </c>
      <c r="Z94" s="348">
        <f t="shared" si="34"/>
        <v>4.49</v>
      </c>
      <c r="AB94" s="328">
        <f t="shared" si="35"/>
        <v>0</v>
      </c>
      <c r="AC94" s="328">
        <f t="shared" si="36"/>
        <v>0</v>
      </c>
    </row>
    <row r="95" spans="1:29">
      <c r="A95" s="318"/>
      <c r="B95" s="319"/>
      <c r="C95" s="318"/>
      <c r="D95" s="318"/>
      <c r="E95" s="319"/>
      <c r="F95" s="319"/>
      <c r="G95" s="318" t="s">
        <v>619</v>
      </c>
      <c r="H95" s="318">
        <v>4.49</v>
      </c>
      <c r="I95" s="318">
        <v>1</v>
      </c>
      <c r="J95" s="318">
        <f t="shared" si="31"/>
        <v>1</v>
      </c>
      <c r="K95" s="318">
        <f t="shared" si="32"/>
        <v>4.49</v>
      </c>
      <c r="L95" s="318" t="s">
        <v>186</v>
      </c>
      <c r="M95" s="318" t="s">
        <v>187</v>
      </c>
      <c r="N95" s="318">
        <v>1</v>
      </c>
      <c r="O95" s="619">
        <f t="shared" si="25"/>
        <v>4.49</v>
      </c>
      <c r="P95" s="750">
        <v>1</v>
      </c>
      <c r="Q95" s="750"/>
      <c r="R95" s="337">
        <v>1</v>
      </c>
      <c r="S95" s="348">
        <f t="shared" si="21"/>
        <v>4.49</v>
      </c>
      <c r="T95" s="319"/>
      <c r="V95" s="328">
        <f t="shared" si="30"/>
        <v>4.49</v>
      </c>
      <c r="W95" s="320">
        <v>1</v>
      </c>
      <c r="X95" s="348">
        <f t="shared" si="33"/>
        <v>4.49</v>
      </c>
      <c r="Y95" s="330">
        <v>1</v>
      </c>
      <c r="Z95" s="348">
        <f t="shared" si="34"/>
        <v>4.49</v>
      </c>
      <c r="AB95" s="328">
        <f t="shared" si="35"/>
        <v>0</v>
      </c>
      <c r="AC95" s="328">
        <f t="shared" si="36"/>
        <v>0</v>
      </c>
    </row>
    <row r="96" spans="1:29">
      <c r="A96" s="318"/>
      <c r="B96" s="319"/>
      <c r="C96" s="318"/>
      <c r="D96" s="318"/>
      <c r="E96" s="319"/>
      <c r="F96" s="319"/>
      <c r="G96" s="318" t="s">
        <v>620</v>
      </c>
      <c r="H96" s="318">
        <v>4.49</v>
      </c>
      <c r="I96" s="318">
        <v>1</v>
      </c>
      <c r="J96" s="318">
        <f t="shared" si="31"/>
        <v>1</v>
      </c>
      <c r="K96" s="318">
        <f t="shared" si="32"/>
        <v>4.49</v>
      </c>
      <c r="L96" s="318" t="s">
        <v>186</v>
      </c>
      <c r="M96" s="318" t="s">
        <v>187</v>
      </c>
      <c r="N96" s="318">
        <v>1</v>
      </c>
      <c r="O96" s="619">
        <f t="shared" si="25"/>
        <v>4.49</v>
      </c>
      <c r="P96" s="750">
        <v>1</v>
      </c>
      <c r="Q96" s="750"/>
      <c r="R96" s="337">
        <v>1</v>
      </c>
      <c r="S96" s="348">
        <f t="shared" si="21"/>
        <v>4.49</v>
      </c>
      <c r="T96" s="319"/>
      <c r="V96" s="328">
        <f t="shared" si="30"/>
        <v>4.49</v>
      </c>
      <c r="W96" s="320">
        <v>1</v>
      </c>
      <c r="X96" s="348">
        <f t="shared" si="33"/>
        <v>4.49</v>
      </c>
      <c r="Y96" s="330">
        <v>1</v>
      </c>
      <c r="Z96" s="348">
        <f t="shared" si="34"/>
        <v>4.49</v>
      </c>
      <c r="AB96" s="328">
        <f t="shared" si="35"/>
        <v>0</v>
      </c>
      <c r="AC96" s="328">
        <f t="shared" si="36"/>
        <v>0</v>
      </c>
    </row>
    <row r="97" spans="1:29">
      <c r="A97" s="318"/>
      <c r="B97" s="319"/>
      <c r="C97" s="318"/>
      <c r="D97" s="318"/>
      <c r="E97" s="319"/>
      <c r="F97" s="319"/>
      <c r="G97" s="318" t="s">
        <v>621</v>
      </c>
      <c r="H97" s="318">
        <v>4.49</v>
      </c>
      <c r="I97" s="318">
        <v>1</v>
      </c>
      <c r="J97" s="318">
        <f t="shared" si="31"/>
        <v>1</v>
      </c>
      <c r="K97" s="318">
        <f t="shared" si="32"/>
        <v>4.49</v>
      </c>
      <c r="L97" s="318" t="s">
        <v>186</v>
      </c>
      <c r="M97" s="318" t="s">
        <v>187</v>
      </c>
      <c r="N97" s="318">
        <v>1</v>
      </c>
      <c r="O97" s="619">
        <f t="shared" si="25"/>
        <v>4.49</v>
      </c>
      <c r="P97" s="750">
        <v>1</v>
      </c>
      <c r="Q97" s="750"/>
      <c r="R97" s="337">
        <v>1</v>
      </c>
      <c r="S97" s="348">
        <f t="shared" si="21"/>
        <v>4.49</v>
      </c>
      <c r="T97" s="319"/>
      <c r="V97" s="328">
        <f>4.49+1.8</f>
        <v>6.29</v>
      </c>
      <c r="W97" s="320">
        <v>1</v>
      </c>
      <c r="X97" s="348">
        <f t="shared" si="33"/>
        <v>6.29</v>
      </c>
      <c r="Y97" s="330">
        <v>1</v>
      </c>
      <c r="Z97" s="348">
        <f t="shared" si="34"/>
        <v>6.29</v>
      </c>
      <c r="AB97" s="328">
        <f t="shared" si="35"/>
        <v>1.7999999999999998</v>
      </c>
      <c r="AC97" s="328">
        <f t="shared" si="36"/>
        <v>1.7999999999999998</v>
      </c>
    </row>
    <row r="98" spans="1:29">
      <c r="A98" s="318"/>
      <c r="B98" s="319"/>
      <c r="C98" s="318"/>
      <c r="D98" s="318"/>
      <c r="E98" s="319"/>
      <c r="F98" s="319"/>
      <c r="G98" s="318" t="s">
        <v>622</v>
      </c>
      <c r="H98" s="318">
        <v>5</v>
      </c>
      <c r="I98" s="318">
        <v>1</v>
      </c>
      <c r="J98" s="318">
        <f t="shared" si="31"/>
        <v>1</v>
      </c>
      <c r="K98" s="318">
        <f t="shared" si="32"/>
        <v>5</v>
      </c>
      <c r="L98" s="318">
        <v>1241</v>
      </c>
      <c r="M98" s="318" t="s">
        <v>211</v>
      </c>
      <c r="N98" s="318">
        <v>1</v>
      </c>
      <c r="O98" s="619">
        <f t="shared" si="25"/>
        <v>5</v>
      </c>
      <c r="P98" s="750">
        <v>1</v>
      </c>
      <c r="Q98" s="750"/>
      <c r="R98" s="337">
        <v>1</v>
      </c>
      <c r="S98" s="348">
        <f t="shared" si="21"/>
        <v>5</v>
      </c>
      <c r="T98" s="319"/>
      <c r="V98" s="328">
        <f>3.805-0.6</f>
        <v>3.2050000000000001</v>
      </c>
      <c r="W98" s="320">
        <v>1</v>
      </c>
      <c r="X98" s="348">
        <f t="shared" si="33"/>
        <v>3.2050000000000001</v>
      </c>
      <c r="Y98" s="330">
        <v>1</v>
      </c>
      <c r="Z98" s="348">
        <f t="shared" si="34"/>
        <v>3.2050000000000001</v>
      </c>
      <c r="AB98" s="328">
        <f t="shared" si="35"/>
        <v>-1.7949999999999999</v>
      </c>
      <c r="AC98" s="328">
        <f t="shared" si="36"/>
        <v>-1.7949999999999999</v>
      </c>
    </row>
    <row r="99" spans="1:29">
      <c r="A99" s="318"/>
      <c r="B99" s="319"/>
      <c r="C99" s="318"/>
      <c r="D99" s="318"/>
      <c r="E99" s="319"/>
      <c r="F99" s="319"/>
      <c r="G99" s="318" t="s">
        <v>623</v>
      </c>
      <c r="H99" s="318">
        <v>4.4000000000000004</v>
      </c>
      <c r="I99" s="318">
        <v>1</v>
      </c>
      <c r="J99" s="318">
        <f t="shared" si="31"/>
        <v>1</v>
      </c>
      <c r="K99" s="318">
        <f t="shared" si="32"/>
        <v>4.4000000000000004</v>
      </c>
      <c r="L99" s="318" t="s">
        <v>353</v>
      </c>
      <c r="M99" s="318" t="s">
        <v>354</v>
      </c>
      <c r="N99" s="318">
        <v>1</v>
      </c>
      <c r="O99" s="619">
        <f t="shared" si="25"/>
        <v>4.4000000000000004</v>
      </c>
      <c r="P99" s="750">
        <v>1</v>
      </c>
      <c r="Q99" s="750"/>
      <c r="R99" s="337">
        <v>1</v>
      </c>
      <c r="S99" s="348">
        <f t="shared" si="21"/>
        <v>4.4000000000000004</v>
      </c>
      <c r="T99" s="319"/>
      <c r="V99" s="328">
        <v>4.34</v>
      </c>
      <c r="W99" s="320">
        <v>1</v>
      </c>
      <c r="X99" s="348">
        <f t="shared" si="33"/>
        <v>4.34</v>
      </c>
      <c r="Y99" s="330">
        <v>1</v>
      </c>
      <c r="Z99" s="348">
        <f t="shared" si="34"/>
        <v>4.34</v>
      </c>
      <c r="AB99" s="328">
        <f t="shared" si="35"/>
        <v>-6.0000000000000497E-2</v>
      </c>
      <c r="AC99" s="328">
        <f t="shared" si="36"/>
        <v>-6.0000000000000497E-2</v>
      </c>
    </row>
    <row r="100" spans="1:29">
      <c r="A100" s="318"/>
      <c r="B100" s="319"/>
      <c r="C100" s="318"/>
      <c r="D100" s="318"/>
      <c r="E100" s="319"/>
      <c r="F100" s="319"/>
      <c r="G100" s="318" t="s">
        <v>624</v>
      </c>
      <c r="H100" s="318">
        <v>4.4000000000000004</v>
      </c>
      <c r="I100" s="318">
        <v>1</v>
      </c>
      <c r="J100" s="318">
        <f t="shared" si="31"/>
        <v>1</v>
      </c>
      <c r="K100" s="318">
        <f t="shared" si="32"/>
        <v>4.4000000000000004</v>
      </c>
      <c r="L100" s="318" t="s">
        <v>186</v>
      </c>
      <c r="M100" s="318" t="s">
        <v>187</v>
      </c>
      <c r="N100" s="318">
        <v>1</v>
      </c>
      <c r="O100" s="619">
        <f t="shared" si="25"/>
        <v>4.4000000000000004</v>
      </c>
      <c r="P100" s="750">
        <v>1</v>
      </c>
      <c r="Q100" s="750"/>
      <c r="R100" s="337">
        <v>1</v>
      </c>
      <c r="S100" s="348">
        <f t="shared" si="21"/>
        <v>4.4000000000000004</v>
      </c>
      <c r="T100" s="319"/>
      <c r="V100" s="328">
        <v>4.34</v>
      </c>
      <c r="W100" s="320">
        <v>1</v>
      </c>
      <c r="X100" s="348">
        <f t="shared" si="33"/>
        <v>4.34</v>
      </c>
      <c r="Y100" s="330">
        <v>1</v>
      </c>
      <c r="Z100" s="348">
        <f t="shared" si="34"/>
        <v>4.34</v>
      </c>
      <c r="AB100" s="328">
        <f t="shared" si="35"/>
        <v>-6.0000000000000497E-2</v>
      </c>
      <c r="AC100" s="328">
        <f t="shared" si="36"/>
        <v>-6.0000000000000497E-2</v>
      </c>
    </row>
    <row r="101" spans="1:29">
      <c r="A101" s="318"/>
      <c r="B101" s="319"/>
      <c r="C101" s="318"/>
      <c r="D101" s="318"/>
      <c r="E101" s="319"/>
      <c r="F101" s="319"/>
      <c r="G101" s="318" t="s">
        <v>625</v>
      </c>
      <c r="H101" s="318">
        <v>4.4000000000000004</v>
      </c>
      <c r="I101" s="318">
        <v>1</v>
      </c>
      <c r="J101" s="318">
        <f t="shared" si="31"/>
        <v>1</v>
      </c>
      <c r="K101" s="318">
        <f t="shared" si="32"/>
        <v>4.4000000000000004</v>
      </c>
      <c r="L101" s="318" t="s">
        <v>186</v>
      </c>
      <c r="M101" s="318" t="s">
        <v>187</v>
      </c>
      <c r="N101" s="318">
        <v>1</v>
      </c>
      <c r="O101" s="619">
        <f t="shared" si="25"/>
        <v>4.4000000000000004</v>
      </c>
      <c r="P101" s="750">
        <v>1</v>
      </c>
      <c r="Q101" s="750"/>
      <c r="R101" s="337">
        <v>1</v>
      </c>
      <c r="S101" s="348">
        <f t="shared" si="21"/>
        <v>4.4000000000000004</v>
      </c>
      <c r="T101" s="319"/>
      <c r="V101" s="328">
        <v>4.34</v>
      </c>
      <c r="W101" s="320">
        <v>1</v>
      </c>
      <c r="X101" s="348">
        <f t="shared" si="33"/>
        <v>4.34</v>
      </c>
      <c r="Y101" s="330">
        <v>1</v>
      </c>
      <c r="Z101" s="348">
        <f t="shared" si="34"/>
        <v>4.34</v>
      </c>
      <c r="AB101" s="328">
        <f t="shared" si="35"/>
        <v>-6.0000000000000497E-2</v>
      </c>
      <c r="AC101" s="328">
        <f t="shared" si="36"/>
        <v>-6.0000000000000497E-2</v>
      </c>
    </row>
    <row r="102" spans="1:29">
      <c r="A102" s="318"/>
      <c r="B102" s="319"/>
      <c r="C102" s="318"/>
      <c r="D102" s="318"/>
      <c r="E102" s="319"/>
      <c r="F102" s="319"/>
      <c r="G102" s="318" t="s">
        <v>626</v>
      </c>
      <c r="H102" s="318">
        <v>4.4000000000000004</v>
      </c>
      <c r="I102" s="318">
        <v>1</v>
      </c>
      <c r="J102" s="318">
        <f t="shared" si="31"/>
        <v>1</v>
      </c>
      <c r="K102" s="318">
        <f t="shared" si="32"/>
        <v>4.4000000000000004</v>
      </c>
      <c r="L102" s="318" t="s">
        <v>186</v>
      </c>
      <c r="M102" s="318" t="s">
        <v>187</v>
      </c>
      <c r="N102" s="318">
        <v>1</v>
      </c>
      <c r="O102" s="619">
        <f t="shared" si="25"/>
        <v>4.4000000000000004</v>
      </c>
      <c r="P102" s="750">
        <v>1</v>
      </c>
      <c r="Q102" s="750"/>
      <c r="R102" s="337">
        <v>1</v>
      </c>
      <c r="S102" s="348">
        <f t="shared" si="21"/>
        <v>4.4000000000000004</v>
      </c>
      <c r="T102" s="319"/>
      <c r="V102" s="328">
        <v>4.34</v>
      </c>
      <c r="W102" s="320">
        <v>1</v>
      </c>
      <c r="X102" s="348">
        <f t="shared" si="33"/>
        <v>4.34</v>
      </c>
      <c r="Y102" s="330">
        <v>1</v>
      </c>
      <c r="Z102" s="348">
        <f t="shared" si="34"/>
        <v>4.34</v>
      </c>
      <c r="AB102" s="328">
        <f t="shared" si="35"/>
        <v>-6.0000000000000497E-2</v>
      </c>
      <c r="AC102" s="328">
        <f t="shared" si="36"/>
        <v>-6.0000000000000497E-2</v>
      </c>
    </row>
    <row r="103" spans="1:29">
      <c r="A103" s="318"/>
      <c r="B103" s="319"/>
      <c r="C103" s="318"/>
      <c r="D103" s="318"/>
      <c r="E103" s="319"/>
      <c r="F103" s="319"/>
      <c r="G103" s="318" t="s">
        <v>627</v>
      </c>
      <c r="H103" s="318">
        <v>5.2</v>
      </c>
      <c r="I103" s="318">
        <v>1</v>
      </c>
      <c r="J103" s="318">
        <f t="shared" si="31"/>
        <v>1</v>
      </c>
      <c r="K103" s="318">
        <f t="shared" si="32"/>
        <v>5.2</v>
      </c>
      <c r="L103" s="318">
        <v>1241</v>
      </c>
      <c r="M103" s="318" t="s">
        <v>211</v>
      </c>
      <c r="N103" s="318">
        <v>1</v>
      </c>
      <c r="O103" s="619">
        <f t="shared" si="25"/>
        <v>5.2</v>
      </c>
      <c r="P103" s="750">
        <v>1</v>
      </c>
      <c r="Q103" s="750"/>
      <c r="R103" s="337">
        <v>1</v>
      </c>
      <c r="S103" s="348">
        <f t="shared" si="21"/>
        <v>5.2</v>
      </c>
      <c r="T103" s="319"/>
      <c r="V103" s="328">
        <f>3.995</f>
        <v>3.9950000000000001</v>
      </c>
      <c r="W103" s="320">
        <v>1</v>
      </c>
      <c r="X103" s="348">
        <f t="shared" si="33"/>
        <v>3.9950000000000001</v>
      </c>
      <c r="Y103" s="330">
        <v>1</v>
      </c>
      <c r="Z103" s="348">
        <f t="shared" si="34"/>
        <v>3.9950000000000001</v>
      </c>
      <c r="AB103" s="328">
        <f t="shared" si="35"/>
        <v>-1.2050000000000001</v>
      </c>
      <c r="AC103" s="328">
        <f t="shared" si="36"/>
        <v>-1.2050000000000001</v>
      </c>
    </row>
    <row r="104" spans="1:29">
      <c r="A104" s="318"/>
      <c r="B104" s="319"/>
      <c r="C104" s="318"/>
      <c r="D104" s="318"/>
      <c r="E104" s="319"/>
      <c r="F104" s="319"/>
      <c r="G104" s="318"/>
      <c r="H104" s="318"/>
      <c r="I104" s="318"/>
      <c r="J104" s="382" t="s">
        <v>389</v>
      </c>
      <c r="K104" s="321">
        <f>SUM(K59:K103)</f>
        <v>170.54000000000002</v>
      </c>
      <c r="L104" s="318"/>
      <c r="M104" s="318"/>
      <c r="N104" s="382" t="s">
        <v>389</v>
      </c>
      <c r="O104" s="748">
        <f>SUM(O59:O103)</f>
        <v>170.54000000000002</v>
      </c>
      <c r="P104" s="751" t="s">
        <v>389</v>
      </c>
      <c r="Q104" s="751"/>
      <c r="R104" s="382"/>
      <c r="S104" s="321">
        <f>SUM(S59:S103)</f>
        <v>170.54000000000002</v>
      </c>
      <c r="T104" s="319"/>
      <c r="V104" s="328"/>
      <c r="W104" s="321" t="s">
        <v>389</v>
      </c>
      <c r="X104" s="338">
        <f>SUM(X59:X103)</f>
        <v>161.30699999999999</v>
      </c>
      <c r="Y104" s="321" t="s">
        <v>389</v>
      </c>
      <c r="Z104" s="338">
        <f>SUM(Z59:Z103)</f>
        <v>161.30699999999999</v>
      </c>
      <c r="AB104" s="328"/>
      <c r="AC104" s="328"/>
    </row>
    <row r="105" spans="1:29" ht="6.75" customHeight="1">
      <c r="A105" s="316"/>
      <c r="B105" s="317"/>
      <c r="C105" s="316"/>
      <c r="D105" s="316"/>
      <c r="E105" s="317"/>
      <c r="F105" s="317"/>
      <c r="G105" s="316"/>
      <c r="H105" s="316"/>
      <c r="I105" s="316"/>
      <c r="J105" s="316"/>
      <c r="K105" s="316"/>
      <c r="L105" s="316"/>
      <c r="M105" s="316"/>
      <c r="N105" s="316"/>
      <c r="O105" s="749"/>
      <c r="P105" s="633"/>
      <c r="Q105" s="633"/>
      <c r="R105" s="949"/>
      <c r="S105" s="339"/>
      <c r="T105" s="317"/>
      <c r="V105" s="332"/>
      <c r="W105" s="316"/>
      <c r="X105" s="339"/>
      <c r="Y105" s="316"/>
      <c r="Z105" s="339"/>
      <c r="AB105" s="332"/>
      <c r="AC105" s="332"/>
    </row>
    <row r="106" spans="1:29">
      <c r="A106" s="318">
        <v>3</v>
      </c>
      <c r="B106" s="319" t="s">
        <v>383</v>
      </c>
      <c r="C106" s="318">
        <v>600</v>
      </c>
      <c r="D106" s="318">
        <v>8</v>
      </c>
      <c r="E106" s="319">
        <v>1</v>
      </c>
      <c r="F106" s="319"/>
      <c r="G106" s="318" t="s">
        <v>628</v>
      </c>
      <c r="H106" s="318">
        <v>2.79</v>
      </c>
      <c r="I106" s="318">
        <v>1</v>
      </c>
      <c r="J106" s="318">
        <f t="shared" ref="J106:J125" si="37">IF(N106&gt;0,1,0)</f>
        <v>1</v>
      </c>
      <c r="K106" s="318">
        <f t="shared" ref="K106:K125" si="38">H106*J106</f>
        <v>2.79</v>
      </c>
      <c r="L106" s="318" t="s">
        <v>293</v>
      </c>
      <c r="M106" s="318" t="s">
        <v>294</v>
      </c>
      <c r="N106" s="318">
        <v>1</v>
      </c>
      <c r="O106" s="619">
        <f t="shared" ref="O106:O125" si="39">H106*N106</f>
        <v>2.79</v>
      </c>
      <c r="P106" s="750">
        <v>1</v>
      </c>
      <c r="Q106" s="750"/>
      <c r="R106" s="337">
        <v>1</v>
      </c>
      <c r="S106" s="348">
        <f>H106*R106</f>
        <v>2.79</v>
      </c>
      <c r="T106" s="319"/>
      <c r="V106" s="328">
        <v>2.7869999999999999</v>
      </c>
      <c r="W106" s="320">
        <v>1</v>
      </c>
      <c r="X106" s="348">
        <f t="shared" ref="X106:X125" si="40">V106*W106</f>
        <v>2.7869999999999999</v>
      </c>
      <c r="Y106" s="330">
        <v>1</v>
      </c>
      <c r="Z106" s="348">
        <f t="shared" ref="Z106:Z125" si="41">V106*Y106</f>
        <v>2.7869999999999999</v>
      </c>
      <c r="AB106" s="328">
        <f t="shared" ref="AB106:AB125" si="42">X106-O106</f>
        <v>-3.0000000000001137E-3</v>
      </c>
      <c r="AC106" s="328">
        <f t="shared" ref="AC106:AC125" si="43">Z106-S106</f>
        <v>-3.0000000000001137E-3</v>
      </c>
    </row>
    <row r="107" spans="1:29">
      <c r="A107" s="318"/>
      <c r="B107" s="319"/>
      <c r="C107" s="318"/>
      <c r="D107" s="318"/>
      <c r="E107" s="319"/>
      <c r="F107" s="319"/>
      <c r="G107" s="318" t="s">
        <v>629</v>
      </c>
      <c r="H107" s="318">
        <v>3</v>
      </c>
      <c r="I107" s="318">
        <v>1</v>
      </c>
      <c r="J107" s="318">
        <f t="shared" si="37"/>
        <v>1</v>
      </c>
      <c r="K107" s="318">
        <f t="shared" si="38"/>
        <v>3</v>
      </c>
      <c r="L107" s="318">
        <v>1494</v>
      </c>
      <c r="M107" s="318">
        <v>125</v>
      </c>
      <c r="N107" s="318">
        <v>1</v>
      </c>
      <c r="O107" s="619">
        <f t="shared" si="39"/>
        <v>3</v>
      </c>
      <c r="P107" s="750">
        <v>1</v>
      </c>
      <c r="Q107" s="750"/>
      <c r="R107" s="337">
        <v>1</v>
      </c>
      <c r="S107" s="348">
        <f>H107*R107</f>
        <v>3</v>
      </c>
      <c r="T107" s="319"/>
      <c r="V107" s="328">
        <f>2.45+1.205-0.6</f>
        <v>3.0550000000000002</v>
      </c>
      <c r="W107" s="320">
        <v>1</v>
      </c>
      <c r="X107" s="348">
        <f t="shared" si="40"/>
        <v>3.0550000000000002</v>
      </c>
      <c r="Y107" s="330">
        <v>1</v>
      </c>
      <c r="Z107" s="348">
        <f t="shared" si="41"/>
        <v>3.0550000000000002</v>
      </c>
      <c r="AB107" s="328">
        <f t="shared" si="42"/>
        <v>5.500000000000016E-2</v>
      </c>
      <c r="AC107" s="328">
        <f t="shared" si="43"/>
        <v>5.500000000000016E-2</v>
      </c>
    </row>
    <row r="108" spans="1:29">
      <c r="A108" s="318"/>
      <c r="B108" s="319"/>
      <c r="C108" s="318"/>
      <c r="D108" s="318"/>
      <c r="E108" s="319"/>
      <c r="F108" s="319"/>
      <c r="G108" s="318" t="s">
        <v>630</v>
      </c>
      <c r="H108" s="318">
        <v>4.49</v>
      </c>
      <c r="I108" s="318">
        <v>1</v>
      </c>
      <c r="J108" s="318">
        <f t="shared" si="37"/>
        <v>1</v>
      </c>
      <c r="K108" s="318">
        <f t="shared" si="38"/>
        <v>4.49</v>
      </c>
      <c r="L108" s="318">
        <v>1076</v>
      </c>
      <c r="M108" s="318"/>
      <c r="N108" s="318">
        <v>1</v>
      </c>
      <c r="O108" s="619">
        <f t="shared" si="39"/>
        <v>4.49</v>
      </c>
      <c r="P108" s="750">
        <v>1</v>
      </c>
      <c r="Q108" s="750"/>
      <c r="R108" s="337">
        <v>1</v>
      </c>
      <c r="S108" s="348">
        <f t="shared" ref="S108:S148" si="44">H108*R108</f>
        <v>4.49</v>
      </c>
      <c r="T108" s="319"/>
      <c r="V108" s="328">
        <f t="shared" ref="V108:V121" si="45">4.49</f>
        <v>4.49</v>
      </c>
      <c r="W108" s="320">
        <v>1</v>
      </c>
      <c r="X108" s="348">
        <f t="shared" si="40"/>
        <v>4.49</v>
      </c>
      <c r="Y108" s="330">
        <v>1</v>
      </c>
      <c r="Z108" s="348">
        <f t="shared" si="41"/>
        <v>4.49</v>
      </c>
      <c r="AB108" s="328">
        <f t="shared" si="42"/>
        <v>0</v>
      </c>
      <c r="AC108" s="328">
        <f t="shared" si="43"/>
        <v>0</v>
      </c>
    </row>
    <row r="109" spans="1:29">
      <c r="A109" s="318"/>
      <c r="B109" s="319"/>
      <c r="C109" s="318"/>
      <c r="D109" s="318"/>
      <c r="E109" s="319"/>
      <c r="F109" s="319"/>
      <c r="G109" s="318" t="s">
        <v>631</v>
      </c>
      <c r="H109" s="318">
        <v>4.49</v>
      </c>
      <c r="I109" s="318">
        <v>1</v>
      </c>
      <c r="J109" s="318">
        <f t="shared" si="37"/>
        <v>1</v>
      </c>
      <c r="K109" s="318">
        <f t="shared" si="38"/>
        <v>4.49</v>
      </c>
      <c r="L109" s="318">
        <v>1076</v>
      </c>
      <c r="M109" s="318"/>
      <c r="N109" s="318">
        <v>1</v>
      </c>
      <c r="O109" s="619">
        <f t="shared" si="39"/>
        <v>4.49</v>
      </c>
      <c r="P109" s="750">
        <v>1</v>
      </c>
      <c r="Q109" s="750"/>
      <c r="R109" s="337">
        <v>1</v>
      </c>
      <c r="S109" s="348">
        <f t="shared" si="44"/>
        <v>4.49</v>
      </c>
      <c r="T109" s="319"/>
      <c r="V109" s="328">
        <f t="shared" si="45"/>
        <v>4.49</v>
      </c>
      <c r="W109" s="320">
        <v>1</v>
      </c>
      <c r="X109" s="348">
        <f t="shared" si="40"/>
        <v>4.49</v>
      </c>
      <c r="Y109" s="330">
        <v>1</v>
      </c>
      <c r="Z109" s="348">
        <f t="shared" si="41"/>
        <v>4.49</v>
      </c>
      <c r="AB109" s="328">
        <f t="shared" si="42"/>
        <v>0</v>
      </c>
      <c r="AC109" s="328">
        <f t="shared" si="43"/>
        <v>0</v>
      </c>
    </row>
    <row r="110" spans="1:29">
      <c r="A110" s="318"/>
      <c r="B110" s="319"/>
      <c r="C110" s="318"/>
      <c r="D110" s="318"/>
      <c r="E110" s="319"/>
      <c r="F110" s="319"/>
      <c r="G110" s="318" t="s">
        <v>632</v>
      </c>
      <c r="H110" s="318">
        <v>4.49</v>
      </c>
      <c r="I110" s="318">
        <v>1</v>
      </c>
      <c r="J110" s="318">
        <f t="shared" si="37"/>
        <v>1</v>
      </c>
      <c r="K110" s="318">
        <f t="shared" si="38"/>
        <v>4.49</v>
      </c>
      <c r="L110" s="318">
        <v>1076</v>
      </c>
      <c r="M110" s="318"/>
      <c r="N110" s="318">
        <v>1</v>
      </c>
      <c r="O110" s="619">
        <f t="shared" si="39"/>
        <v>4.49</v>
      </c>
      <c r="P110" s="750">
        <v>1</v>
      </c>
      <c r="Q110" s="750"/>
      <c r="R110" s="337">
        <v>1</v>
      </c>
      <c r="S110" s="348">
        <f t="shared" si="44"/>
        <v>4.49</v>
      </c>
      <c r="T110" s="319"/>
      <c r="V110" s="328">
        <f t="shared" si="45"/>
        <v>4.49</v>
      </c>
      <c r="W110" s="320">
        <v>1</v>
      </c>
      <c r="X110" s="348">
        <f t="shared" si="40"/>
        <v>4.49</v>
      </c>
      <c r="Y110" s="330">
        <v>1</v>
      </c>
      <c r="Z110" s="348">
        <f t="shared" si="41"/>
        <v>4.49</v>
      </c>
      <c r="AB110" s="328">
        <f t="shared" si="42"/>
        <v>0</v>
      </c>
      <c r="AC110" s="328">
        <f t="shared" si="43"/>
        <v>0</v>
      </c>
    </row>
    <row r="111" spans="1:29">
      <c r="A111" s="318"/>
      <c r="B111" s="319"/>
      <c r="C111" s="318"/>
      <c r="D111" s="318"/>
      <c r="E111" s="319"/>
      <c r="F111" s="319"/>
      <c r="G111" s="318" t="s">
        <v>633</v>
      </c>
      <c r="H111" s="318">
        <v>4.49</v>
      </c>
      <c r="I111" s="318">
        <v>1</v>
      </c>
      <c r="J111" s="318">
        <f t="shared" si="37"/>
        <v>1</v>
      </c>
      <c r="K111" s="318">
        <f t="shared" si="38"/>
        <v>4.49</v>
      </c>
      <c r="L111" s="318">
        <v>1076</v>
      </c>
      <c r="M111" s="318"/>
      <c r="N111" s="318">
        <v>1</v>
      </c>
      <c r="O111" s="619">
        <f t="shared" si="39"/>
        <v>4.49</v>
      </c>
      <c r="P111" s="750">
        <v>1</v>
      </c>
      <c r="Q111" s="750"/>
      <c r="R111" s="337">
        <v>1</v>
      </c>
      <c r="S111" s="348">
        <f t="shared" si="44"/>
        <v>4.49</v>
      </c>
      <c r="T111" s="319"/>
      <c r="V111" s="328">
        <f t="shared" si="45"/>
        <v>4.49</v>
      </c>
      <c r="W111" s="320">
        <v>1</v>
      </c>
      <c r="X111" s="348">
        <f t="shared" si="40"/>
        <v>4.49</v>
      </c>
      <c r="Y111" s="330">
        <v>1</v>
      </c>
      <c r="Z111" s="348">
        <f t="shared" si="41"/>
        <v>4.49</v>
      </c>
      <c r="AB111" s="328">
        <f t="shared" si="42"/>
        <v>0</v>
      </c>
      <c r="AC111" s="328">
        <f t="shared" si="43"/>
        <v>0</v>
      </c>
    </row>
    <row r="112" spans="1:29">
      <c r="A112" s="318"/>
      <c r="B112" s="319"/>
      <c r="C112" s="318"/>
      <c r="D112" s="318"/>
      <c r="E112" s="319"/>
      <c r="F112" s="319"/>
      <c r="G112" s="318" t="s">
        <v>634</v>
      </c>
      <c r="H112" s="318">
        <v>4.49</v>
      </c>
      <c r="I112" s="318">
        <v>1</v>
      </c>
      <c r="J112" s="318">
        <f t="shared" si="37"/>
        <v>1</v>
      </c>
      <c r="K112" s="318">
        <f t="shared" si="38"/>
        <v>4.49</v>
      </c>
      <c r="L112" s="318">
        <v>1076</v>
      </c>
      <c r="M112" s="318"/>
      <c r="N112" s="318">
        <v>1</v>
      </c>
      <c r="O112" s="619">
        <f t="shared" si="39"/>
        <v>4.49</v>
      </c>
      <c r="P112" s="750">
        <v>1</v>
      </c>
      <c r="Q112" s="750"/>
      <c r="R112" s="337">
        <v>1</v>
      </c>
      <c r="S112" s="348">
        <f t="shared" si="44"/>
        <v>4.49</v>
      </c>
      <c r="T112" s="319"/>
      <c r="V112" s="328">
        <f t="shared" si="45"/>
        <v>4.49</v>
      </c>
      <c r="W112" s="320">
        <v>1</v>
      </c>
      <c r="X112" s="348">
        <f t="shared" si="40"/>
        <v>4.49</v>
      </c>
      <c r="Y112" s="330">
        <v>1</v>
      </c>
      <c r="Z112" s="348">
        <f t="shared" si="41"/>
        <v>4.49</v>
      </c>
      <c r="AB112" s="328">
        <f t="shared" si="42"/>
        <v>0</v>
      </c>
      <c r="AC112" s="328">
        <f t="shared" si="43"/>
        <v>0</v>
      </c>
    </row>
    <row r="113" spans="1:29">
      <c r="A113" s="318"/>
      <c r="B113" s="319"/>
      <c r="C113" s="318"/>
      <c r="D113" s="318"/>
      <c r="E113" s="319"/>
      <c r="F113" s="319"/>
      <c r="G113" s="318" t="s">
        <v>635</v>
      </c>
      <c r="H113" s="318">
        <v>4.49</v>
      </c>
      <c r="I113" s="318">
        <v>1</v>
      </c>
      <c r="J113" s="318">
        <f t="shared" si="37"/>
        <v>1</v>
      </c>
      <c r="K113" s="318">
        <f t="shared" si="38"/>
        <v>4.49</v>
      </c>
      <c r="L113" s="318">
        <v>1113</v>
      </c>
      <c r="M113" s="318"/>
      <c r="N113" s="318">
        <v>1</v>
      </c>
      <c r="O113" s="619">
        <f t="shared" si="39"/>
        <v>4.49</v>
      </c>
      <c r="P113" s="750">
        <v>1</v>
      </c>
      <c r="Q113" s="750"/>
      <c r="R113" s="337">
        <v>1</v>
      </c>
      <c r="S113" s="348">
        <f t="shared" si="44"/>
        <v>4.49</v>
      </c>
      <c r="T113" s="319"/>
      <c r="V113" s="328">
        <f t="shared" si="45"/>
        <v>4.49</v>
      </c>
      <c r="W113" s="320">
        <v>1</v>
      </c>
      <c r="X113" s="348">
        <f t="shared" si="40"/>
        <v>4.49</v>
      </c>
      <c r="Y113" s="330">
        <v>1</v>
      </c>
      <c r="Z113" s="348">
        <f t="shared" si="41"/>
        <v>4.49</v>
      </c>
      <c r="AB113" s="328">
        <f t="shared" si="42"/>
        <v>0</v>
      </c>
      <c r="AC113" s="328">
        <f t="shared" si="43"/>
        <v>0</v>
      </c>
    </row>
    <row r="114" spans="1:29">
      <c r="A114" s="318"/>
      <c r="B114" s="319"/>
      <c r="C114" s="318"/>
      <c r="D114" s="318"/>
      <c r="E114" s="319"/>
      <c r="F114" s="319"/>
      <c r="G114" s="318" t="s">
        <v>636</v>
      </c>
      <c r="H114" s="318">
        <v>4.49</v>
      </c>
      <c r="I114" s="318">
        <v>1</v>
      </c>
      <c r="J114" s="318">
        <f t="shared" si="37"/>
        <v>1</v>
      </c>
      <c r="K114" s="318">
        <f t="shared" si="38"/>
        <v>4.49</v>
      </c>
      <c r="L114" s="318">
        <v>1076</v>
      </c>
      <c r="M114" s="318"/>
      <c r="N114" s="318">
        <v>1</v>
      </c>
      <c r="O114" s="619">
        <f t="shared" si="39"/>
        <v>4.49</v>
      </c>
      <c r="P114" s="750">
        <v>1</v>
      </c>
      <c r="Q114" s="750"/>
      <c r="R114" s="337">
        <v>1</v>
      </c>
      <c r="S114" s="348">
        <f t="shared" si="44"/>
        <v>4.49</v>
      </c>
      <c r="T114" s="319"/>
      <c r="V114" s="328">
        <f t="shared" si="45"/>
        <v>4.49</v>
      </c>
      <c r="W114" s="320">
        <v>1</v>
      </c>
      <c r="X114" s="348">
        <f t="shared" si="40"/>
        <v>4.49</v>
      </c>
      <c r="Y114" s="330">
        <v>1</v>
      </c>
      <c r="Z114" s="348">
        <f t="shared" si="41"/>
        <v>4.49</v>
      </c>
      <c r="AB114" s="328">
        <f t="shared" si="42"/>
        <v>0</v>
      </c>
      <c r="AC114" s="328">
        <f t="shared" si="43"/>
        <v>0</v>
      </c>
    </row>
    <row r="115" spans="1:29">
      <c r="A115" s="318"/>
      <c r="B115" s="319"/>
      <c r="C115" s="318"/>
      <c r="D115" s="318"/>
      <c r="E115" s="319"/>
      <c r="F115" s="319"/>
      <c r="G115" s="318" t="s">
        <v>637</v>
      </c>
      <c r="H115" s="318">
        <v>4.49</v>
      </c>
      <c r="I115" s="318">
        <v>1</v>
      </c>
      <c r="J115" s="318">
        <f t="shared" si="37"/>
        <v>1</v>
      </c>
      <c r="K115" s="318">
        <f t="shared" si="38"/>
        <v>4.49</v>
      </c>
      <c r="L115" s="318">
        <v>1076</v>
      </c>
      <c r="M115" s="318"/>
      <c r="N115" s="318">
        <v>1</v>
      </c>
      <c r="O115" s="619">
        <f t="shared" si="39"/>
        <v>4.49</v>
      </c>
      <c r="P115" s="750">
        <v>1</v>
      </c>
      <c r="Q115" s="750"/>
      <c r="R115" s="337">
        <v>1</v>
      </c>
      <c r="S115" s="348">
        <f t="shared" si="44"/>
        <v>4.49</v>
      </c>
      <c r="T115" s="319"/>
      <c r="V115" s="328">
        <f t="shared" si="45"/>
        <v>4.49</v>
      </c>
      <c r="W115" s="320">
        <v>1</v>
      </c>
      <c r="X115" s="348">
        <f t="shared" si="40"/>
        <v>4.49</v>
      </c>
      <c r="Y115" s="330">
        <v>1</v>
      </c>
      <c r="Z115" s="348">
        <f t="shared" si="41"/>
        <v>4.49</v>
      </c>
      <c r="AB115" s="328">
        <f t="shared" si="42"/>
        <v>0</v>
      </c>
      <c r="AC115" s="328">
        <f t="shared" si="43"/>
        <v>0</v>
      </c>
    </row>
    <row r="116" spans="1:29">
      <c r="A116" s="318"/>
      <c r="B116" s="319"/>
      <c r="C116" s="318"/>
      <c r="D116" s="318"/>
      <c r="E116" s="319"/>
      <c r="F116" s="319"/>
      <c r="G116" s="318" t="s">
        <v>638</v>
      </c>
      <c r="H116" s="318">
        <v>4.49</v>
      </c>
      <c r="I116" s="318">
        <v>1</v>
      </c>
      <c r="J116" s="318">
        <f t="shared" si="37"/>
        <v>1</v>
      </c>
      <c r="K116" s="318">
        <f t="shared" si="38"/>
        <v>4.49</v>
      </c>
      <c r="L116" s="318">
        <v>1076</v>
      </c>
      <c r="M116" s="318"/>
      <c r="N116" s="318">
        <v>1</v>
      </c>
      <c r="O116" s="619">
        <f t="shared" si="39"/>
        <v>4.49</v>
      </c>
      <c r="P116" s="750">
        <v>1</v>
      </c>
      <c r="Q116" s="750"/>
      <c r="R116" s="337">
        <v>1</v>
      </c>
      <c r="S116" s="348">
        <f t="shared" si="44"/>
        <v>4.49</v>
      </c>
      <c r="T116" s="319"/>
      <c r="V116" s="328">
        <f t="shared" si="45"/>
        <v>4.49</v>
      </c>
      <c r="W116" s="320">
        <v>1</v>
      </c>
      <c r="X116" s="348">
        <f t="shared" si="40"/>
        <v>4.49</v>
      </c>
      <c r="Y116" s="330">
        <v>1</v>
      </c>
      <c r="Z116" s="348">
        <f t="shared" si="41"/>
        <v>4.49</v>
      </c>
      <c r="AB116" s="328">
        <f t="shared" si="42"/>
        <v>0</v>
      </c>
      <c r="AC116" s="328">
        <f t="shared" si="43"/>
        <v>0</v>
      </c>
    </row>
    <row r="117" spans="1:29">
      <c r="A117" s="318"/>
      <c r="B117" s="319"/>
      <c r="C117" s="318"/>
      <c r="D117" s="318"/>
      <c r="E117" s="319"/>
      <c r="F117" s="319"/>
      <c r="G117" s="318" t="s">
        <v>639</v>
      </c>
      <c r="H117" s="318">
        <v>4.49</v>
      </c>
      <c r="I117" s="318">
        <v>1</v>
      </c>
      <c r="J117" s="318">
        <f t="shared" si="37"/>
        <v>1</v>
      </c>
      <c r="K117" s="318">
        <f t="shared" si="38"/>
        <v>4.49</v>
      </c>
      <c r="L117" s="318">
        <v>1081</v>
      </c>
      <c r="M117" s="318"/>
      <c r="N117" s="318">
        <v>1</v>
      </c>
      <c r="O117" s="619">
        <f t="shared" si="39"/>
        <v>4.49</v>
      </c>
      <c r="P117" s="750">
        <v>1</v>
      </c>
      <c r="Q117" s="750"/>
      <c r="R117" s="337">
        <v>1</v>
      </c>
      <c r="S117" s="348">
        <f t="shared" si="44"/>
        <v>4.49</v>
      </c>
      <c r="T117" s="319"/>
      <c r="V117" s="328">
        <f t="shared" si="45"/>
        <v>4.49</v>
      </c>
      <c r="W117" s="320">
        <v>1</v>
      </c>
      <c r="X117" s="348">
        <f t="shared" si="40"/>
        <v>4.49</v>
      </c>
      <c r="Y117" s="330">
        <v>1</v>
      </c>
      <c r="Z117" s="348">
        <f t="shared" si="41"/>
        <v>4.49</v>
      </c>
      <c r="AB117" s="328">
        <f t="shared" si="42"/>
        <v>0</v>
      </c>
      <c r="AC117" s="328">
        <f t="shared" si="43"/>
        <v>0</v>
      </c>
    </row>
    <row r="118" spans="1:29">
      <c r="A118" s="318"/>
      <c r="B118" s="319"/>
      <c r="C118" s="318"/>
      <c r="D118" s="318"/>
      <c r="E118" s="319"/>
      <c r="F118" s="319"/>
      <c r="G118" s="318" t="s">
        <v>640</v>
      </c>
      <c r="H118" s="318">
        <v>4.49</v>
      </c>
      <c r="I118" s="318">
        <v>1</v>
      </c>
      <c r="J118" s="318">
        <f t="shared" si="37"/>
        <v>1</v>
      </c>
      <c r="K118" s="318">
        <f t="shared" si="38"/>
        <v>4.49</v>
      </c>
      <c r="L118" s="318">
        <v>1081</v>
      </c>
      <c r="M118" s="318"/>
      <c r="N118" s="318">
        <v>1</v>
      </c>
      <c r="O118" s="619">
        <f t="shared" si="39"/>
        <v>4.49</v>
      </c>
      <c r="P118" s="750">
        <v>1</v>
      </c>
      <c r="Q118" s="750"/>
      <c r="R118" s="337">
        <v>1</v>
      </c>
      <c r="S118" s="348">
        <f t="shared" si="44"/>
        <v>4.49</v>
      </c>
      <c r="T118" s="319"/>
      <c r="V118" s="328">
        <f t="shared" si="45"/>
        <v>4.49</v>
      </c>
      <c r="W118" s="320">
        <v>1</v>
      </c>
      <c r="X118" s="348">
        <f t="shared" si="40"/>
        <v>4.49</v>
      </c>
      <c r="Y118" s="330">
        <v>1</v>
      </c>
      <c r="Z118" s="348">
        <f t="shared" si="41"/>
        <v>4.49</v>
      </c>
      <c r="AB118" s="328">
        <f t="shared" si="42"/>
        <v>0</v>
      </c>
      <c r="AC118" s="328">
        <f t="shared" si="43"/>
        <v>0</v>
      </c>
    </row>
    <row r="119" spans="1:29">
      <c r="A119" s="318"/>
      <c r="B119" s="319"/>
      <c r="C119" s="318"/>
      <c r="D119" s="318"/>
      <c r="E119" s="319"/>
      <c r="F119" s="319"/>
      <c r="G119" s="318" t="s">
        <v>641</v>
      </c>
      <c r="H119" s="318">
        <v>4.49</v>
      </c>
      <c r="I119" s="318">
        <v>1</v>
      </c>
      <c r="J119" s="318">
        <f t="shared" si="37"/>
        <v>1</v>
      </c>
      <c r="K119" s="318">
        <f t="shared" si="38"/>
        <v>4.49</v>
      </c>
      <c r="L119" s="318">
        <v>1081</v>
      </c>
      <c r="M119" s="318"/>
      <c r="N119" s="318">
        <v>1</v>
      </c>
      <c r="O119" s="619">
        <f t="shared" si="39"/>
        <v>4.49</v>
      </c>
      <c r="P119" s="750">
        <v>1</v>
      </c>
      <c r="Q119" s="750"/>
      <c r="R119" s="337">
        <v>1</v>
      </c>
      <c r="S119" s="348">
        <f t="shared" si="44"/>
        <v>4.49</v>
      </c>
      <c r="T119" s="319"/>
      <c r="V119" s="328">
        <f t="shared" si="45"/>
        <v>4.49</v>
      </c>
      <c r="W119" s="320">
        <v>1</v>
      </c>
      <c r="X119" s="348">
        <f t="shared" si="40"/>
        <v>4.49</v>
      </c>
      <c r="Y119" s="330">
        <v>1</v>
      </c>
      <c r="Z119" s="348">
        <f t="shared" si="41"/>
        <v>4.49</v>
      </c>
      <c r="AB119" s="328">
        <f t="shared" si="42"/>
        <v>0</v>
      </c>
      <c r="AC119" s="328">
        <f t="shared" si="43"/>
        <v>0</v>
      </c>
    </row>
    <row r="120" spans="1:29">
      <c r="A120" s="318"/>
      <c r="B120" s="319"/>
      <c r="C120" s="318"/>
      <c r="D120" s="318"/>
      <c r="E120" s="319"/>
      <c r="F120" s="319"/>
      <c r="G120" s="318" t="s">
        <v>642</v>
      </c>
      <c r="H120" s="318">
        <v>4.49</v>
      </c>
      <c r="I120" s="318">
        <v>1</v>
      </c>
      <c r="J120" s="318">
        <f t="shared" si="37"/>
        <v>1</v>
      </c>
      <c r="K120" s="318">
        <f t="shared" si="38"/>
        <v>4.49</v>
      </c>
      <c r="L120" s="318">
        <v>1081</v>
      </c>
      <c r="M120" s="318"/>
      <c r="N120" s="318">
        <v>1</v>
      </c>
      <c r="O120" s="619">
        <f t="shared" si="39"/>
        <v>4.49</v>
      </c>
      <c r="P120" s="750">
        <v>1</v>
      </c>
      <c r="Q120" s="750"/>
      <c r="R120" s="337">
        <v>1</v>
      </c>
      <c r="S120" s="348">
        <f t="shared" si="44"/>
        <v>4.49</v>
      </c>
      <c r="T120" s="319"/>
      <c r="V120" s="328">
        <f t="shared" si="45"/>
        <v>4.49</v>
      </c>
      <c r="W120" s="320">
        <v>1</v>
      </c>
      <c r="X120" s="348">
        <f t="shared" si="40"/>
        <v>4.49</v>
      </c>
      <c r="Y120" s="330">
        <v>1</v>
      </c>
      <c r="Z120" s="348">
        <f t="shared" si="41"/>
        <v>4.49</v>
      </c>
      <c r="AB120" s="328">
        <f t="shared" si="42"/>
        <v>0</v>
      </c>
      <c r="AC120" s="328">
        <f t="shared" si="43"/>
        <v>0</v>
      </c>
    </row>
    <row r="121" spans="1:29">
      <c r="A121" s="318"/>
      <c r="B121" s="319"/>
      <c r="C121" s="318"/>
      <c r="D121" s="318"/>
      <c r="E121" s="319"/>
      <c r="F121" s="319"/>
      <c r="G121" s="318" t="s">
        <v>643</v>
      </c>
      <c r="H121" s="318">
        <v>4.49</v>
      </c>
      <c r="I121" s="318">
        <v>1</v>
      </c>
      <c r="J121" s="318">
        <f t="shared" si="37"/>
        <v>1</v>
      </c>
      <c r="K121" s="318">
        <f t="shared" si="38"/>
        <v>4.49</v>
      </c>
      <c r="L121" s="318">
        <v>1081</v>
      </c>
      <c r="M121" s="318"/>
      <c r="N121" s="318">
        <v>1</v>
      </c>
      <c r="O121" s="619">
        <f t="shared" si="39"/>
        <v>4.49</v>
      </c>
      <c r="P121" s="750">
        <v>1</v>
      </c>
      <c r="Q121" s="750"/>
      <c r="R121" s="337">
        <v>1</v>
      </c>
      <c r="S121" s="348">
        <f t="shared" si="44"/>
        <v>4.49</v>
      </c>
      <c r="T121" s="319"/>
      <c r="V121" s="328">
        <f t="shared" si="45"/>
        <v>4.49</v>
      </c>
      <c r="W121" s="320">
        <v>1</v>
      </c>
      <c r="X121" s="348">
        <f t="shared" si="40"/>
        <v>4.49</v>
      </c>
      <c r="Y121" s="330">
        <v>1</v>
      </c>
      <c r="Z121" s="348">
        <f t="shared" si="41"/>
        <v>4.49</v>
      </c>
      <c r="AB121" s="328">
        <f t="shared" si="42"/>
        <v>0</v>
      </c>
      <c r="AC121" s="328">
        <f t="shared" si="43"/>
        <v>0</v>
      </c>
    </row>
    <row r="122" spans="1:29">
      <c r="A122" s="318"/>
      <c r="B122" s="319"/>
      <c r="C122" s="318"/>
      <c r="D122" s="318"/>
      <c r="E122" s="319"/>
      <c r="F122" s="319"/>
      <c r="G122" s="318" t="s">
        <v>644</v>
      </c>
      <c r="H122" s="318">
        <v>3.38</v>
      </c>
      <c r="I122" s="318">
        <v>1</v>
      </c>
      <c r="J122" s="318">
        <f t="shared" si="37"/>
        <v>1</v>
      </c>
      <c r="K122" s="318">
        <f t="shared" si="38"/>
        <v>3.38</v>
      </c>
      <c r="L122" s="318">
        <v>1186</v>
      </c>
      <c r="M122" s="318" t="s">
        <v>194</v>
      </c>
      <c r="N122" s="318">
        <v>1</v>
      </c>
      <c r="O122" s="619">
        <f t="shared" si="39"/>
        <v>3.38</v>
      </c>
      <c r="P122" s="750">
        <v>1</v>
      </c>
      <c r="Q122" s="750"/>
      <c r="R122" s="337">
        <v>1</v>
      </c>
      <c r="S122" s="348">
        <f t="shared" si="44"/>
        <v>3.38</v>
      </c>
      <c r="T122" s="319"/>
      <c r="V122" s="328">
        <v>3.3650000000000002</v>
      </c>
      <c r="W122" s="320">
        <v>1</v>
      </c>
      <c r="X122" s="348">
        <f t="shared" si="40"/>
        <v>3.3650000000000002</v>
      </c>
      <c r="Y122" s="330">
        <v>1</v>
      </c>
      <c r="Z122" s="348">
        <f t="shared" si="41"/>
        <v>3.3650000000000002</v>
      </c>
      <c r="AB122" s="328">
        <f t="shared" si="42"/>
        <v>-1.499999999999968E-2</v>
      </c>
      <c r="AC122" s="328">
        <f t="shared" si="43"/>
        <v>-1.499999999999968E-2</v>
      </c>
    </row>
    <row r="123" spans="1:29">
      <c r="A123" s="318"/>
      <c r="B123" s="319"/>
      <c r="C123" s="318"/>
      <c r="D123" s="318"/>
      <c r="E123" s="319"/>
      <c r="F123" s="319"/>
      <c r="G123" s="318" t="s">
        <v>645</v>
      </c>
      <c r="H123" s="318">
        <v>3.38</v>
      </c>
      <c r="I123" s="318">
        <v>1</v>
      </c>
      <c r="J123" s="318">
        <f t="shared" si="37"/>
        <v>1</v>
      </c>
      <c r="K123" s="318">
        <f t="shared" si="38"/>
        <v>3.38</v>
      </c>
      <c r="L123" s="318">
        <v>1186</v>
      </c>
      <c r="M123" s="318" t="s">
        <v>194</v>
      </c>
      <c r="N123" s="318">
        <v>1</v>
      </c>
      <c r="O123" s="619">
        <f t="shared" si="39"/>
        <v>3.38</v>
      </c>
      <c r="P123" s="750">
        <v>1</v>
      </c>
      <c r="Q123" s="750"/>
      <c r="R123" s="337">
        <v>1</v>
      </c>
      <c r="S123" s="348">
        <f t="shared" si="44"/>
        <v>3.38</v>
      </c>
      <c r="T123" s="319"/>
      <c r="V123" s="328">
        <v>3.3650000000000002</v>
      </c>
      <c r="W123" s="320">
        <v>1</v>
      </c>
      <c r="X123" s="348">
        <f t="shared" si="40"/>
        <v>3.3650000000000002</v>
      </c>
      <c r="Y123" s="330">
        <v>1</v>
      </c>
      <c r="Z123" s="348">
        <f t="shared" si="41"/>
        <v>3.3650000000000002</v>
      </c>
      <c r="AB123" s="328">
        <f t="shared" si="42"/>
        <v>-1.499999999999968E-2</v>
      </c>
      <c r="AC123" s="328">
        <f t="shared" si="43"/>
        <v>-1.499999999999968E-2</v>
      </c>
    </row>
    <row r="124" spans="1:29">
      <c r="A124" s="318"/>
      <c r="B124" s="319"/>
      <c r="C124" s="318"/>
      <c r="D124" s="318"/>
      <c r="E124" s="319"/>
      <c r="F124" s="336" t="s">
        <v>558</v>
      </c>
      <c r="G124" s="318" t="s">
        <v>646</v>
      </c>
      <c r="H124" s="319">
        <v>3.32</v>
      </c>
      <c r="I124" s="318">
        <v>1</v>
      </c>
      <c r="J124" s="318">
        <f t="shared" si="37"/>
        <v>1</v>
      </c>
      <c r="K124" s="318">
        <f t="shared" si="38"/>
        <v>3.32</v>
      </c>
      <c r="L124" s="318">
        <v>1201</v>
      </c>
      <c r="M124" s="318" t="s">
        <v>200</v>
      </c>
      <c r="N124" s="318">
        <v>1</v>
      </c>
      <c r="O124" s="619">
        <f t="shared" si="39"/>
        <v>3.32</v>
      </c>
      <c r="P124" s="750">
        <v>1</v>
      </c>
      <c r="Q124" s="750"/>
      <c r="R124" s="337">
        <v>1</v>
      </c>
      <c r="S124" s="348">
        <f t="shared" si="44"/>
        <v>3.32</v>
      </c>
      <c r="T124" s="319"/>
      <c r="V124" s="333">
        <v>3.2509999999999999</v>
      </c>
      <c r="W124" s="320">
        <v>1</v>
      </c>
      <c r="X124" s="348">
        <f t="shared" si="40"/>
        <v>3.2509999999999999</v>
      </c>
      <c r="Y124" s="330">
        <v>1</v>
      </c>
      <c r="Z124" s="348">
        <f t="shared" si="41"/>
        <v>3.2509999999999999</v>
      </c>
      <c r="AB124" s="333">
        <f t="shared" si="42"/>
        <v>-6.899999999999995E-2</v>
      </c>
      <c r="AC124" s="333">
        <f t="shared" si="43"/>
        <v>-6.899999999999995E-2</v>
      </c>
    </row>
    <row r="125" spans="1:29">
      <c r="A125" s="318"/>
      <c r="B125" s="319"/>
      <c r="C125" s="318"/>
      <c r="D125" s="318"/>
      <c r="E125" s="319"/>
      <c r="F125" s="336" t="s">
        <v>558</v>
      </c>
      <c r="G125" s="318" t="s">
        <v>647</v>
      </c>
      <c r="H125" s="319">
        <v>4.08</v>
      </c>
      <c r="I125" s="318">
        <v>1</v>
      </c>
      <c r="J125" s="318">
        <f t="shared" si="37"/>
        <v>1</v>
      </c>
      <c r="K125" s="318">
        <f t="shared" si="38"/>
        <v>4.08</v>
      </c>
      <c r="L125" s="318">
        <v>1201</v>
      </c>
      <c r="M125" s="318" t="s">
        <v>200</v>
      </c>
      <c r="N125" s="318">
        <v>1</v>
      </c>
      <c r="O125" s="619">
        <f t="shared" si="39"/>
        <v>4.08</v>
      </c>
      <c r="P125" s="750">
        <v>1</v>
      </c>
      <c r="Q125" s="750"/>
      <c r="R125" s="337">
        <v>1</v>
      </c>
      <c r="S125" s="348">
        <f t="shared" si="44"/>
        <v>4.08</v>
      </c>
      <c r="T125" s="319"/>
      <c r="V125" s="333">
        <f>3.251+0.821</f>
        <v>4.0720000000000001</v>
      </c>
      <c r="W125" s="320">
        <v>1</v>
      </c>
      <c r="X125" s="348">
        <f t="shared" si="40"/>
        <v>4.0720000000000001</v>
      </c>
      <c r="Y125" s="330">
        <v>1</v>
      </c>
      <c r="Z125" s="348">
        <f t="shared" si="41"/>
        <v>4.0720000000000001</v>
      </c>
      <c r="AB125" s="333">
        <f t="shared" si="42"/>
        <v>-8.0000000000000071E-3</v>
      </c>
      <c r="AC125" s="333">
        <f t="shared" si="43"/>
        <v>-8.0000000000000071E-3</v>
      </c>
    </row>
    <row r="126" spans="1:29" collapsed="1">
      <c r="A126" s="584"/>
      <c r="B126" s="585"/>
      <c r="C126" s="584"/>
      <c r="D126" s="584"/>
      <c r="E126" s="585"/>
      <c r="F126" s="585" t="s">
        <v>384</v>
      </c>
      <c r="G126" s="584" t="s">
        <v>469</v>
      </c>
      <c r="H126" s="584"/>
      <c r="I126" s="584"/>
      <c r="J126" s="584"/>
      <c r="K126" s="584"/>
      <c r="L126" s="584"/>
      <c r="M126" s="584"/>
      <c r="N126" s="584"/>
      <c r="O126" s="631" t="s">
        <v>2321</v>
      </c>
      <c r="P126" s="750"/>
      <c r="Q126" s="750"/>
      <c r="R126" s="337"/>
      <c r="S126" s="348">
        <f t="shared" si="44"/>
        <v>0</v>
      </c>
      <c r="T126" s="1024" t="s">
        <v>561</v>
      </c>
      <c r="V126" s="328"/>
      <c r="W126" s="318"/>
      <c r="X126" s="384" t="s">
        <v>2321</v>
      </c>
      <c r="Y126" s="337"/>
      <c r="Z126" s="350" t="s">
        <v>2321</v>
      </c>
      <c r="AB126" s="328"/>
      <c r="AC126" s="328"/>
    </row>
    <row r="127" spans="1:29">
      <c r="A127" s="584"/>
      <c r="B127" s="585"/>
      <c r="C127" s="584"/>
      <c r="D127" s="584"/>
      <c r="E127" s="585"/>
      <c r="F127" s="585" t="s">
        <v>384</v>
      </c>
      <c r="G127" s="584" t="s">
        <v>470</v>
      </c>
      <c r="H127" s="584"/>
      <c r="I127" s="584"/>
      <c r="J127" s="584"/>
      <c r="K127" s="584"/>
      <c r="L127" s="584"/>
      <c r="M127" s="584"/>
      <c r="N127" s="584"/>
      <c r="O127" s="631" t="s">
        <v>2321</v>
      </c>
      <c r="P127" s="750"/>
      <c r="Q127" s="750"/>
      <c r="R127" s="337"/>
      <c r="S127" s="348">
        <f t="shared" si="44"/>
        <v>0</v>
      </c>
      <c r="T127" s="1025"/>
      <c r="V127" s="328"/>
      <c r="W127" s="318"/>
      <c r="X127" s="384" t="s">
        <v>2321</v>
      </c>
      <c r="Y127" s="337"/>
      <c r="Z127" s="350" t="s">
        <v>2321</v>
      </c>
      <c r="AB127" s="328"/>
      <c r="AC127" s="328"/>
    </row>
    <row r="128" spans="1:29">
      <c r="A128" s="584"/>
      <c r="B128" s="585"/>
      <c r="C128" s="584"/>
      <c r="D128" s="584"/>
      <c r="E128" s="585"/>
      <c r="F128" s="585" t="s">
        <v>384</v>
      </c>
      <c r="G128" s="584" t="s">
        <v>471</v>
      </c>
      <c r="H128" s="584"/>
      <c r="I128" s="584"/>
      <c r="J128" s="584"/>
      <c r="K128" s="584"/>
      <c r="L128" s="584"/>
      <c r="M128" s="584"/>
      <c r="N128" s="584"/>
      <c r="O128" s="631" t="s">
        <v>2321</v>
      </c>
      <c r="P128" s="750"/>
      <c r="Q128" s="750"/>
      <c r="R128" s="337"/>
      <c r="S128" s="348">
        <f t="shared" si="44"/>
        <v>0</v>
      </c>
      <c r="T128" s="1025"/>
      <c r="V128" s="328"/>
      <c r="W128" s="318"/>
      <c r="X128" s="384" t="s">
        <v>2321</v>
      </c>
      <c r="Y128" s="337"/>
      <c r="Z128" s="350" t="s">
        <v>2321</v>
      </c>
      <c r="AB128" s="328"/>
      <c r="AC128" s="328"/>
    </row>
    <row r="129" spans="1:29">
      <c r="A129" s="584"/>
      <c r="B129" s="585"/>
      <c r="C129" s="584"/>
      <c r="D129" s="584"/>
      <c r="E129" s="585"/>
      <c r="F129" s="585" t="s">
        <v>384</v>
      </c>
      <c r="G129" s="584" t="s">
        <v>472</v>
      </c>
      <c r="H129" s="584"/>
      <c r="I129" s="584"/>
      <c r="J129" s="584"/>
      <c r="K129" s="584"/>
      <c r="L129" s="584"/>
      <c r="M129" s="584"/>
      <c r="N129" s="584"/>
      <c r="O129" s="631" t="s">
        <v>2321</v>
      </c>
      <c r="P129" s="750"/>
      <c r="Q129" s="750"/>
      <c r="R129" s="337"/>
      <c r="S129" s="348">
        <f t="shared" si="44"/>
        <v>0</v>
      </c>
      <c r="T129" s="1026"/>
      <c r="V129" s="328"/>
      <c r="W129" s="318"/>
      <c r="X129" s="384" t="s">
        <v>2321</v>
      </c>
      <c r="Y129" s="337"/>
      <c r="Z129" s="350" t="s">
        <v>2321</v>
      </c>
      <c r="AB129" s="328"/>
      <c r="AC129" s="328"/>
    </row>
    <row r="130" spans="1:29">
      <c r="A130" s="318"/>
      <c r="B130" s="319"/>
      <c r="C130" s="318"/>
      <c r="D130" s="318"/>
      <c r="E130" s="319"/>
      <c r="F130" s="336" t="s">
        <v>558</v>
      </c>
      <c r="G130" s="318" t="s">
        <v>648</v>
      </c>
      <c r="H130" s="319">
        <v>4.08</v>
      </c>
      <c r="I130" s="318">
        <v>1</v>
      </c>
      <c r="J130" s="318">
        <f t="shared" ref="J130:J140" si="46">IF(N130&gt;0,1,0)</f>
        <v>1</v>
      </c>
      <c r="K130" s="318">
        <f t="shared" ref="K130:K140" si="47">H130*J130</f>
        <v>4.08</v>
      </c>
      <c r="L130" s="318">
        <v>1201</v>
      </c>
      <c r="M130" s="318" t="s">
        <v>200</v>
      </c>
      <c r="N130" s="318">
        <v>1</v>
      </c>
      <c r="O130" s="619">
        <f t="shared" ref="O130:O140" si="48">H130*N130</f>
        <v>4.08</v>
      </c>
      <c r="P130" s="750">
        <v>1</v>
      </c>
      <c r="Q130" s="750"/>
      <c r="R130" s="337">
        <v>1</v>
      </c>
      <c r="S130" s="348">
        <f t="shared" si="44"/>
        <v>4.08</v>
      </c>
      <c r="T130" s="319"/>
      <c r="V130" s="333">
        <f>3.251+0.821</f>
        <v>4.0720000000000001</v>
      </c>
      <c r="W130" s="320">
        <v>1</v>
      </c>
      <c r="X130" s="348">
        <f t="shared" ref="X130:X140" si="49">V130*W130</f>
        <v>4.0720000000000001</v>
      </c>
      <c r="Y130" s="330">
        <v>1</v>
      </c>
      <c r="Z130" s="348">
        <f t="shared" ref="Z130:Z140" si="50">V130*Y130</f>
        <v>4.0720000000000001</v>
      </c>
      <c r="AB130" s="333">
        <f t="shared" ref="AB130:AB140" si="51">X130-O130</f>
        <v>-8.0000000000000071E-3</v>
      </c>
      <c r="AC130" s="333">
        <f t="shared" ref="AC130:AC140" si="52">Z130-S130</f>
        <v>-8.0000000000000071E-3</v>
      </c>
    </row>
    <row r="131" spans="1:29">
      <c r="A131" s="318"/>
      <c r="B131" s="319"/>
      <c r="C131" s="318"/>
      <c r="D131" s="318"/>
      <c r="E131" s="319"/>
      <c r="F131" s="336" t="s">
        <v>558</v>
      </c>
      <c r="G131" s="318" t="s">
        <v>649</v>
      </c>
      <c r="H131" s="319">
        <v>3.32</v>
      </c>
      <c r="I131" s="318">
        <v>1</v>
      </c>
      <c r="J131" s="318">
        <f t="shared" si="46"/>
        <v>1</v>
      </c>
      <c r="K131" s="318">
        <f t="shared" si="47"/>
        <v>3.32</v>
      </c>
      <c r="L131" s="318">
        <v>1201</v>
      </c>
      <c r="M131" s="318" t="s">
        <v>200</v>
      </c>
      <c r="N131" s="318">
        <v>1</v>
      </c>
      <c r="O131" s="619">
        <f t="shared" si="48"/>
        <v>3.32</v>
      </c>
      <c r="P131" s="750">
        <v>1</v>
      </c>
      <c r="Q131" s="750"/>
      <c r="R131" s="337">
        <v>1</v>
      </c>
      <c r="S131" s="348">
        <f t="shared" si="44"/>
        <v>3.32</v>
      </c>
      <c r="T131" s="319"/>
      <c r="V131" s="333">
        <v>3.2509999999999999</v>
      </c>
      <c r="W131" s="320">
        <v>1</v>
      </c>
      <c r="X131" s="348">
        <f t="shared" si="49"/>
        <v>3.2509999999999999</v>
      </c>
      <c r="Y131" s="330">
        <v>1</v>
      </c>
      <c r="Z131" s="348">
        <f t="shared" si="50"/>
        <v>3.2509999999999999</v>
      </c>
      <c r="AB131" s="333">
        <f t="shared" si="51"/>
        <v>-6.899999999999995E-2</v>
      </c>
      <c r="AC131" s="333">
        <f t="shared" si="52"/>
        <v>-6.899999999999995E-2</v>
      </c>
    </row>
    <row r="132" spans="1:29">
      <c r="A132" s="318"/>
      <c r="B132" s="319"/>
      <c r="C132" s="318"/>
      <c r="D132" s="318"/>
      <c r="E132" s="319"/>
      <c r="F132" s="319"/>
      <c r="G132" s="318" t="s">
        <v>650</v>
      </c>
      <c r="H132" s="318">
        <v>3.38</v>
      </c>
      <c r="I132" s="318">
        <v>1</v>
      </c>
      <c r="J132" s="318">
        <f t="shared" si="46"/>
        <v>1</v>
      </c>
      <c r="K132" s="318">
        <f t="shared" si="47"/>
        <v>3.38</v>
      </c>
      <c r="L132" s="318">
        <v>1186</v>
      </c>
      <c r="M132" s="318" t="s">
        <v>194</v>
      </c>
      <c r="N132" s="318">
        <v>1</v>
      </c>
      <c r="O132" s="619">
        <f t="shared" si="48"/>
        <v>3.38</v>
      </c>
      <c r="P132" s="750">
        <v>1</v>
      </c>
      <c r="Q132" s="750"/>
      <c r="R132" s="337">
        <v>1</v>
      </c>
      <c r="S132" s="348">
        <f t="shared" si="44"/>
        <v>3.38</v>
      </c>
      <c r="T132" s="319"/>
      <c r="V132" s="328">
        <v>3.3650000000000002</v>
      </c>
      <c r="W132" s="320">
        <v>1</v>
      </c>
      <c r="X132" s="348">
        <f t="shared" si="49"/>
        <v>3.3650000000000002</v>
      </c>
      <c r="Y132" s="330">
        <v>1</v>
      </c>
      <c r="Z132" s="348">
        <f t="shared" si="50"/>
        <v>3.3650000000000002</v>
      </c>
      <c r="AB132" s="328">
        <f t="shared" si="51"/>
        <v>-1.499999999999968E-2</v>
      </c>
      <c r="AC132" s="328">
        <f t="shared" si="52"/>
        <v>-1.499999999999968E-2</v>
      </c>
    </row>
    <row r="133" spans="1:29">
      <c r="A133" s="318"/>
      <c r="B133" s="319"/>
      <c r="C133" s="318"/>
      <c r="D133" s="318"/>
      <c r="E133" s="319"/>
      <c r="F133" s="319"/>
      <c r="G133" s="318" t="s">
        <v>651</v>
      </c>
      <c r="H133" s="318">
        <v>3.38</v>
      </c>
      <c r="I133" s="318">
        <v>1</v>
      </c>
      <c r="J133" s="318">
        <f t="shared" si="46"/>
        <v>1</v>
      </c>
      <c r="K133" s="318">
        <f t="shared" si="47"/>
        <v>3.38</v>
      </c>
      <c r="L133" s="318">
        <v>1186</v>
      </c>
      <c r="M133" s="318" t="s">
        <v>194</v>
      </c>
      <c r="N133" s="318">
        <v>1</v>
      </c>
      <c r="O133" s="619">
        <f t="shared" si="48"/>
        <v>3.38</v>
      </c>
      <c r="P133" s="750">
        <v>1</v>
      </c>
      <c r="Q133" s="750"/>
      <c r="R133" s="337">
        <v>1</v>
      </c>
      <c r="S133" s="348">
        <f t="shared" si="44"/>
        <v>3.38</v>
      </c>
      <c r="T133" s="319"/>
      <c r="V133" s="328">
        <v>3.3650000000000002</v>
      </c>
      <c r="W133" s="320">
        <v>1</v>
      </c>
      <c r="X133" s="348">
        <f t="shared" si="49"/>
        <v>3.3650000000000002</v>
      </c>
      <c r="Y133" s="330">
        <v>1</v>
      </c>
      <c r="Z133" s="348">
        <f t="shared" si="50"/>
        <v>3.3650000000000002</v>
      </c>
      <c r="AB133" s="328">
        <f t="shared" si="51"/>
        <v>-1.499999999999968E-2</v>
      </c>
      <c r="AC133" s="328">
        <f t="shared" si="52"/>
        <v>-1.499999999999968E-2</v>
      </c>
    </row>
    <row r="134" spans="1:29">
      <c r="A134" s="318"/>
      <c r="B134" s="319"/>
      <c r="C134" s="318"/>
      <c r="D134" s="318"/>
      <c r="E134" s="319"/>
      <c r="F134" s="319"/>
      <c r="G134" s="318" t="s">
        <v>652</v>
      </c>
      <c r="H134" s="318">
        <v>4.49</v>
      </c>
      <c r="I134" s="318">
        <v>1</v>
      </c>
      <c r="J134" s="318">
        <f t="shared" si="46"/>
        <v>1</v>
      </c>
      <c r="K134" s="318">
        <f t="shared" si="47"/>
        <v>4.49</v>
      </c>
      <c r="L134" s="318">
        <v>1081</v>
      </c>
      <c r="M134" s="318"/>
      <c r="N134" s="318">
        <v>1</v>
      </c>
      <c r="O134" s="619">
        <f t="shared" si="48"/>
        <v>4.49</v>
      </c>
      <c r="P134" s="750">
        <v>1</v>
      </c>
      <c r="Q134" s="750"/>
      <c r="R134" s="337">
        <v>1</v>
      </c>
      <c r="S134" s="348">
        <f t="shared" si="44"/>
        <v>4.49</v>
      </c>
      <c r="T134" s="319"/>
      <c r="V134" s="328">
        <v>4.49</v>
      </c>
      <c r="W134" s="320">
        <v>1</v>
      </c>
      <c r="X134" s="348">
        <f t="shared" si="49"/>
        <v>4.49</v>
      </c>
      <c r="Y134" s="330">
        <v>1</v>
      </c>
      <c r="Z134" s="348">
        <f t="shared" si="50"/>
        <v>4.49</v>
      </c>
      <c r="AB134" s="328">
        <f t="shared" si="51"/>
        <v>0</v>
      </c>
      <c r="AC134" s="328">
        <f t="shared" si="52"/>
        <v>0</v>
      </c>
    </row>
    <row r="135" spans="1:29">
      <c r="A135" s="318"/>
      <c r="B135" s="319"/>
      <c r="C135" s="318"/>
      <c r="D135" s="318"/>
      <c r="E135" s="319"/>
      <c r="F135" s="319"/>
      <c r="G135" s="318" t="s">
        <v>653</v>
      </c>
      <c r="H135" s="318">
        <v>4.49</v>
      </c>
      <c r="I135" s="318">
        <v>1</v>
      </c>
      <c r="J135" s="318">
        <f t="shared" si="46"/>
        <v>1</v>
      </c>
      <c r="K135" s="318">
        <f t="shared" si="47"/>
        <v>4.49</v>
      </c>
      <c r="L135" s="318">
        <v>1081</v>
      </c>
      <c r="M135" s="318"/>
      <c r="N135" s="318">
        <v>1</v>
      </c>
      <c r="O135" s="619">
        <f t="shared" si="48"/>
        <v>4.49</v>
      </c>
      <c r="P135" s="750">
        <v>1</v>
      </c>
      <c r="Q135" s="750"/>
      <c r="R135" s="337">
        <v>1</v>
      </c>
      <c r="S135" s="348">
        <f t="shared" si="44"/>
        <v>4.49</v>
      </c>
      <c r="T135" s="319"/>
      <c r="V135" s="328">
        <v>4.49</v>
      </c>
      <c r="W135" s="320">
        <v>1</v>
      </c>
      <c r="X135" s="348">
        <f t="shared" si="49"/>
        <v>4.49</v>
      </c>
      <c r="Y135" s="330">
        <v>1</v>
      </c>
      <c r="Z135" s="348">
        <f t="shared" si="50"/>
        <v>4.49</v>
      </c>
      <c r="AB135" s="328">
        <f t="shared" si="51"/>
        <v>0</v>
      </c>
      <c r="AC135" s="328">
        <f t="shared" si="52"/>
        <v>0</v>
      </c>
    </row>
    <row r="136" spans="1:29">
      <c r="A136" s="318"/>
      <c r="B136" s="319"/>
      <c r="C136" s="318"/>
      <c r="D136" s="318"/>
      <c r="E136" s="319"/>
      <c r="F136" s="319"/>
      <c r="G136" s="318" t="s">
        <v>654</v>
      </c>
      <c r="H136" s="318">
        <v>4.49</v>
      </c>
      <c r="I136" s="318">
        <v>1</v>
      </c>
      <c r="J136" s="318">
        <f t="shared" si="46"/>
        <v>1</v>
      </c>
      <c r="K136" s="318">
        <f t="shared" si="47"/>
        <v>4.49</v>
      </c>
      <c r="L136" s="318">
        <v>1113</v>
      </c>
      <c r="M136" s="318"/>
      <c r="N136" s="318">
        <v>1</v>
      </c>
      <c r="O136" s="619">
        <f t="shared" si="48"/>
        <v>4.49</v>
      </c>
      <c r="P136" s="750">
        <v>1</v>
      </c>
      <c r="Q136" s="750"/>
      <c r="R136" s="337">
        <v>1</v>
      </c>
      <c r="S136" s="348">
        <f t="shared" si="44"/>
        <v>4.49</v>
      </c>
      <c r="T136" s="319"/>
      <c r="V136" s="328">
        <v>4.49</v>
      </c>
      <c r="W136" s="320">
        <v>1</v>
      </c>
      <c r="X136" s="348">
        <f t="shared" si="49"/>
        <v>4.49</v>
      </c>
      <c r="Y136" s="330">
        <v>1</v>
      </c>
      <c r="Z136" s="348">
        <f t="shared" si="50"/>
        <v>4.49</v>
      </c>
      <c r="AB136" s="328">
        <f t="shared" si="51"/>
        <v>0</v>
      </c>
      <c r="AC136" s="328">
        <f t="shared" si="52"/>
        <v>0</v>
      </c>
    </row>
    <row r="137" spans="1:29">
      <c r="A137" s="318"/>
      <c r="B137" s="319"/>
      <c r="C137" s="318"/>
      <c r="D137" s="318"/>
      <c r="E137" s="319"/>
      <c r="F137" s="319"/>
      <c r="G137" s="318" t="s">
        <v>655</v>
      </c>
      <c r="H137" s="318">
        <v>4.49</v>
      </c>
      <c r="I137" s="318">
        <v>1</v>
      </c>
      <c r="J137" s="318">
        <f t="shared" si="46"/>
        <v>1</v>
      </c>
      <c r="K137" s="318">
        <f t="shared" si="47"/>
        <v>4.49</v>
      </c>
      <c r="L137" s="318">
        <v>1081</v>
      </c>
      <c r="M137" s="318"/>
      <c r="N137" s="318">
        <v>1</v>
      </c>
      <c r="O137" s="619">
        <f t="shared" si="48"/>
        <v>4.49</v>
      </c>
      <c r="P137" s="750">
        <v>1</v>
      </c>
      <c r="Q137" s="750"/>
      <c r="R137" s="337">
        <v>1</v>
      </c>
      <c r="S137" s="348">
        <f t="shared" si="44"/>
        <v>4.49</v>
      </c>
      <c r="T137" s="319"/>
      <c r="V137" s="328">
        <v>4.49</v>
      </c>
      <c r="W137" s="320">
        <v>1</v>
      </c>
      <c r="X137" s="348">
        <f t="shared" si="49"/>
        <v>4.49</v>
      </c>
      <c r="Y137" s="330">
        <v>1</v>
      </c>
      <c r="Z137" s="348">
        <f t="shared" si="50"/>
        <v>4.49</v>
      </c>
      <c r="AB137" s="328">
        <f t="shared" si="51"/>
        <v>0</v>
      </c>
      <c r="AC137" s="328">
        <f t="shared" si="52"/>
        <v>0</v>
      </c>
    </row>
    <row r="138" spans="1:29">
      <c r="A138" s="318"/>
      <c r="B138" s="319"/>
      <c r="C138" s="318"/>
      <c r="D138" s="318"/>
      <c r="E138" s="319"/>
      <c r="F138" s="319"/>
      <c r="G138" s="318" t="s">
        <v>656</v>
      </c>
      <c r="H138" s="318">
        <v>4.49</v>
      </c>
      <c r="I138" s="318">
        <v>1</v>
      </c>
      <c r="J138" s="318">
        <f t="shared" si="46"/>
        <v>1</v>
      </c>
      <c r="K138" s="318">
        <f t="shared" si="47"/>
        <v>4.49</v>
      </c>
      <c r="L138" s="318">
        <v>1113</v>
      </c>
      <c r="M138" s="318"/>
      <c r="N138" s="318">
        <v>1</v>
      </c>
      <c r="O138" s="619">
        <f t="shared" si="48"/>
        <v>4.49</v>
      </c>
      <c r="P138" s="750">
        <v>1</v>
      </c>
      <c r="Q138" s="750"/>
      <c r="R138" s="337">
        <v>1</v>
      </c>
      <c r="S138" s="348">
        <f t="shared" si="44"/>
        <v>4.49</v>
      </c>
      <c r="T138" s="319"/>
      <c r="V138" s="328">
        <v>4.49</v>
      </c>
      <c r="W138" s="320">
        <v>1</v>
      </c>
      <c r="X138" s="348">
        <f t="shared" si="49"/>
        <v>4.49</v>
      </c>
      <c r="Y138" s="330">
        <v>1</v>
      </c>
      <c r="Z138" s="348">
        <f t="shared" si="50"/>
        <v>4.49</v>
      </c>
      <c r="AB138" s="328">
        <f t="shared" si="51"/>
        <v>0</v>
      </c>
      <c r="AC138" s="328">
        <f t="shared" si="52"/>
        <v>0</v>
      </c>
    </row>
    <row r="139" spans="1:29">
      <c r="A139" s="318"/>
      <c r="B139" s="319"/>
      <c r="C139" s="318"/>
      <c r="D139" s="318"/>
      <c r="E139" s="319"/>
      <c r="F139" s="319"/>
      <c r="G139" s="318" t="s">
        <v>657</v>
      </c>
      <c r="H139" s="318">
        <v>4.49</v>
      </c>
      <c r="I139" s="318">
        <v>1</v>
      </c>
      <c r="J139" s="318">
        <f t="shared" si="46"/>
        <v>1</v>
      </c>
      <c r="K139" s="318">
        <f t="shared" si="47"/>
        <v>4.49</v>
      </c>
      <c r="L139" s="318">
        <v>1113</v>
      </c>
      <c r="M139" s="318"/>
      <c r="N139" s="318">
        <v>1</v>
      </c>
      <c r="O139" s="619">
        <f t="shared" si="48"/>
        <v>4.49</v>
      </c>
      <c r="P139" s="750">
        <v>1</v>
      </c>
      <c r="Q139" s="750"/>
      <c r="R139" s="337">
        <v>1</v>
      </c>
      <c r="S139" s="348">
        <f t="shared" si="44"/>
        <v>4.49</v>
      </c>
      <c r="T139" s="319"/>
      <c r="V139" s="328">
        <v>4.49</v>
      </c>
      <c r="W139" s="320">
        <v>1</v>
      </c>
      <c r="X139" s="348">
        <f t="shared" si="49"/>
        <v>4.49</v>
      </c>
      <c r="Y139" s="330">
        <v>1</v>
      </c>
      <c r="Z139" s="348">
        <f t="shared" si="50"/>
        <v>4.49</v>
      </c>
      <c r="AB139" s="328">
        <f t="shared" si="51"/>
        <v>0</v>
      </c>
      <c r="AC139" s="328">
        <f t="shared" si="52"/>
        <v>0</v>
      </c>
    </row>
    <row r="140" spans="1:29" ht="20.399999999999999">
      <c r="A140" s="318"/>
      <c r="B140" s="319"/>
      <c r="C140" s="318"/>
      <c r="D140" s="318"/>
      <c r="E140" s="319"/>
      <c r="F140" s="336" t="s">
        <v>604</v>
      </c>
      <c r="G140" s="318" t="s">
        <v>658</v>
      </c>
      <c r="H140" s="318">
        <v>4.8</v>
      </c>
      <c r="I140" s="318">
        <v>1</v>
      </c>
      <c r="J140" s="318">
        <f t="shared" si="46"/>
        <v>1</v>
      </c>
      <c r="K140" s="318">
        <f t="shared" si="47"/>
        <v>4.8</v>
      </c>
      <c r="L140" s="350" t="s">
        <v>3197</v>
      </c>
      <c r="M140" s="318">
        <v>241</v>
      </c>
      <c r="N140" s="318">
        <v>1</v>
      </c>
      <c r="O140" s="619">
        <f t="shared" si="48"/>
        <v>4.8</v>
      </c>
      <c r="P140" s="750">
        <v>1</v>
      </c>
      <c r="Q140" s="750"/>
      <c r="R140" s="337">
        <v>1</v>
      </c>
      <c r="S140" s="348">
        <f t="shared" si="44"/>
        <v>4.8</v>
      </c>
      <c r="T140" s="319"/>
      <c r="V140" s="328">
        <v>4.49</v>
      </c>
      <c r="W140" s="320"/>
      <c r="X140" s="348">
        <f t="shared" si="49"/>
        <v>0</v>
      </c>
      <c r="Y140" s="330"/>
      <c r="Z140" s="348">
        <f t="shared" si="50"/>
        <v>0</v>
      </c>
      <c r="AB140" s="328">
        <f t="shared" si="51"/>
        <v>-4.8</v>
      </c>
      <c r="AC140" s="328">
        <f t="shared" si="52"/>
        <v>-4.8</v>
      </c>
    </row>
    <row r="141" spans="1:29">
      <c r="A141" s="584"/>
      <c r="B141" s="585"/>
      <c r="C141" s="584"/>
      <c r="D141" s="584"/>
      <c r="E141" s="585"/>
      <c r="F141" s="585" t="s">
        <v>384</v>
      </c>
      <c r="G141" s="584" t="s">
        <v>473</v>
      </c>
      <c r="H141" s="584"/>
      <c r="I141" s="584"/>
      <c r="J141" s="584"/>
      <c r="K141" s="584"/>
      <c r="L141" s="584"/>
      <c r="M141" s="584"/>
      <c r="N141" s="584"/>
      <c r="O141" s="631" t="s">
        <v>2321</v>
      </c>
      <c r="P141" s="750"/>
      <c r="Q141" s="750"/>
      <c r="R141" s="337"/>
      <c r="S141" s="348">
        <f t="shared" si="44"/>
        <v>0</v>
      </c>
      <c r="T141" s="1024" t="s">
        <v>561</v>
      </c>
      <c r="V141" s="328"/>
      <c r="W141" s="318"/>
      <c r="X141" s="384" t="s">
        <v>2321</v>
      </c>
      <c r="Y141" s="337"/>
      <c r="Z141" s="350" t="s">
        <v>2321</v>
      </c>
      <c r="AB141" s="328"/>
      <c r="AC141" s="328"/>
    </row>
    <row r="142" spans="1:29">
      <c r="A142" s="584"/>
      <c r="B142" s="585"/>
      <c r="C142" s="584"/>
      <c r="D142" s="584"/>
      <c r="E142" s="585"/>
      <c r="F142" s="585" t="s">
        <v>384</v>
      </c>
      <c r="G142" s="584" t="s">
        <v>474</v>
      </c>
      <c r="H142" s="584"/>
      <c r="I142" s="584"/>
      <c r="J142" s="584"/>
      <c r="K142" s="584"/>
      <c r="L142" s="584"/>
      <c r="M142" s="584"/>
      <c r="N142" s="584"/>
      <c r="O142" s="631" t="s">
        <v>2321</v>
      </c>
      <c r="P142" s="750"/>
      <c r="Q142" s="750"/>
      <c r="R142" s="337"/>
      <c r="S142" s="348">
        <f t="shared" si="44"/>
        <v>0</v>
      </c>
      <c r="T142" s="1025"/>
      <c r="V142" s="328"/>
      <c r="W142" s="318"/>
      <c r="X142" s="384" t="s">
        <v>2321</v>
      </c>
      <c r="Y142" s="337"/>
      <c r="Z142" s="350" t="s">
        <v>2321</v>
      </c>
      <c r="AB142" s="328"/>
      <c r="AC142" s="328"/>
    </row>
    <row r="143" spans="1:29">
      <c r="A143" s="584"/>
      <c r="B143" s="585"/>
      <c r="C143" s="584"/>
      <c r="D143" s="584"/>
      <c r="E143" s="585"/>
      <c r="F143" s="585" t="s">
        <v>384</v>
      </c>
      <c r="G143" s="584" t="s">
        <v>475</v>
      </c>
      <c r="H143" s="584"/>
      <c r="I143" s="584"/>
      <c r="J143" s="584"/>
      <c r="K143" s="584"/>
      <c r="L143" s="584"/>
      <c r="M143" s="584"/>
      <c r="N143" s="584"/>
      <c r="O143" s="631" t="s">
        <v>2321</v>
      </c>
      <c r="P143" s="750"/>
      <c r="Q143" s="750"/>
      <c r="R143" s="337"/>
      <c r="S143" s="348">
        <f t="shared" si="44"/>
        <v>0</v>
      </c>
      <c r="T143" s="1025"/>
      <c r="V143" s="328"/>
      <c r="W143" s="318"/>
      <c r="X143" s="384" t="s">
        <v>2321</v>
      </c>
      <c r="Y143" s="337"/>
      <c r="Z143" s="350" t="s">
        <v>2321</v>
      </c>
      <c r="AB143" s="328"/>
      <c r="AC143" s="328"/>
    </row>
    <row r="144" spans="1:29" ht="15" thickBot="1">
      <c r="A144" s="584"/>
      <c r="B144" s="585"/>
      <c r="C144" s="584"/>
      <c r="D144" s="584"/>
      <c r="E144" s="585"/>
      <c r="F144" s="585" t="s">
        <v>384</v>
      </c>
      <c r="G144" s="584" t="s">
        <v>476</v>
      </c>
      <c r="H144" s="584"/>
      <c r="I144" s="584"/>
      <c r="J144" s="584"/>
      <c r="K144" s="584"/>
      <c r="L144" s="584"/>
      <c r="M144" s="584"/>
      <c r="N144" s="584"/>
      <c r="O144" s="631" t="s">
        <v>2321</v>
      </c>
      <c r="P144" s="750"/>
      <c r="Q144" s="750"/>
      <c r="R144" s="592"/>
      <c r="S144" s="348">
        <f t="shared" si="44"/>
        <v>0</v>
      </c>
      <c r="T144" s="1026"/>
      <c r="V144" s="328"/>
      <c r="W144" s="318"/>
      <c r="X144" s="384" t="s">
        <v>2321</v>
      </c>
      <c r="Y144" s="337"/>
      <c r="Z144" s="350" t="s">
        <v>2321</v>
      </c>
      <c r="AB144" s="328"/>
      <c r="AC144" s="328"/>
    </row>
    <row r="145" spans="1:29" ht="21.6" thickTop="1" thickBot="1">
      <c r="A145" s="318"/>
      <c r="B145" s="319"/>
      <c r="C145" s="318"/>
      <c r="D145" s="318"/>
      <c r="E145" s="319"/>
      <c r="F145" s="336" t="s">
        <v>604</v>
      </c>
      <c r="G145" s="318" t="s">
        <v>659</v>
      </c>
      <c r="H145" s="318">
        <v>4.8</v>
      </c>
      <c r="I145" s="318">
        <v>1</v>
      </c>
      <c r="J145" s="318">
        <f>IF(N145&gt;0,1,0)</f>
        <v>1</v>
      </c>
      <c r="K145" s="318">
        <f>H145*J145</f>
        <v>4.8</v>
      </c>
      <c r="L145" s="350" t="s">
        <v>3198</v>
      </c>
      <c r="M145" s="318">
        <v>241</v>
      </c>
      <c r="N145" s="318">
        <v>1</v>
      </c>
      <c r="O145" s="619">
        <f>H145*N145</f>
        <v>4.8</v>
      </c>
      <c r="P145" s="755"/>
      <c r="Q145" s="747"/>
      <c r="R145" s="624"/>
      <c r="S145" s="348">
        <f t="shared" si="44"/>
        <v>0</v>
      </c>
      <c r="T145" s="319"/>
      <c r="V145" s="328">
        <v>4.49</v>
      </c>
      <c r="W145" s="320"/>
      <c r="X145" s="348">
        <f>V145*W145</f>
        <v>0</v>
      </c>
      <c r="Y145" s="330"/>
      <c r="Z145" s="348">
        <f>V145*Y145</f>
        <v>0</v>
      </c>
      <c r="AB145" s="328">
        <f>X145-O145</f>
        <v>-4.8</v>
      </c>
      <c r="AC145" s="328">
        <f>Z145-S145</f>
        <v>0</v>
      </c>
    </row>
    <row r="146" spans="1:29" ht="15" thickTop="1">
      <c r="A146" s="318"/>
      <c r="B146" s="319"/>
      <c r="C146" s="318"/>
      <c r="D146" s="318"/>
      <c r="E146" s="319"/>
      <c r="F146" s="319"/>
      <c r="G146" s="318" t="s">
        <v>660</v>
      </c>
      <c r="H146" s="318">
        <v>4.49</v>
      </c>
      <c r="I146" s="318">
        <v>1</v>
      </c>
      <c r="J146" s="318">
        <f>IF(N146&gt;0,1,0)</f>
        <v>1</v>
      </c>
      <c r="K146" s="318">
        <f>H146*J146</f>
        <v>4.49</v>
      </c>
      <c r="L146" s="318">
        <v>1113</v>
      </c>
      <c r="M146" s="318"/>
      <c r="N146" s="318">
        <v>1</v>
      </c>
      <c r="O146" s="619">
        <f>H146*N146</f>
        <v>4.49</v>
      </c>
      <c r="P146" s="750">
        <v>1</v>
      </c>
      <c r="Q146" s="750"/>
      <c r="R146" s="337">
        <v>1</v>
      </c>
      <c r="S146" s="348">
        <f t="shared" si="44"/>
        <v>4.49</v>
      </c>
      <c r="T146" s="319"/>
      <c r="V146" s="328">
        <v>4.49</v>
      </c>
      <c r="W146" s="320">
        <v>1</v>
      </c>
      <c r="X146" s="348">
        <f>V146*W146</f>
        <v>4.49</v>
      </c>
      <c r="Y146" s="330">
        <v>1</v>
      </c>
      <c r="Z146" s="348">
        <f>V146*Y146</f>
        <v>4.49</v>
      </c>
      <c r="AB146" s="328">
        <f>X146-O146</f>
        <v>0</v>
      </c>
      <c r="AC146" s="328">
        <f>Z146-S146</f>
        <v>0</v>
      </c>
    </row>
    <row r="147" spans="1:29">
      <c r="A147" s="318"/>
      <c r="B147" s="319"/>
      <c r="C147" s="318"/>
      <c r="D147" s="318"/>
      <c r="E147" s="319"/>
      <c r="F147" s="319"/>
      <c r="G147" s="318" t="s">
        <v>661</v>
      </c>
      <c r="H147" s="318">
        <v>4.49</v>
      </c>
      <c r="I147" s="318">
        <v>1</v>
      </c>
      <c r="J147" s="318">
        <f>IF(N147&gt;0,1,0)</f>
        <v>1</v>
      </c>
      <c r="K147" s="318">
        <f>H147*J147</f>
        <v>4.49</v>
      </c>
      <c r="L147" s="318">
        <v>1113</v>
      </c>
      <c r="M147" s="318"/>
      <c r="N147" s="318">
        <v>1</v>
      </c>
      <c r="O147" s="619">
        <f>H147*N147</f>
        <v>4.49</v>
      </c>
      <c r="P147" s="750">
        <v>1</v>
      </c>
      <c r="Q147" s="750"/>
      <c r="R147" s="337">
        <v>1</v>
      </c>
      <c r="S147" s="348">
        <f t="shared" si="44"/>
        <v>4.49</v>
      </c>
      <c r="T147" s="319"/>
      <c r="V147" s="328">
        <v>4.49</v>
      </c>
      <c r="W147" s="320">
        <v>1</v>
      </c>
      <c r="X147" s="348">
        <f>V147*W147</f>
        <v>4.49</v>
      </c>
      <c r="Y147" s="330">
        <v>1</v>
      </c>
      <c r="Z147" s="348">
        <f>V147*Y147</f>
        <v>4.49</v>
      </c>
      <c r="AB147" s="328">
        <f>X147-O147</f>
        <v>0</v>
      </c>
      <c r="AC147" s="328">
        <f>Z147-S147</f>
        <v>0</v>
      </c>
    </row>
    <row r="148" spans="1:29">
      <c r="A148" s="318"/>
      <c r="B148" s="319"/>
      <c r="C148" s="318"/>
      <c r="D148" s="318"/>
      <c r="E148" s="319"/>
      <c r="F148" s="319"/>
      <c r="G148" s="318" t="s">
        <v>662</v>
      </c>
      <c r="H148" s="318">
        <v>2.87</v>
      </c>
      <c r="I148" s="318">
        <v>1</v>
      </c>
      <c r="J148" s="318">
        <f>IF(N148&gt;0,1,0)</f>
        <v>1</v>
      </c>
      <c r="K148" s="318">
        <f>H148*J148</f>
        <v>2.87</v>
      </c>
      <c r="L148" s="318"/>
      <c r="M148" s="318"/>
      <c r="N148" s="318">
        <v>1</v>
      </c>
      <c r="O148" s="619">
        <f>H148*N148</f>
        <v>2.87</v>
      </c>
      <c r="P148" s="750">
        <v>1</v>
      </c>
      <c r="Q148" s="750"/>
      <c r="R148" s="337">
        <v>1</v>
      </c>
      <c r="S148" s="348">
        <f t="shared" si="44"/>
        <v>2.87</v>
      </c>
      <c r="T148" s="319"/>
      <c r="V148" s="328">
        <f>1.14-0.6+2.355</f>
        <v>2.895</v>
      </c>
      <c r="W148" s="320">
        <v>1</v>
      </c>
      <c r="X148" s="348">
        <f>V148*W148</f>
        <v>2.895</v>
      </c>
      <c r="Y148" s="330">
        <v>1</v>
      </c>
      <c r="Z148" s="348">
        <f>V148*Y148</f>
        <v>2.895</v>
      </c>
      <c r="AB148" s="328">
        <f>X148-O148</f>
        <v>2.4999999999999911E-2</v>
      </c>
      <c r="AC148" s="328">
        <f>Z148-S148</f>
        <v>2.4999999999999911E-2</v>
      </c>
    </row>
    <row r="149" spans="1:29">
      <c r="A149" s="318"/>
      <c r="B149" s="319"/>
      <c r="C149" s="318"/>
      <c r="D149" s="318"/>
      <c r="E149" s="319"/>
      <c r="F149" s="319"/>
      <c r="G149" s="318"/>
      <c r="H149" s="318"/>
      <c r="I149" s="318"/>
      <c r="J149" s="382" t="s">
        <v>389</v>
      </c>
      <c r="K149" s="321">
        <f>SUM(K106:K148)</f>
        <v>145.35999999999999</v>
      </c>
      <c r="L149" s="318"/>
      <c r="M149" s="318"/>
      <c r="N149" s="382" t="s">
        <v>389</v>
      </c>
      <c r="O149" s="748">
        <f>SUM(O106:O148)</f>
        <v>145.35999999999999</v>
      </c>
      <c r="P149" s="751" t="s">
        <v>389</v>
      </c>
      <c r="Q149" s="751"/>
      <c r="R149" s="382"/>
      <c r="S149" s="321">
        <f>SUM(S106:S148)</f>
        <v>140.55999999999997</v>
      </c>
      <c r="T149" s="319"/>
      <c r="V149" s="328"/>
      <c r="W149" s="321" t="s">
        <v>389</v>
      </c>
      <c r="X149" s="338">
        <f>SUM(X106:X148)</f>
        <v>135.62299999999999</v>
      </c>
      <c r="Y149" s="321" t="s">
        <v>389</v>
      </c>
      <c r="Z149" s="338">
        <f>SUM(Z106:Z148)</f>
        <v>135.62299999999999</v>
      </c>
      <c r="AB149" s="328"/>
      <c r="AC149" s="328"/>
    </row>
    <row r="150" spans="1:29" ht="6.75" customHeight="1">
      <c r="A150" s="316"/>
      <c r="B150" s="317"/>
      <c r="C150" s="316"/>
      <c r="D150" s="316"/>
      <c r="E150" s="317"/>
      <c r="F150" s="317"/>
      <c r="G150" s="316"/>
      <c r="H150" s="316"/>
      <c r="I150" s="316"/>
      <c r="J150" s="316"/>
      <c r="K150" s="316"/>
      <c r="L150" s="316"/>
      <c r="M150" s="316"/>
      <c r="N150" s="316"/>
      <c r="O150" s="749"/>
      <c r="P150" s="633"/>
      <c r="Q150" s="633"/>
      <c r="R150" s="949"/>
      <c r="S150" s="339"/>
      <c r="T150" s="317"/>
      <c r="V150" s="332"/>
      <c r="W150" s="316"/>
      <c r="X150" s="339"/>
      <c r="Y150" s="316"/>
      <c r="Z150" s="339"/>
      <c r="AB150" s="332"/>
      <c r="AC150" s="332"/>
    </row>
    <row r="151" spans="1:29">
      <c r="A151" s="318">
        <v>4</v>
      </c>
      <c r="B151" s="319" t="s">
        <v>383</v>
      </c>
      <c r="C151" s="318">
        <v>600</v>
      </c>
      <c r="D151" s="318">
        <v>9</v>
      </c>
      <c r="E151" s="319">
        <v>1</v>
      </c>
      <c r="F151" s="319"/>
      <c r="G151" s="318" t="s">
        <v>663</v>
      </c>
      <c r="H151" s="318">
        <v>4.49</v>
      </c>
      <c r="I151" s="318">
        <v>1</v>
      </c>
      <c r="J151" s="318">
        <f t="shared" ref="J151:J167" si="53">IF(N151&gt;0,1,0)</f>
        <v>1</v>
      </c>
      <c r="K151" s="318">
        <f t="shared" ref="K151:K167" si="54">H151*J151</f>
        <v>4.49</v>
      </c>
      <c r="L151" s="318">
        <v>1051</v>
      </c>
      <c r="M151" s="318"/>
      <c r="N151" s="318">
        <v>1</v>
      </c>
      <c r="O151" s="619">
        <f t="shared" ref="O151:O167" si="55">H151*N151</f>
        <v>4.49</v>
      </c>
      <c r="P151" s="750">
        <v>1</v>
      </c>
      <c r="Q151" s="750"/>
      <c r="R151" s="337">
        <v>1</v>
      </c>
      <c r="S151" s="348">
        <f>H151*R151</f>
        <v>4.49</v>
      </c>
      <c r="T151" s="319"/>
      <c r="V151" s="328">
        <f>1.8+4.49</f>
        <v>6.29</v>
      </c>
      <c r="W151" s="320">
        <v>1</v>
      </c>
      <c r="X151" s="348">
        <f t="shared" ref="X151:X167" si="56">V151*W151</f>
        <v>6.29</v>
      </c>
      <c r="Y151" s="330">
        <v>1</v>
      </c>
      <c r="Z151" s="348">
        <f t="shared" ref="Z151:Z167" si="57">V151*Y151</f>
        <v>6.29</v>
      </c>
      <c r="AB151" s="328">
        <f t="shared" ref="AB151:AB167" si="58">X151-O151</f>
        <v>1.7999999999999998</v>
      </c>
      <c r="AC151" s="328">
        <f t="shared" ref="AC151:AC167" si="59">Z151-S151</f>
        <v>1.7999999999999998</v>
      </c>
    </row>
    <row r="152" spans="1:29">
      <c r="A152" s="318"/>
      <c r="B152" s="319"/>
      <c r="C152" s="318"/>
      <c r="D152" s="318"/>
      <c r="E152" s="319"/>
      <c r="F152" s="319"/>
      <c r="G152" s="318" t="s">
        <v>664</v>
      </c>
      <c r="H152" s="318">
        <v>4.49</v>
      </c>
      <c r="I152" s="318">
        <v>1</v>
      </c>
      <c r="J152" s="318">
        <f t="shared" si="53"/>
        <v>1</v>
      </c>
      <c r="K152" s="318">
        <f t="shared" si="54"/>
        <v>4.49</v>
      </c>
      <c r="L152" s="318">
        <v>1051</v>
      </c>
      <c r="M152" s="318"/>
      <c r="N152" s="318">
        <v>1</v>
      </c>
      <c r="O152" s="619">
        <f t="shared" si="55"/>
        <v>4.49</v>
      </c>
      <c r="P152" s="750">
        <v>1</v>
      </c>
      <c r="Q152" s="750"/>
      <c r="R152" s="337">
        <v>1</v>
      </c>
      <c r="S152" s="348">
        <f>H152*R152</f>
        <v>4.49</v>
      </c>
      <c r="T152" s="319"/>
      <c r="V152" s="328">
        <v>4.49</v>
      </c>
      <c r="W152" s="320">
        <v>1</v>
      </c>
      <c r="X152" s="348">
        <f t="shared" si="56"/>
        <v>4.49</v>
      </c>
      <c r="Y152" s="330">
        <v>1</v>
      </c>
      <c r="Z152" s="348">
        <f t="shared" si="57"/>
        <v>4.49</v>
      </c>
      <c r="AB152" s="328">
        <f t="shared" si="58"/>
        <v>0</v>
      </c>
      <c r="AC152" s="328">
        <f t="shared" si="59"/>
        <v>0</v>
      </c>
    </row>
    <row r="153" spans="1:29">
      <c r="A153" s="318"/>
      <c r="B153" s="319"/>
      <c r="C153" s="318"/>
      <c r="D153" s="318"/>
      <c r="E153" s="319"/>
      <c r="F153" s="319"/>
      <c r="G153" s="318" t="s">
        <v>665</v>
      </c>
      <c r="H153" s="318">
        <v>4.49</v>
      </c>
      <c r="I153" s="318">
        <v>1</v>
      </c>
      <c r="J153" s="318">
        <f t="shared" si="53"/>
        <v>1</v>
      </c>
      <c r="K153" s="318">
        <f t="shared" si="54"/>
        <v>4.49</v>
      </c>
      <c r="L153" s="318">
        <v>1051</v>
      </c>
      <c r="M153" s="318"/>
      <c r="N153" s="318">
        <v>1</v>
      </c>
      <c r="O153" s="619">
        <f t="shared" si="55"/>
        <v>4.49</v>
      </c>
      <c r="P153" s="750">
        <v>1</v>
      </c>
      <c r="Q153" s="750"/>
      <c r="R153" s="337">
        <v>1</v>
      </c>
      <c r="S153" s="348">
        <f t="shared" ref="S153:S195" si="60">H153*R153</f>
        <v>4.49</v>
      </c>
      <c r="T153" s="319"/>
      <c r="V153" s="328">
        <v>4.49</v>
      </c>
      <c r="W153" s="320">
        <v>1</v>
      </c>
      <c r="X153" s="348">
        <f t="shared" si="56"/>
        <v>4.49</v>
      </c>
      <c r="Y153" s="330">
        <v>1</v>
      </c>
      <c r="Z153" s="348">
        <f t="shared" si="57"/>
        <v>4.49</v>
      </c>
      <c r="AB153" s="328">
        <f t="shared" si="58"/>
        <v>0</v>
      </c>
      <c r="AC153" s="328">
        <f t="shared" si="59"/>
        <v>0</v>
      </c>
    </row>
    <row r="154" spans="1:29">
      <c r="A154" s="318"/>
      <c r="B154" s="319"/>
      <c r="C154" s="318"/>
      <c r="D154" s="318"/>
      <c r="E154" s="319"/>
      <c r="F154" s="319"/>
      <c r="G154" s="318" t="s">
        <v>666</v>
      </c>
      <c r="H154" s="318">
        <v>4.49</v>
      </c>
      <c r="I154" s="318">
        <v>1</v>
      </c>
      <c r="J154" s="318">
        <f t="shared" si="53"/>
        <v>1</v>
      </c>
      <c r="K154" s="318">
        <f t="shared" si="54"/>
        <v>4.49</v>
      </c>
      <c r="L154" s="318">
        <v>1051</v>
      </c>
      <c r="M154" s="318"/>
      <c r="N154" s="318">
        <v>1</v>
      </c>
      <c r="O154" s="619">
        <f t="shared" si="55"/>
        <v>4.49</v>
      </c>
      <c r="P154" s="750">
        <v>1</v>
      </c>
      <c r="Q154" s="750"/>
      <c r="R154" s="337">
        <v>1</v>
      </c>
      <c r="S154" s="348">
        <f t="shared" si="60"/>
        <v>4.49</v>
      </c>
      <c r="T154" s="319"/>
      <c r="V154" s="328">
        <v>4.49</v>
      </c>
      <c r="W154" s="320">
        <v>1</v>
      </c>
      <c r="X154" s="348">
        <f t="shared" si="56"/>
        <v>4.49</v>
      </c>
      <c r="Y154" s="330">
        <v>1</v>
      </c>
      <c r="Z154" s="348">
        <f t="shared" si="57"/>
        <v>4.49</v>
      </c>
      <c r="AB154" s="328">
        <f t="shared" si="58"/>
        <v>0</v>
      </c>
      <c r="AC154" s="328">
        <f t="shared" si="59"/>
        <v>0</v>
      </c>
    </row>
    <row r="155" spans="1:29">
      <c r="A155" s="318"/>
      <c r="B155" s="319"/>
      <c r="C155" s="318"/>
      <c r="D155" s="318"/>
      <c r="E155" s="319"/>
      <c r="F155" s="319"/>
      <c r="G155" s="318" t="s">
        <v>667</v>
      </c>
      <c r="H155" s="318">
        <v>4.49</v>
      </c>
      <c r="I155" s="318">
        <v>1</v>
      </c>
      <c r="J155" s="318">
        <f t="shared" si="53"/>
        <v>1</v>
      </c>
      <c r="K155" s="318">
        <f t="shared" si="54"/>
        <v>4.49</v>
      </c>
      <c r="L155" s="318">
        <v>1051</v>
      </c>
      <c r="M155" s="318"/>
      <c r="N155" s="318">
        <v>1</v>
      </c>
      <c r="O155" s="619">
        <f t="shared" si="55"/>
        <v>4.49</v>
      </c>
      <c r="P155" s="750">
        <v>1</v>
      </c>
      <c r="Q155" s="750"/>
      <c r="R155" s="337">
        <v>1</v>
      </c>
      <c r="S155" s="348">
        <f t="shared" si="60"/>
        <v>4.49</v>
      </c>
      <c r="T155" s="319"/>
      <c r="V155" s="328">
        <v>4.49</v>
      </c>
      <c r="W155" s="320">
        <v>1</v>
      </c>
      <c r="X155" s="348">
        <f t="shared" si="56"/>
        <v>4.49</v>
      </c>
      <c r="Y155" s="330">
        <v>1</v>
      </c>
      <c r="Z155" s="348">
        <f t="shared" si="57"/>
        <v>4.49</v>
      </c>
      <c r="AB155" s="328">
        <f t="shared" si="58"/>
        <v>0</v>
      </c>
      <c r="AC155" s="328">
        <f t="shared" si="59"/>
        <v>0</v>
      </c>
    </row>
    <row r="156" spans="1:29">
      <c r="A156" s="318"/>
      <c r="B156" s="319"/>
      <c r="C156" s="318"/>
      <c r="D156" s="318"/>
      <c r="E156" s="319"/>
      <c r="F156" s="319"/>
      <c r="G156" s="318" t="s">
        <v>668</v>
      </c>
      <c r="H156" s="318">
        <v>4.49</v>
      </c>
      <c r="I156" s="318">
        <v>1</v>
      </c>
      <c r="J156" s="318">
        <f t="shared" si="53"/>
        <v>1</v>
      </c>
      <c r="K156" s="318">
        <f t="shared" si="54"/>
        <v>4.49</v>
      </c>
      <c r="L156" s="318">
        <v>1051</v>
      </c>
      <c r="M156" s="318"/>
      <c r="N156" s="318">
        <v>1</v>
      </c>
      <c r="O156" s="619">
        <f t="shared" si="55"/>
        <v>4.49</v>
      </c>
      <c r="P156" s="750">
        <v>1</v>
      </c>
      <c r="Q156" s="750"/>
      <c r="R156" s="337">
        <v>1</v>
      </c>
      <c r="S156" s="348">
        <f t="shared" si="60"/>
        <v>4.49</v>
      </c>
      <c r="T156" s="319"/>
      <c r="V156" s="328">
        <v>4.49</v>
      </c>
      <c r="W156" s="320">
        <v>1</v>
      </c>
      <c r="X156" s="348">
        <f t="shared" si="56"/>
        <v>4.49</v>
      </c>
      <c r="Y156" s="330">
        <v>1</v>
      </c>
      <c r="Z156" s="348">
        <f t="shared" si="57"/>
        <v>4.49</v>
      </c>
      <c r="AB156" s="328">
        <f t="shared" si="58"/>
        <v>0</v>
      </c>
      <c r="AC156" s="328">
        <f t="shared" si="59"/>
        <v>0</v>
      </c>
    </row>
    <row r="157" spans="1:29">
      <c r="A157" s="318"/>
      <c r="B157" s="319"/>
      <c r="C157" s="318"/>
      <c r="D157" s="318"/>
      <c r="E157" s="319"/>
      <c r="F157" s="319"/>
      <c r="G157" s="318" t="s">
        <v>669</v>
      </c>
      <c r="H157" s="318">
        <v>4.49</v>
      </c>
      <c r="I157" s="318">
        <v>1</v>
      </c>
      <c r="J157" s="318">
        <f t="shared" si="53"/>
        <v>1</v>
      </c>
      <c r="K157" s="318">
        <f t="shared" si="54"/>
        <v>4.49</v>
      </c>
      <c r="L157" s="318">
        <v>1051</v>
      </c>
      <c r="M157" s="318"/>
      <c r="N157" s="318">
        <v>1</v>
      </c>
      <c r="O157" s="619">
        <f t="shared" si="55"/>
        <v>4.49</v>
      </c>
      <c r="P157" s="750">
        <v>1</v>
      </c>
      <c r="Q157" s="750"/>
      <c r="R157" s="337">
        <v>1</v>
      </c>
      <c r="S157" s="348">
        <f t="shared" si="60"/>
        <v>4.49</v>
      </c>
      <c r="T157" s="319"/>
      <c r="V157" s="328">
        <v>4.49</v>
      </c>
      <c r="W157" s="320">
        <v>1</v>
      </c>
      <c r="X157" s="348">
        <f t="shared" si="56"/>
        <v>4.49</v>
      </c>
      <c r="Y157" s="330">
        <v>1</v>
      </c>
      <c r="Z157" s="348">
        <f t="shared" si="57"/>
        <v>4.49</v>
      </c>
      <c r="AB157" s="328">
        <f t="shared" si="58"/>
        <v>0</v>
      </c>
      <c r="AC157" s="328">
        <f t="shared" si="59"/>
        <v>0</v>
      </c>
    </row>
    <row r="158" spans="1:29">
      <c r="A158" s="318"/>
      <c r="B158" s="319"/>
      <c r="C158" s="318"/>
      <c r="D158" s="318"/>
      <c r="E158" s="319"/>
      <c r="F158" s="319"/>
      <c r="G158" s="318" t="s">
        <v>670</v>
      </c>
      <c r="H158" s="318">
        <v>4.49</v>
      </c>
      <c r="I158" s="318">
        <v>1</v>
      </c>
      <c r="J158" s="318">
        <f t="shared" si="53"/>
        <v>1</v>
      </c>
      <c r="K158" s="318">
        <f t="shared" si="54"/>
        <v>4.49</v>
      </c>
      <c r="L158" s="318">
        <v>1051</v>
      </c>
      <c r="M158" s="318"/>
      <c r="N158" s="318">
        <v>1</v>
      </c>
      <c r="O158" s="619">
        <f t="shared" si="55"/>
        <v>4.49</v>
      </c>
      <c r="P158" s="750">
        <v>1</v>
      </c>
      <c r="Q158" s="750"/>
      <c r="R158" s="337">
        <v>1</v>
      </c>
      <c r="S158" s="348">
        <f t="shared" si="60"/>
        <v>4.49</v>
      </c>
      <c r="T158" s="319"/>
      <c r="V158" s="328">
        <v>4.49</v>
      </c>
      <c r="W158" s="320">
        <v>1</v>
      </c>
      <c r="X158" s="348">
        <f t="shared" si="56"/>
        <v>4.49</v>
      </c>
      <c r="Y158" s="330">
        <v>1</v>
      </c>
      <c r="Z158" s="348">
        <f t="shared" si="57"/>
        <v>4.49</v>
      </c>
      <c r="AB158" s="328">
        <f t="shared" si="58"/>
        <v>0</v>
      </c>
      <c r="AC158" s="328">
        <f t="shared" si="59"/>
        <v>0</v>
      </c>
    </row>
    <row r="159" spans="1:29">
      <c r="A159" s="318"/>
      <c r="B159" s="319"/>
      <c r="C159" s="318"/>
      <c r="D159" s="318"/>
      <c r="E159" s="319"/>
      <c r="F159" s="319"/>
      <c r="G159" s="318" t="s">
        <v>671</v>
      </c>
      <c r="H159" s="318">
        <v>4.49</v>
      </c>
      <c r="I159" s="318">
        <v>1</v>
      </c>
      <c r="J159" s="318">
        <f t="shared" si="53"/>
        <v>1</v>
      </c>
      <c r="K159" s="318">
        <f t="shared" si="54"/>
        <v>4.49</v>
      </c>
      <c r="L159" s="318">
        <v>1052</v>
      </c>
      <c r="M159" s="318"/>
      <c r="N159" s="318">
        <v>1</v>
      </c>
      <c r="O159" s="619">
        <f t="shared" si="55"/>
        <v>4.49</v>
      </c>
      <c r="P159" s="750">
        <v>1</v>
      </c>
      <c r="Q159" s="750"/>
      <c r="R159" s="337">
        <v>1</v>
      </c>
      <c r="S159" s="348">
        <f t="shared" si="60"/>
        <v>4.49</v>
      </c>
      <c r="T159" s="319"/>
      <c r="V159" s="328">
        <v>4.49</v>
      </c>
      <c r="W159" s="320">
        <v>1</v>
      </c>
      <c r="X159" s="348">
        <f t="shared" si="56"/>
        <v>4.49</v>
      </c>
      <c r="Y159" s="330">
        <v>1</v>
      </c>
      <c r="Z159" s="348">
        <f t="shared" si="57"/>
        <v>4.49</v>
      </c>
      <c r="AB159" s="328">
        <f t="shared" si="58"/>
        <v>0</v>
      </c>
      <c r="AC159" s="328">
        <f t="shared" si="59"/>
        <v>0</v>
      </c>
    </row>
    <row r="160" spans="1:29">
      <c r="A160" s="318"/>
      <c r="B160" s="319"/>
      <c r="C160" s="318"/>
      <c r="D160" s="318"/>
      <c r="E160" s="319"/>
      <c r="F160" s="319"/>
      <c r="G160" s="318" t="s">
        <v>672</v>
      </c>
      <c r="H160" s="318">
        <v>4.49</v>
      </c>
      <c r="I160" s="318">
        <v>1</v>
      </c>
      <c r="J160" s="318">
        <f t="shared" si="53"/>
        <v>1</v>
      </c>
      <c r="K160" s="318">
        <f t="shared" si="54"/>
        <v>4.49</v>
      </c>
      <c r="L160" s="318">
        <v>1052</v>
      </c>
      <c r="M160" s="318"/>
      <c r="N160" s="318">
        <v>1</v>
      </c>
      <c r="O160" s="619">
        <f t="shared" si="55"/>
        <v>4.49</v>
      </c>
      <c r="P160" s="750">
        <v>1</v>
      </c>
      <c r="Q160" s="750"/>
      <c r="R160" s="337">
        <v>1</v>
      </c>
      <c r="S160" s="348">
        <f t="shared" si="60"/>
        <v>4.49</v>
      </c>
      <c r="T160" s="319"/>
      <c r="V160" s="328">
        <v>4.49</v>
      </c>
      <c r="W160" s="320">
        <v>1</v>
      </c>
      <c r="X160" s="348">
        <f t="shared" si="56"/>
        <v>4.49</v>
      </c>
      <c r="Y160" s="330">
        <v>1</v>
      </c>
      <c r="Z160" s="348">
        <f t="shared" si="57"/>
        <v>4.49</v>
      </c>
      <c r="AB160" s="328">
        <f t="shared" si="58"/>
        <v>0</v>
      </c>
      <c r="AC160" s="328">
        <f t="shared" si="59"/>
        <v>0</v>
      </c>
    </row>
    <row r="161" spans="1:29">
      <c r="A161" s="318"/>
      <c r="B161" s="319"/>
      <c r="C161" s="318"/>
      <c r="D161" s="318"/>
      <c r="E161" s="319"/>
      <c r="F161" s="319"/>
      <c r="G161" s="318" t="s">
        <v>673</v>
      </c>
      <c r="H161" s="318">
        <v>4.49</v>
      </c>
      <c r="I161" s="318">
        <v>1</v>
      </c>
      <c r="J161" s="318">
        <f t="shared" si="53"/>
        <v>1</v>
      </c>
      <c r="K161" s="318">
        <f t="shared" si="54"/>
        <v>4.49</v>
      </c>
      <c r="L161" s="318">
        <v>1057</v>
      </c>
      <c r="M161" s="318"/>
      <c r="N161" s="318">
        <v>1</v>
      </c>
      <c r="O161" s="619">
        <f t="shared" si="55"/>
        <v>4.49</v>
      </c>
      <c r="P161" s="750">
        <v>1</v>
      </c>
      <c r="Q161" s="750"/>
      <c r="R161" s="337">
        <v>1</v>
      </c>
      <c r="S161" s="348">
        <f t="shared" si="60"/>
        <v>4.49</v>
      </c>
      <c r="T161" s="319"/>
      <c r="V161" s="328">
        <v>4.49</v>
      </c>
      <c r="W161" s="320">
        <v>1</v>
      </c>
      <c r="X161" s="348">
        <f t="shared" si="56"/>
        <v>4.49</v>
      </c>
      <c r="Y161" s="330">
        <v>1</v>
      </c>
      <c r="Z161" s="348">
        <f t="shared" si="57"/>
        <v>4.49</v>
      </c>
      <c r="AB161" s="328">
        <f t="shared" si="58"/>
        <v>0</v>
      </c>
      <c r="AC161" s="328">
        <f t="shared" si="59"/>
        <v>0</v>
      </c>
    </row>
    <row r="162" spans="1:29">
      <c r="A162" s="318"/>
      <c r="B162" s="319"/>
      <c r="C162" s="318"/>
      <c r="D162" s="318"/>
      <c r="E162" s="319"/>
      <c r="F162" s="319"/>
      <c r="G162" s="318" t="s">
        <v>674</v>
      </c>
      <c r="H162" s="318">
        <v>4.49</v>
      </c>
      <c r="I162" s="318">
        <v>1</v>
      </c>
      <c r="J162" s="318">
        <f t="shared" si="53"/>
        <v>1</v>
      </c>
      <c r="K162" s="318">
        <f t="shared" si="54"/>
        <v>4.49</v>
      </c>
      <c r="L162" s="318">
        <v>1052</v>
      </c>
      <c r="M162" s="318"/>
      <c r="N162" s="318">
        <v>1</v>
      </c>
      <c r="O162" s="619">
        <f t="shared" si="55"/>
        <v>4.49</v>
      </c>
      <c r="P162" s="750">
        <v>1</v>
      </c>
      <c r="Q162" s="750"/>
      <c r="R162" s="337">
        <v>1</v>
      </c>
      <c r="S162" s="348">
        <f t="shared" si="60"/>
        <v>4.49</v>
      </c>
      <c r="T162" s="319"/>
      <c r="V162" s="328">
        <v>4.49</v>
      </c>
      <c r="W162" s="320">
        <v>1</v>
      </c>
      <c r="X162" s="348">
        <f t="shared" si="56"/>
        <v>4.49</v>
      </c>
      <c r="Y162" s="330">
        <v>1</v>
      </c>
      <c r="Z162" s="348">
        <f t="shared" si="57"/>
        <v>4.49</v>
      </c>
      <c r="AB162" s="328">
        <f t="shared" si="58"/>
        <v>0</v>
      </c>
      <c r="AC162" s="328">
        <f t="shared" si="59"/>
        <v>0</v>
      </c>
    </row>
    <row r="163" spans="1:29">
      <c r="A163" s="318"/>
      <c r="B163" s="319"/>
      <c r="C163" s="318"/>
      <c r="D163" s="318"/>
      <c r="E163" s="319"/>
      <c r="F163" s="319"/>
      <c r="G163" s="318" t="s">
        <v>675</v>
      </c>
      <c r="H163" s="318">
        <v>4.49</v>
      </c>
      <c r="I163" s="318">
        <v>1</v>
      </c>
      <c r="J163" s="318">
        <f t="shared" si="53"/>
        <v>1</v>
      </c>
      <c r="K163" s="318">
        <f t="shared" si="54"/>
        <v>4.49</v>
      </c>
      <c r="L163" s="318">
        <v>1052</v>
      </c>
      <c r="M163" s="318"/>
      <c r="N163" s="318">
        <v>1</v>
      </c>
      <c r="O163" s="619">
        <f t="shared" si="55"/>
        <v>4.49</v>
      </c>
      <c r="P163" s="750">
        <v>1</v>
      </c>
      <c r="Q163" s="750"/>
      <c r="R163" s="337">
        <v>1</v>
      </c>
      <c r="S163" s="348">
        <f t="shared" si="60"/>
        <v>4.49</v>
      </c>
      <c r="T163" s="319"/>
      <c r="V163" s="328">
        <v>4.49</v>
      </c>
      <c r="W163" s="320">
        <v>1</v>
      </c>
      <c r="X163" s="348">
        <f t="shared" si="56"/>
        <v>4.49</v>
      </c>
      <c r="Y163" s="330">
        <v>1</v>
      </c>
      <c r="Z163" s="348">
        <f t="shared" si="57"/>
        <v>4.49</v>
      </c>
      <c r="AB163" s="328">
        <f t="shared" si="58"/>
        <v>0</v>
      </c>
      <c r="AC163" s="328">
        <f t="shared" si="59"/>
        <v>0</v>
      </c>
    </row>
    <row r="164" spans="1:29">
      <c r="A164" s="318"/>
      <c r="B164" s="319"/>
      <c r="C164" s="318"/>
      <c r="D164" s="318"/>
      <c r="E164" s="319"/>
      <c r="F164" s="319"/>
      <c r="G164" s="318" t="s">
        <v>676</v>
      </c>
      <c r="H164" s="318">
        <v>4.49</v>
      </c>
      <c r="I164" s="318">
        <v>1</v>
      </c>
      <c r="J164" s="318">
        <f t="shared" si="53"/>
        <v>1</v>
      </c>
      <c r="K164" s="318">
        <f t="shared" si="54"/>
        <v>4.49</v>
      </c>
      <c r="L164" s="318">
        <v>1057</v>
      </c>
      <c r="M164" s="318"/>
      <c r="N164" s="318">
        <v>1</v>
      </c>
      <c r="O164" s="619">
        <f t="shared" si="55"/>
        <v>4.49</v>
      </c>
      <c r="P164" s="750">
        <v>1</v>
      </c>
      <c r="Q164" s="750"/>
      <c r="R164" s="337">
        <v>1</v>
      </c>
      <c r="S164" s="348">
        <f t="shared" si="60"/>
        <v>4.49</v>
      </c>
      <c r="T164" s="319"/>
      <c r="V164" s="328">
        <v>4.49</v>
      </c>
      <c r="W164" s="320">
        <v>1</v>
      </c>
      <c r="X164" s="348">
        <f t="shared" si="56"/>
        <v>4.49</v>
      </c>
      <c r="Y164" s="330">
        <v>1</v>
      </c>
      <c r="Z164" s="348">
        <f t="shared" si="57"/>
        <v>4.49</v>
      </c>
      <c r="AB164" s="328">
        <f t="shared" si="58"/>
        <v>0</v>
      </c>
      <c r="AC164" s="328">
        <f t="shared" si="59"/>
        <v>0</v>
      </c>
    </row>
    <row r="165" spans="1:29">
      <c r="A165" s="318"/>
      <c r="B165" s="319"/>
      <c r="C165" s="318"/>
      <c r="D165" s="318"/>
      <c r="E165" s="319"/>
      <c r="F165" s="319"/>
      <c r="G165" s="318" t="s">
        <v>677</v>
      </c>
      <c r="H165" s="318">
        <v>4.49</v>
      </c>
      <c r="I165" s="318">
        <v>1</v>
      </c>
      <c r="J165" s="318">
        <f t="shared" si="53"/>
        <v>1</v>
      </c>
      <c r="K165" s="318">
        <f t="shared" si="54"/>
        <v>4.49</v>
      </c>
      <c r="L165" s="318">
        <v>1057</v>
      </c>
      <c r="M165" s="318"/>
      <c r="N165" s="318">
        <v>1</v>
      </c>
      <c r="O165" s="619">
        <f t="shared" si="55"/>
        <v>4.49</v>
      </c>
      <c r="P165" s="750">
        <v>1</v>
      </c>
      <c r="Q165" s="750"/>
      <c r="R165" s="337">
        <v>1</v>
      </c>
      <c r="S165" s="348">
        <f t="shared" si="60"/>
        <v>4.49</v>
      </c>
      <c r="T165" s="319"/>
      <c r="V165" s="328">
        <v>4.49</v>
      </c>
      <c r="W165" s="320">
        <v>1</v>
      </c>
      <c r="X165" s="348">
        <f t="shared" si="56"/>
        <v>4.49</v>
      </c>
      <c r="Y165" s="330">
        <v>1</v>
      </c>
      <c r="Z165" s="348">
        <f t="shared" si="57"/>
        <v>4.49</v>
      </c>
      <c r="AB165" s="328">
        <f t="shared" si="58"/>
        <v>0</v>
      </c>
      <c r="AC165" s="328">
        <f t="shared" si="59"/>
        <v>0</v>
      </c>
    </row>
    <row r="166" spans="1:29">
      <c r="A166" s="318"/>
      <c r="B166" s="319"/>
      <c r="C166" s="318"/>
      <c r="D166" s="318"/>
      <c r="E166" s="319"/>
      <c r="F166" s="319"/>
      <c r="G166" s="318" t="s">
        <v>678</v>
      </c>
      <c r="H166" s="318">
        <v>4.49</v>
      </c>
      <c r="I166" s="318">
        <v>1</v>
      </c>
      <c r="J166" s="318">
        <f t="shared" si="53"/>
        <v>1</v>
      </c>
      <c r="K166" s="318">
        <f t="shared" si="54"/>
        <v>4.49</v>
      </c>
      <c r="L166" s="318">
        <v>1057</v>
      </c>
      <c r="M166" s="318"/>
      <c r="N166" s="318">
        <v>1</v>
      </c>
      <c r="O166" s="619">
        <f t="shared" si="55"/>
        <v>4.49</v>
      </c>
      <c r="P166" s="750">
        <v>1</v>
      </c>
      <c r="Q166" s="750"/>
      <c r="R166" s="337">
        <v>1</v>
      </c>
      <c r="S166" s="348">
        <f t="shared" si="60"/>
        <v>4.49</v>
      </c>
      <c r="T166" s="319"/>
      <c r="V166" s="328">
        <v>4.49</v>
      </c>
      <c r="W166" s="320">
        <v>1</v>
      </c>
      <c r="X166" s="348">
        <f t="shared" si="56"/>
        <v>4.49</v>
      </c>
      <c r="Y166" s="330">
        <v>1</v>
      </c>
      <c r="Z166" s="348">
        <f t="shared" si="57"/>
        <v>4.49</v>
      </c>
      <c r="AB166" s="328">
        <f t="shared" si="58"/>
        <v>0</v>
      </c>
      <c r="AC166" s="328">
        <f t="shared" si="59"/>
        <v>0</v>
      </c>
    </row>
    <row r="167" spans="1:29" ht="20.399999999999999">
      <c r="A167" s="318"/>
      <c r="B167" s="319"/>
      <c r="C167" s="318"/>
      <c r="D167" s="318"/>
      <c r="E167" s="319"/>
      <c r="F167" s="336" t="s">
        <v>604</v>
      </c>
      <c r="G167" s="318" t="s">
        <v>679</v>
      </c>
      <c r="H167" s="318">
        <v>2.93</v>
      </c>
      <c r="I167" s="318">
        <v>1</v>
      </c>
      <c r="J167" s="318">
        <f t="shared" si="53"/>
        <v>1</v>
      </c>
      <c r="K167" s="318">
        <f t="shared" si="54"/>
        <v>2.93</v>
      </c>
      <c r="L167" s="318">
        <v>1303</v>
      </c>
      <c r="M167" s="318" t="s">
        <v>172</v>
      </c>
      <c r="N167" s="318">
        <v>1</v>
      </c>
      <c r="O167" s="619">
        <f t="shared" si="55"/>
        <v>2.93</v>
      </c>
      <c r="P167" s="750">
        <v>1</v>
      </c>
      <c r="Q167" s="750"/>
      <c r="R167" s="337">
        <v>1</v>
      </c>
      <c r="S167" s="348">
        <f t="shared" si="60"/>
        <v>2.93</v>
      </c>
      <c r="T167" s="319"/>
      <c r="V167" s="328">
        <f>0.987+2.354</f>
        <v>3.3410000000000002</v>
      </c>
      <c r="W167" s="320">
        <v>1</v>
      </c>
      <c r="X167" s="348">
        <f t="shared" si="56"/>
        <v>3.3410000000000002</v>
      </c>
      <c r="Y167" s="330">
        <v>1</v>
      </c>
      <c r="Z167" s="348">
        <f t="shared" si="57"/>
        <v>3.3410000000000002</v>
      </c>
      <c r="AB167" s="328">
        <f t="shared" si="58"/>
        <v>0.41100000000000003</v>
      </c>
      <c r="AC167" s="328">
        <f t="shared" si="59"/>
        <v>0.41100000000000003</v>
      </c>
    </row>
    <row r="168" spans="1:29" collapsed="1">
      <c r="A168" s="584"/>
      <c r="B168" s="585"/>
      <c r="C168" s="584"/>
      <c r="D168" s="584"/>
      <c r="E168" s="585"/>
      <c r="F168" s="585" t="s">
        <v>384</v>
      </c>
      <c r="G168" s="584" t="s">
        <v>477</v>
      </c>
      <c r="H168" s="584"/>
      <c r="I168" s="584"/>
      <c r="J168" s="584"/>
      <c r="K168" s="584"/>
      <c r="L168" s="584"/>
      <c r="M168" s="584"/>
      <c r="N168" s="584"/>
      <c r="O168" s="631" t="s">
        <v>2321</v>
      </c>
      <c r="P168" s="750"/>
      <c r="Q168" s="750"/>
      <c r="R168" s="337"/>
      <c r="S168" s="348">
        <f t="shared" si="60"/>
        <v>0</v>
      </c>
      <c r="T168" s="1030" t="s">
        <v>561</v>
      </c>
      <c r="V168" s="328"/>
      <c r="W168" s="318"/>
      <c r="X168" s="384" t="s">
        <v>2321</v>
      </c>
      <c r="Y168" s="337"/>
      <c r="Z168" s="350" t="s">
        <v>2321</v>
      </c>
      <c r="AB168" s="328"/>
      <c r="AC168" s="328"/>
    </row>
    <row r="169" spans="1:29">
      <c r="A169" s="584"/>
      <c r="B169" s="585"/>
      <c r="C169" s="584"/>
      <c r="D169" s="584"/>
      <c r="E169" s="585"/>
      <c r="F169" s="585" t="s">
        <v>384</v>
      </c>
      <c r="G169" s="584" t="s">
        <v>478</v>
      </c>
      <c r="H169" s="585"/>
      <c r="I169" s="584"/>
      <c r="J169" s="584"/>
      <c r="K169" s="584"/>
      <c r="L169" s="584"/>
      <c r="M169" s="584"/>
      <c r="N169" s="584"/>
      <c r="O169" s="631" t="s">
        <v>2321</v>
      </c>
      <c r="P169" s="750"/>
      <c r="Q169" s="750"/>
      <c r="R169" s="337"/>
      <c r="S169" s="348">
        <f t="shared" si="60"/>
        <v>0</v>
      </c>
      <c r="T169" s="1031"/>
      <c r="V169" s="333"/>
      <c r="W169" s="318"/>
      <c r="X169" s="384" t="s">
        <v>2321</v>
      </c>
      <c r="Y169" s="337"/>
      <c r="Z169" s="350" t="s">
        <v>2321</v>
      </c>
      <c r="AB169" s="333"/>
      <c r="AC169" s="333"/>
    </row>
    <row r="170" spans="1:29">
      <c r="A170" s="318"/>
      <c r="B170" s="319"/>
      <c r="C170" s="318"/>
      <c r="D170" s="318"/>
      <c r="E170" s="319"/>
      <c r="F170" s="336" t="s">
        <v>558</v>
      </c>
      <c r="G170" s="318" t="s">
        <v>680</v>
      </c>
      <c r="H170" s="318">
        <v>4.08</v>
      </c>
      <c r="I170" s="318">
        <v>1</v>
      </c>
      <c r="J170" s="318">
        <f t="shared" ref="J170:J180" si="61">IF(N170&gt;0,1,0)</f>
        <v>1</v>
      </c>
      <c r="K170" s="318">
        <f t="shared" ref="K170:K180" si="62">H170*J170</f>
        <v>4.08</v>
      </c>
      <c r="L170" s="318">
        <v>1218</v>
      </c>
      <c r="M170" s="318" t="s">
        <v>207</v>
      </c>
      <c r="N170" s="318">
        <v>1</v>
      </c>
      <c r="O170" s="619">
        <f t="shared" ref="O170:O195" si="63">H170*N170</f>
        <v>4.08</v>
      </c>
      <c r="P170" s="750">
        <v>1</v>
      </c>
      <c r="Q170" s="750"/>
      <c r="R170" s="337">
        <v>1</v>
      </c>
      <c r="S170" s="348">
        <f t="shared" si="60"/>
        <v>4.08</v>
      </c>
      <c r="T170" s="319"/>
      <c r="V170" s="328">
        <f>0.821+3.251</f>
        <v>4.0720000000000001</v>
      </c>
      <c r="W170" s="320">
        <v>1</v>
      </c>
      <c r="X170" s="348">
        <f t="shared" ref="X170:X180" si="64">V170*W170</f>
        <v>4.0720000000000001</v>
      </c>
      <c r="Y170" s="330">
        <v>1</v>
      </c>
      <c r="Z170" s="348">
        <f t="shared" ref="Z170:Z180" si="65">V170*Y170</f>
        <v>4.0720000000000001</v>
      </c>
      <c r="AB170" s="328">
        <f t="shared" ref="AB170:AB180" si="66">X170-O170</f>
        <v>-8.0000000000000071E-3</v>
      </c>
      <c r="AC170" s="328">
        <f t="shared" ref="AC170:AC180" si="67">Z170-S170</f>
        <v>-8.0000000000000071E-3</v>
      </c>
    </row>
    <row r="171" spans="1:29">
      <c r="A171" s="318"/>
      <c r="B171" s="319"/>
      <c r="C171" s="318"/>
      <c r="D171" s="318"/>
      <c r="E171" s="319"/>
      <c r="F171" s="336" t="s">
        <v>558</v>
      </c>
      <c r="G171" s="318" t="s">
        <v>681</v>
      </c>
      <c r="H171" s="318">
        <v>3.32</v>
      </c>
      <c r="I171" s="318">
        <v>1</v>
      </c>
      <c r="J171" s="318">
        <f t="shared" si="61"/>
        <v>1</v>
      </c>
      <c r="K171" s="318">
        <f t="shared" si="62"/>
        <v>3.32</v>
      </c>
      <c r="L171" s="318">
        <v>1218</v>
      </c>
      <c r="M171" s="318" t="s">
        <v>207</v>
      </c>
      <c r="N171" s="318">
        <v>1</v>
      </c>
      <c r="O171" s="619">
        <f t="shared" si="63"/>
        <v>3.32</v>
      </c>
      <c r="P171" s="750">
        <v>1</v>
      </c>
      <c r="Q171" s="750"/>
      <c r="R171" s="337">
        <v>1</v>
      </c>
      <c r="S171" s="348">
        <f t="shared" si="60"/>
        <v>3.32</v>
      </c>
      <c r="T171" s="319"/>
      <c r="V171" s="328">
        <f>3.256</f>
        <v>3.2559999999999998</v>
      </c>
      <c r="W171" s="320">
        <v>1</v>
      </c>
      <c r="X171" s="348">
        <f t="shared" si="64"/>
        <v>3.2559999999999998</v>
      </c>
      <c r="Y171" s="330">
        <v>1</v>
      </c>
      <c r="Z171" s="348">
        <f t="shared" si="65"/>
        <v>3.2559999999999998</v>
      </c>
      <c r="AB171" s="328">
        <f t="shared" si="66"/>
        <v>-6.4000000000000057E-2</v>
      </c>
      <c r="AC171" s="328">
        <f t="shared" si="67"/>
        <v>-6.4000000000000057E-2</v>
      </c>
    </row>
    <row r="172" spans="1:29">
      <c r="A172" s="318"/>
      <c r="B172" s="319"/>
      <c r="C172" s="318"/>
      <c r="D172" s="318"/>
      <c r="E172" s="319"/>
      <c r="F172" s="319"/>
      <c r="G172" s="318" t="s">
        <v>682</v>
      </c>
      <c r="H172" s="318">
        <v>3.38</v>
      </c>
      <c r="I172" s="318">
        <v>1</v>
      </c>
      <c r="J172" s="318">
        <f t="shared" si="61"/>
        <v>1</v>
      </c>
      <c r="K172" s="318">
        <f t="shared" si="62"/>
        <v>3.38</v>
      </c>
      <c r="L172" s="318">
        <v>1199</v>
      </c>
      <c r="M172" s="318" t="s">
        <v>198</v>
      </c>
      <c r="N172" s="318">
        <v>1</v>
      </c>
      <c r="O172" s="619">
        <f t="shared" si="63"/>
        <v>3.38</v>
      </c>
      <c r="P172" s="750">
        <v>1</v>
      </c>
      <c r="Q172" s="750"/>
      <c r="R172" s="337">
        <v>1</v>
      </c>
      <c r="S172" s="348">
        <f t="shared" si="60"/>
        <v>3.38</v>
      </c>
      <c r="T172" s="319"/>
      <c r="V172" s="328">
        <v>3.3650000000000002</v>
      </c>
      <c r="W172" s="320">
        <v>1</v>
      </c>
      <c r="X172" s="348">
        <f t="shared" si="64"/>
        <v>3.3650000000000002</v>
      </c>
      <c r="Y172" s="330">
        <v>1</v>
      </c>
      <c r="Z172" s="348">
        <f t="shared" si="65"/>
        <v>3.3650000000000002</v>
      </c>
      <c r="AB172" s="328">
        <f t="shared" si="66"/>
        <v>-1.499999999999968E-2</v>
      </c>
      <c r="AC172" s="328">
        <f t="shared" si="67"/>
        <v>-1.499999999999968E-2</v>
      </c>
    </row>
    <row r="173" spans="1:29">
      <c r="A173" s="318"/>
      <c r="B173" s="319"/>
      <c r="C173" s="318"/>
      <c r="D173" s="318"/>
      <c r="E173" s="319"/>
      <c r="F173" s="319"/>
      <c r="G173" s="318" t="s">
        <v>683</v>
      </c>
      <c r="H173" s="318">
        <v>3.38</v>
      </c>
      <c r="I173" s="318">
        <v>1</v>
      </c>
      <c r="J173" s="318">
        <f t="shared" si="61"/>
        <v>1</v>
      </c>
      <c r="K173" s="318">
        <f t="shared" si="62"/>
        <v>3.38</v>
      </c>
      <c r="L173" s="318">
        <v>1059</v>
      </c>
      <c r="M173" s="318"/>
      <c r="N173" s="318">
        <v>1</v>
      </c>
      <c r="O173" s="619">
        <f t="shared" si="63"/>
        <v>3.38</v>
      </c>
      <c r="P173" s="750">
        <v>1</v>
      </c>
      <c r="Q173" s="750"/>
      <c r="R173" s="337">
        <v>1</v>
      </c>
      <c r="S173" s="348">
        <f t="shared" si="60"/>
        <v>3.38</v>
      </c>
      <c r="T173" s="319"/>
      <c r="V173" s="328">
        <v>3.3650000000000002</v>
      </c>
      <c r="W173" s="320">
        <v>1</v>
      </c>
      <c r="X173" s="348">
        <f t="shared" si="64"/>
        <v>3.3650000000000002</v>
      </c>
      <c r="Y173" s="330">
        <v>1</v>
      </c>
      <c r="Z173" s="348">
        <f t="shared" si="65"/>
        <v>3.3650000000000002</v>
      </c>
      <c r="AB173" s="328">
        <f t="shared" si="66"/>
        <v>-1.499999999999968E-2</v>
      </c>
      <c r="AC173" s="328">
        <f t="shared" si="67"/>
        <v>-1.499999999999968E-2</v>
      </c>
    </row>
    <row r="174" spans="1:29">
      <c r="A174" s="318"/>
      <c r="B174" s="319"/>
      <c r="C174" s="318"/>
      <c r="D174" s="318"/>
      <c r="E174" s="319"/>
      <c r="F174" s="319"/>
      <c r="G174" s="318" t="s">
        <v>684</v>
      </c>
      <c r="H174" s="318">
        <v>4.49</v>
      </c>
      <c r="I174" s="318">
        <v>1</v>
      </c>
      <c r="J174" s="318">
        <f t="shared" si="61"/>
        <v>1</v>
      </c>
      <c r="K174" s="318">
        <f t="shared" si="62"/>
        <v>4.49</v>
      </c>
      <c r="L174" s="318">
        <v>1057</v>
      </c>
      <c r="M174" s="318"/>
      <c r="N174" s="318">
        <v>1</v>
      </c>
      <c r="O174" s="619">
        <f t="shared" si="63"/>
        <v>4.49</v>
      </c>
      <c r="P174" s="750">
        <v>1</v>
      </c>
      <c r="Q174" s="750"/>
      <c r="R174" s="337">
        <v>1</v>
      </c>
      <c r="S174" s="348">
        <f t="shared" si="60"/>
        <v>4.49</v>
      </c>
      <c r="T174" s="319"/>
      <c r="V174" s="328">
        <v>4.49</v>
      </c>
      <c r="W174" s="320">
        <v>1</v>
      </c>
      <c r="X174" s="348">
        <f t="shared" si="64"/>
        <v>4.49</v>
      </c>
      <c r="Y174" s="330">
        <v>1</v>
      </c>
      <c r="Z174" s="348">
        <f t="shared" si="65"/>
        <v>4.49</v>
      </c>
      <c r="AB174" s="328">
        <f t="shared" si="66"/>
        <v>0</v>
      </c>
      <c r="AC174" s="328">
        <f t="shared" si="67"/>
        <v>0</v>
      </c>
    </row>
    <row r="175" spans="1:29">
      <c r="A175" s="318"/>
      <c r="B175" s="319"/>
      <c r="C175" s="318"/>
      <c r="D175" s="318"/>
      <c r="E175" s="319"/>
      <c r="F175" s="319"/>
      <c r="G175" s="318" t="s">
        <v>685</v>
      </c>
      <c r="H175" s="318">
        <v>4.49</v>
      </c>
      <c r="I175" s="318">
        <v>1</v>
      </c>
      <c r="J175" s="318">
        <f t="shared" si="61"/>
        <v>1</v>
      </c>
      <c r="K175" s="318">
        <f t="shared" si="62"/>
        <v>4.49</v>
      </c>
      <c r="L175" s="318">
        <v>1057</v>
      </c>
      <c r="M175" s="318"/>
      <c r="N175" s="318">
        <v>1</v>
      </c>
      <c r="O175" s="619">
        <f t="shared" si="63"/>
        <v>4.49</v>
      </c>
      <c r="P175" s="750">
        <v>1</v>
      </c>
      <c r="Q175" s="750"/>
      <c r="R175" s="337">
        <v>1</v>
      </c>
      <c r="S175" s="348">
        <f t="shared" si="60"/>
        <v>4.49</v>
      </c>
      <c r="T175" s="319"/>
      <c r="V175" s="328">
        <v>4.49</v>
      </c>
      <c r="W175" s="320">
        <v>1</v>
      </c>
      <c r="X175" s="348">
        <f t="shared" si="64"/>
        <v>4.49</v>
      </c>
      <c r="Y175" s="330">
        <v>1</v>
      </c>
      <c r="Z175" s="348">
        <f t="shared" si="65"/>
        <v>4.49</v>
      </c>
      <c r="AB175" s="328">
        <f t="shared" si="66"/>
        <v>0</v>
      </c>
      <c r="AC175" s="328">
        <f t="shared" si="67"/>
        <v>0</v>
      </c>
    </row>
    <row r="176" spans="1:29">
      <c r="A176" s="318"/>
      <c r="B176" s="319"/>
      <c r="C176" s="318"/>
      <c r="D176" s="318"/>
      <c r="E176" s="319"/>
      <c r="F176" s="319"/>
      <c r="G176" s="318" t="s">
        <v>686</v>
      </c>
      <c r="H176" s="318">
        <v>4.49</v>
      </c>
      <c r="I176" s="318">
        <v>1</v>
      </c>
      <c r="J176" s="318">
        <f t="shared" si="61"/>
        <v>1</v>
      </c>
      <c r="K176" s="318">
        <f t="shared" si="62"/>
        <v>4.49</v>
      </c>
      <c r="L176" s="318">
        <v>1057</v>
      </c>
      <c r="M176" s="318"/>
      <c r="N176" s="318">
        <v>1</v>
      </c>
      <c r="O176" s="619">
        <f t="shared" si="63"/>
        <v>4.49</v>
      </c>
      <c r="P176" s="750">
        <v>1</v>
      </c>
      <c r="Q176" s="750"/>
      <c r="R176" s="337">
        <v>1</v>
      </c>
      <c r="S176" s="348">
        <f t="shared" si="60"/>
        <v>4.49</v>
      </c>
      <c r="T176" s="319"/>
      <c r="V176" s="328">
        <v>4.49</v>
      </c>
      <c r="W176" s="320">
        <v>1</v>
      </c>
      <c r="X176" s="348">
        <f t="shared" si="64"/>
        <v>4.49</v>
      </c>
      <c r="Y176" s="330">
        <v>1</v>
      </c>
      <c r="Z176" s="348">
        <f t="shared" si="65"/>
        <v>4.49</v>
      </c>
      <c r="AB176" s="328">
        <f t="shared" si="66"/>
        <v>0</v>
      </c>
      <c r="AC176" s="328">
        <f t="shared" si="67"/>
        <v>0</v>
      </c>
    </row>
    <row r="177" spans="1:29">
      <c r="A177" s="318"/>
      <c r="B177" s="319"/>
      <c r="C177" s="318"/>
      <c r="D177" s="318"/>
      <c r="E177" s="319"/>
      <c r="F177" s="319"/>
      <c r="G177" s="318" t="s">
        <v>687</v>
      </c>
      <c r="H177" s="318">
        <v>4.49</v>
      </c>
      <c r="I177" s="318">
        <v>1</v>
      </c>
      <c r="J177" s="318">
        <f t="shared" si="61"/>
        <v>1</v>
      </c>
      <c r="K177" s="318">
        <f t="shared" si="62"/>
        <v>4.49</v>
      </c>
      <c r="L177" s="318">
        <v>1057</v>
      </c>
      <c r="M177" s="318"/>
      <c r="N177" s="318">
        <v>1</v>
      </c>
      <c r="O177" s="619">
        <f t="shared" si="63"/>
        <v>4.49</v>
      </c>
      <c r="P177" s="750">
        <v>1</v>
      </c>
      <c r="Q177" s="750"/>
      <c r="R177" s="337">
        <v>1</v>
      </c>
      <c r="S177" s="348">
        <f t="shared" si="60"/>
        <v>4.49</v>
      </c>
      <c r="T177" s="319"/>
      <c r="V177" s="328">
        <v>4.49</v>
      </c>
      <c r="W177" s="320">
        <v>1</v>
      </c>
      <c r="X177" s="348">
        <f t="shared" si="64"/>
        <v>4.49</v>
      </c>
      <c r="Y177" s="330">
        <v>1</v>
      </c>
      <c r="Z177" s="348">
        <f t="shared" si="65"/>
        <v>4.49</v>
      </c>
      <c r="AB177" s="328">
        <f t="shared" si="66"/>
        <v>0</v>
      </c>
      <c r="AC177" s="328">
        <f t="shared" si="67"/>
        <v>0</v>
      </c>
    </row>
    <row r="178" spans="1:29">
      <c r="A178" s="318"/>
      <c r="B178" s="319"/>
      <c r="C178" s="318"/>
      <c r="D178" s="318"/>
      <c r="E178" s="319"/>
      <c r="F178" s="319"/>
      <c r="G178" s="318" t="s">
        <v>688</v>
      </c>
      <c r="H178" s="318">
        <v>4.49</v>
      </c>
      <c r="I178" s="318">
        <v>1</v>
      </c>
      <c r="J178" s="318">
        <f t="shared" si="61"/>
        <v>1</v>
      </c>
      <c r="K178" s="318">
        <f t="shared" si="62"/>
        <v>4.49</v>
      </c>
      <c r="L178" s="318">
        <v>1059</v>
      </c>
      <c r="M178" s="318"/>
      <c r="N178" s="318">
        <v>1</v>
      </c>
      <c r="O178" s="619">
        <f t="shared" si="63"/>
        <v>4.49</v>
      </c>
      <c r="P178" s="750">
        <v>1</v>
      </c>
      <c r="Q178" s="750"/>
      <c r="R178" s="337">
        <v>1</v>
      </c>
      <c r="S178" s="348">
        <f t="shared" si="60"/>
        <v>4.49</v>
      </c>
      <c r="T178" s="319"/>
      <c r="V178" s="328">
        <v>4.49</v>
      </c>
      <c r="W178" s="320">
        <v>1</v>
      </c>
      <c r="X178" s="348">
        <f t="shared" si="64"/>
        <v>4.49</v>
      </c>
      <c r="Y178" s="330">
        <v>1</v>
      </c>
      <c r="Z178" s="348">
        <f t="shared" si="65"/>
        <v>4.49</v>
      </c>
      <c r="AB178" s="328">
        <f t="shared" si="66"/>
        <v>0</v>
      </c>
      <c r="AC178" s="328">
        <f t="shared" si="67"/>
        <v>0</v>
      </c>
    </row>
    <row r="179" spans="1:29">
      <c r="A179" s="318"/>
      <c r="B179" s="319"/>
      <c r="C179" s="318"/>
      <c r="D179" s="318"/>
      <c r="E179" s="319"/>
      <c r="F179" s="319"/>
      <c r="G179" s="318" t="s">
        <v>689</v>
      </c>
      <c r="H179" s="318">
        <v>4.49</v>
      </c>
      <c r="I179" s="318">
        <v>1</v>
      </c>
      <c r="J179" s="318">
        <f t="shared" si="61"/>
        <v>1</v>
      </c>
      <c r="K179" s="318">
        <f t="shared" si="62"/>
        <v>4.49</v>
      </c>
      <c r="L179" s="318">
        <v>1059</v>
      </c>
      <c r="M179" s="318"/>
      <c r="N179" s="318">
        <v>1</v>
      </c>
      <c r="O179" s="619">
        <f t="shared" si="63"/>
        <v>4.49</v>
      </c>
      <c r="P179" s="750">
        <v>1</v>
      </c>
      <c r="Q179" s="750"/>
      <c r="R179" s="337">
        <v>1</v>
      </c>
      <c r="S179" s="348">
        <f t="shared" si="60"/>
        <v>4.49</v>
      </c>
      <c r="T179" s="319"/>
      <c r="V179" s="328">
        <v>4.49</v>
      </c>
      <c r="W179" s="320">
        <v>1</v>
      </c>
      <c r="X179" s="348">
        <f t="shared" si="64"/>
        <v>4.49</v>
      </c>
      <c r="Y179" s="330">
        <v>1</v>
      </c>
      <c r="Z179" s="348">
        <f t="shared" si="65"/>
        <v>4.49</v>
      </c>
      <c r="AB179" s="328">
        <f t="shared" si="66"/>
        <v>0</v>
      </c>
      <c r="AC179" s="328">
        <f t="shared" si="67"/>
        <v>0</v>
      </c>
    </row>
    <row r="180" spans="1:29" ht="20.399999999999999">
      <c r="A180" s="318"/>
      <c r="B180" s="319"/>
      <c r="C180" s="318"/>
      <c r="D180" s="318"/>
      <c r="E180" s="319"/>
      <c r="F180" s="336" t="s">
        <v>604</v>
      </c>
      <c r="G180" s="318" t="s">
        <v>690</v>
      </c>
      <c r="H180" s="318">
        <v>4.82</v>
      </c>
      <c r="I180" s="318">
        <v>1</v>
      </c>
      <c r="J180" s="318">
        <f t="shared" si="61"/>
        <v>1</v>
      </c>
      <c r="K180" s="318">
        <f t="shared" si="62"/>
        <v>4.82</v>
      </c>
      <c r="L180" s="352" t="s">
        <v>3364</v>
      </c>
      <c r="M180" s="318">
        <v>242</v>
      </c>
      <c r="N180" s="318">
        <v>1</v>
      </c>
      <c r="O180" s="619">
        <f t="shared" si="63"/>
        <v>4.82</v>
      </c>
      <c r="P180" s="750">
        <v>1</v>
      </c>
      <c r="Q180" s="750"/>
      <c r="R180" s="337">
        <v>1</v>
      </c>
      <c r="S180" s="348">
        <f t="shared" si="60"/>
        <v>4.82</v>
      </c>
      <c r="T180" s="319" t="s">
        <v>3423</v>
      </c>
      <c r="V180" s="328">
        <v>4.49</v>
      </c>
      <c r="W180" s="320"/>
      <c r="X180" s="348">
        <f t="shared" si="64"/>
        <v>0</v>
      </c>
      <c r="Y180" s="330"/>
      <c r="Z180" s="348">
        <f t="shared" si="65"/>
        <v>0</v>
      </c>
      <c r="AB180" s="328">
        <f t="shared" si="66"/>
        <v>-4.82</v>
      </c>
      <c r="AC180" s="328">
        <f t="shared" si="67"/>
        <v>-4.82</v>
      </c>
    </row>
    <row r="181" spans="1:29">
      <c r="A181" s="584"/>
      <c r="B181" s="585"/>
      <c r="C181" s="584"/>
      <c r="D181" s="584"/>
      <c r="E181" s="585"/>
      <c r="F181" s="585" t="s">
        <v>384</v>
      </c>
      <c r="G181" s="584" t="s">
        <v>479</v>
      </c>
      <c r="H181" s="584"/>
      <c r="I181" s="584"/>
      <c r="J181" s="584"/>
      <c r="K181" s="584"/>
      <c r="L181" s="584"/>
      <c r="M181" s="584"/>
      <c r="N181" s="584"/>
      <c r="O181" s="631" t="s">
        <v>2321</v>
      </c>
      <c r="P181" s="750"/>
      <c r="Q181" s="750"/>
      <c r="R181" s="337"/>
      <c r="S181" s="348">
        <f t="shared" si="60"/>
        <v>0</v>
      </c>
      <c r="T181" s="1024" t="s">
        <v>561</v>
      </c>
      <c r="V181" s="328"/>
      <c r="W181" s="318"/>
      <c r="X181" s="384" t="s">
        <v>2321</v>
      </c>
      <c r="Y181" s="337"/>
      <c r="Z181" s="350" t="s">
        <v>2321</v>
      </c>
      <c r="AB181" s="328"/>
      <c r="AC181" s="328"/>
    </row>
    <row r="182" spans="1:29">
      <c r="A182" s="584"/>
      <c r="B182" s="585"/>
      <c r="C182" s="584"/>
      <c r="D182" s="584"/>
      <c r="E182" s="585"/>
      <c r="F182" s="585" t="s">
        <v>384</v>
      </c>
      <c r="G182" s="584" t="s">
        <v>480</v>
      </c>
      <c r="H182" s="584"/>
      <c r="I182" s="584"/>
      <c r="J182" s="584"/>
      <c r="K182" s="584"/>
      <c r="L182" s="584"/>
      <c r="M182" s="584"/>
      <c r="N182" s="584"/>
      <c r="O182" s="631" t="s">
        <v>2321</v>
      </c>
      <c r="P182" s="750"/>
      <c r="Q182" s="750"/>
      <c r="R182" s="337"/>
      <c r="S182" s="348">
        <f t="shared" si="60"/>
        <v>0</v>
      </c>
      <c r="T182" s="1025"/>
      <c r="V182" s="328"/>
      <c r="W182" s="318"/>
      <c r="X182" s="384" t="s">
        <v>2321</v>
      </c>
      <c r="Y182" s="337"/>
      <c r="Z182" s="350" t="s">
        <v>2321</v>
      </c>
      <c r="AB182" s="328"/>
      <c r="AC182" s="328"/>
    </row>
    <row r="183" spans="1:29">
      <c r="A183" s="584"/>
      <c r="B183" s="585"/>
      <c r="C183" s="584"/>
      <c r="D183" s="584"/>
      <c r="E183" s="585"/>
      <c r="F183" s="585" t="s">
        <v>384</v>
      </c>
      <c r="G183" s="584" t="s">
        <v>481</v>
      </c>
      <c r="H183" s="584"/>
      <c r="I183" s="584"/>
      <c r="J183" s="584"/>
      <c r="K183" s="584"/>
      <c r="L183" s="584"/>
      <c r="M183" s="584"/>
      <c r="N183" s="584"/>
      <c r="O183" s="631" t="s">
        <v>2321</v>
      </c>
      <c r="P183" s="750"/>
      <c r="Q183" s="750"/>
      <c r="R183" s="337"/>
      <c r="S183" s="348">
        <f t="shared" si="60"/>
        <v>0</v>
      </c>
      <c r="T183" s="1025"/>
      <c r="V183" s="328"/>
      <c r="W183" s="318"/>
      <c r="X183" s="384" t="s">
        <v>2321</v>
      </c>
      <c r="Y183" s="337"/>
      <c r="Z183" s="350" t="s">
        <v>2321</v>
      </c>
      <c r="AB183" s="328"/>
      <c r="AC183" s="328"/>
    </row>
    <row r="184" spans="1:29">
      <c r="A184" s="584"/>
      <c r="B184" s="585"/>
      <c r="C184" s="584"/>
      <c r="D184" s="584"/>
      <c r="E184" s="585"/>
      <c r="F184" s="585" t="s">
        <v>384</v>
      </c>
      <c r="G184" s="584" t="s">
        <v>482</v>
      </c>
      <c r="H184" s="584"/>
      <c r="I184" s="584"/>
      <c r="J184" s="584"/>
      <c r="K184" s="584"/>
      <c r="L184" s="584"/>
      <c r="M184" s="584"/>
      <c r="N184" s="584"/>
      <c r="O184" s="631" t="s">
        <v>2321</v>
      </c>
      <c r="P184" s="750"/>
      <c r="Q184" s="750"/>
      <c r="R184" s="337"/>
      <c r="S184" s="348">
        <f t="shared" si="60"/>
        <v>0</v>
      </c>
      <c r="T184" s="1026"/>
      <c r="V184" s="328"/>
      <c r="W184" s="318"/>
      <c r="X184" s="384" t="s">
        <v>2321</v>
      </c>
      <c r="Y184" s="337"/>
      <c r="Z184" s="350" t="s">
        <v>2321</v>
      </c>
      <c r="AB184" s="328"/>
      <c r="AC184" s="328"/>
    </row>
    <row r="185" spans="1:29" ht="20.399999999999999">
      <c r="A185" s="318"/>
      <c r="B185" s="319"/>
      <c r="C185" s="318"/>
      <c r="D185" s="318"/>
      <c r="E185" s="319"/>
      <c r="F185" s="336" t="s">
        <v>604</v>
      </c>
      <c r="G185" s="318" t="s">
        <v>691</v>
      </c>
      <c r="H185" s="318">
        <v>4.82</v>
      </c>
      <c r="I185" s="318">
        <v>1</v>
      </c>
      <c r="J185" s="318">
        <f t="shared" ref="J185:J195" si="68">IF(N185&gt;0,1,0)</f>
        <v>1</v>
      </c>
      <c r="K185" s="318">
        <f t="shared" ref="K185:K195" si="69">H185*J185</f>
        <v>4.82</v>
      </c>
      <c r="L185" s="352" t="s">
        <v>3365</v>
      </c>
      <c r="M185" s="318">
        <v>242</v>
      </c>
      <c r="N185" s="318">
        <v>1</v>
      </c>
      <c r="O185" s="619">
        <f t="shared" si="63"/>
        <v>4.82</v>
      </c>
      <c r="P185" s="750">
        <v>1</v>
      </c>
      <c r="Q185" s="750"/>
      <c r="R185" s="337">
        <v>1</v>
      </c>
      <c r="S185" s="348">
        <f t="shared" si="60"/>
        <v>4.82</v>
      </c>
      <c r="T185" s="319" t="s">
        <v>3423</v>
      </c>
      <c r="V185" s="328">
        <v>4.49</v>
      </c>
      <c r="W185" s="320"/>
      <c r="X185" s="348">
        <f t="shared" ref="X185:X195" si="70">V185*W185</f>
        <v>0</v>
      </c>
      <c r="Y185" s="330"/>
      <c r="Z185" s="348">
        <f t="shared" ref="Z185:Z195" si="71">V185*Y185</f>
        <v>0</v>
      </c>
      <c r="AB185" s="328">
        <f t="shared" ref="AB185:AB195" si="72">X185-O185</f>
        <v>-4.82</v>
      </c>
      <c r="AC185" s="328">
        <f t="shared" ref="AC185:AC195" si="73">Z185-S185</f>
        <v>-4.82</v>
      </c>
    </row>
    <row r="186" spans="1:29">
      <c r="A186" s="318"/>
      <c r="B186" s="319"/>
      <c r="C186" s="318"/>
      <c r="D186" s="318"/>
      <c r="E186" s="319"/>
      <c r="F186" s="319"/>
      <c r="G186" s="318" t="s">
        <v>692</v>
      </c>
      <c r="H186" s="318">
        <v>4.49</v>
      </c>
      <c r="I186" s="318">
        <v>1</v>
      </c>
      <c r="J186" s="318">
        <f t="shared" si="68"/>
        <v>1</v>
      </c>
      <c r="K186" s="318">
        <f t="shared" si="69"/>
        <v>4.49</v>
      </c>
      <c r="L186" s="318">
        <v>1059</v>
      </c>
      <c r="M186" s="318"/>
      <c r="N186" s="318">
        <v>1</v>
      </c>
      <c r="O186" s="619">
        <f t="shared" si="63"/>
        <v>4.49</v>
      </c>
      <c r="P186" s="750">
        <v>1</v>
      </c>
      <c r="Q186" s="750"/>
      <c r="R186" s="337">
        <v>1</v>
      </c>
      <c r="S186" s="348">
        <f t="shared" si="60"/>
        <v>4.49</v>
      </c>
      <c r="T186" s="319"/>
      <c r="V186" s="328">
        <v>4.49</v>
      </c>
      <c r="W186" s="320">
        <v>1</v>
      </c>
      <c r="X186" s="348">
        <f t="shared" si="70"/>
        <v>4.49</v>
      </c>
      <c r="Y186" s="330">
        <v>1</v>
      </c>
      <c r="Z186" s="348">
        <f t="shared" si="71"/>
        <v>4.49</v>
      </c>
      <c r="AB186" s="328">
        <f t="shared" si="72"/>
        <v>0</v>
      </c>
      <c r="AC186" s="328">
        <f t="shared" si="73"/>
        <v>0</v>
      </c>
    </row>
    <row r="187" spans="1:29">
      <c r="A187" s="318"/>
      <c r="B187" s="319"/>
      <c r="C187" s="318"/>
      <c r="D187" s="318"/>
      <c r="E187" s="319"/>
      <c r="F187" s="319"/>
      <c r="G187" s="318" t="s">
        <v>693</v>
      </c>
      <c r="H187" s="318">
        <v>4.49</v>
      </c>
      <c r="I187" s="318">
        <v>1</v>
      </c>
      <c r="J187" s="318">
        <f t="shared" si="68"/>
        <v>1</v>
      </c>
      <c r="K187" s="318">
        <f t="shared" si="69"/>
        <v>4.49</v>
      </c>
      <c r="L187" s="318">
        <v>1060</v>
      </c>
      <c r="M187" s="318"/>
      <c r="N187" s="318">
        <v>1</v>
      </c>
      <c r="O187" s="619">
        <f t="shared" si="63"/>
        <v>4.49</v>
      </c>
      <c r="P187" s="750">
        <v>1</v>
      </c>
      <c r="Q187" s="750"/>
      <c r="R187" s="337">
        <v>1</v>
      </c>
      <c r="S187" s="348">
        <f t="shared" si="60"/>
        <v>4.49</v>
      </c>
      <c r="T187" s="319"/>
      <c r="V187" s="328">
        <v>4.49</v>
      </c>
      <c r="W187" s="320">
        <v>1</v>
      </c>
      <c r="X187" s="348">
        <f t="shared" si="70"/>
        <v>4.49</v>
      </c>
      <c r="Y187" s="330">
        <v>0.5</v>
      </c>
      <c r="Z187" s="348">
        <f t="shared" si="71"/>
        <v>2.2450000000000001</v>
      </c>
      <c r="AB187" s="328">
        <f t="shared" si="72"/>
        <v>0</v>
      </c>
      <c r="AC187" s="328">
        <f t="shared" si="73"/>
        <v>-2.2450000000000001</v>
      </c>
    </row>
    <row r="188" spans="1:29">
      <c r="A188" s="318"/>
      <c r="B188" s="319"/>
      <c r="C188" s="318"/>
      <c r="D188" s="318"/>
      <c r="E188" s="319"/>
      <c r="F188" s="319"/>
      <c r="G188" s="318" t="s">
        <v>694</v>
      </c>
      <c r="H188" s="318">
        <v>4.49</v>
      </c>
      <c r="I188" s="318">
        <v>1</v>
      </c>
      <c r="J188" s="318">
        <f t="shared" si="68"/>
        <v>1</v>
      </c>
      <c r="K188" s="318">
        <f t="shared" si="69"/>
        <v>4.49</v>
      </c>
      <c r="L188" s="318">
        <v>1063</v>
      </c>
      <c r="M188" s="318"/>
      <c r="N188" s="318">
        <v>1</v>
      </c>
      <c r="O188" s="619">
        <f t="shared" si="63"/>
        <v>4.49</v>
      </c>
      <c r="P188" s="750">
        <v>1</v>
      </c>
      <c r="Q188" s="750"/>
      <c r="R188" s="337">
        <v>1</v>
      </c>
      <c r="S188" s="348">
        <f t="shared" si="60"/>
        <v>4.49</v>
      </c>
      <c r="T188" s="319"/>
      <c r="V188" s="328">
        <v>4.49</v>
      </c>
      <c r="W188" s="320">
        <v>1</v>
      </c>
      <c r="X188" s="348">
        <f t="shared" si="70"/>
        <v>4.49</v>
      </c>
      <c r="Y188" s="330">
        <v>1</v>
      </c>
      <c r="Z188" s="348">
        <f t="shared" si="71"/>
        <v>4.49</v>
      </c>
      <c r="AB188" s="328">
        <f t="shared" si="72"/>
        <v>0</v>
      </c>
      <c r="AC188" s="328">
        <f t="shared" si="73"/>
        <v>0</v>
      </c>
    </row>
    <row r="189" spans="1:29">
      <c r="A189" s="318"/>
      <c r="B189" s="319"/>
      <c r="C189" s="318"/>
      <c r="D189" s="318"/>
      <c r="E189" s="319"/>
      <c r="F189" s="319"/>
      <c r="G189" s="318" t="s">
        <v>695</v>
      </c>
      <c r="H189" s="318">
        <v>4.49</v>
      </c>
      <c r="I189" s="318">
        <v>1</v>
      </c>
      <c r="J189" s="318">
        <f t="shared" si="68"/>
        <v>1</v>
      </c>
      <c r="K189" s="318">
        <f t="shared" si="69"/>
        <v>4.49</v>
      </c>
      <c r="L189" s="318">
        <v>1063</v>
      </c>
      <c r="M189" s="318"/>
      <c r="N189" s="318">
        <v>1</v>
      </c>
      <c r="O189" s="619">
        <f t="shared" si="63"/>
        <v>4.49</v>
      </c>
      <c r="P189" s="750">
        <v>1</v>
      </c>
      <c r="Q189" s="750"/>
      <c r="R189" s="337">
        <v>1</v>
      </c>
      <c r="S189" s="348">
        <f t="shared" si="60"/>
        <v>4.49</v>
      </c>
      <c r="T189" s="319"/>
      <c r="V189" s="328">
        <f>4.49+1.8</f>
        <v>6.29</v>
      </c>
      <c r="W189" s="320">
        <v>1</v>
      </c>
      <c r="X189" s="348">
        <f t="shared" si="70"/>
        <v>6.29</v>
      </c>
      <c r="Y189" s="330">
        <v>1</v>
      </c>
      <c r="Z189" s="348">
        <f t="shared" si="71"/>
        <v>6.29</v>
      </c>
      <c r="AB189" s="328">
        <f t="shared" si="72"/>
        <v>1.7999999999999998</v>
      </c>
      <c r="AC189" s="328">
        <f t="shared" si="73"/>
        <v>1.7999999999999998</v>
      </c>
    </row>
    <row r="190" spans="1:29">
      <c r="A190" s="318"/>
      <c r="B190" s="319"/>
      <c r="C190" s="318"/>
      <c r="D190" s="318"/>
      <c r="E190" s="319"/>
      <c r="F190" s="336" t="s">
        <v>696</v>
      </c>
      <c r="G190" s="318" t="s">
        <v>697</v>
      </c>
      <c r="H190" s="318">
        <v>4.9800000000000004</v>
      </c>
      <c r="I190" s="318">
        <v>1</v>
      </c>
      <c r="J190" s="318">
        <f t="shared" si="68"/>
        <v>1</v>
      </c>
      <c r="K190" s="318">
        <f t="shared" si="69"/>
        <v>4.9800000000000004</v>
      </c>
      <c r="L190" s="318">
        <v>1229</v>
      </c>
      <c r="M190" s="318" t="s">
        <v>350</v>
      </c>
      <c r="N190" s="318">
        <v>1</v>
      </c>
      <c r="O190" s="619">
        <f t="shared" si="63"/>
        <v>4.9800000000000004</v>
      </c>
      <c r="P190" s="750">
        <v>1</v>
      </c>
      <c r="Q190" s="750"/>
      <c r="R190" s="337">
        <v>1</v>
      </c>
      <c r="S190" s="348">
        <f t="shared" si="60"/>
        <v>4.9800000000000004</v>
      </c>
      <c r="T190" s="319"/>
      <c r="V190" s="328">
        <f>3.805-0.6</f>
        <v>3.2050000000000001</v>
      </c>
      <c r="W190" s="320">
        <v>1</v>
      </c>
      <c r="X190" s="348">
        <f t="shared" si="70"/>
        <v>3.2050000000000001</v>
      </c>
      <c r="Y190" s="330">
        <v>1</v>
      </c>
      <c r="Z190" s="348">
        <f t="shared" si="71"/>
        <v>3.2050000000000001</v>
      </c>
      <c r="AB190" s="328">
        <f t="shared" si="72"/>
        <v>-1.7750000000000004</v>
      </c>
      <c r="AC190" s="328">
        <f t="shared" si="73"/>
        <v>-1.7750000000000004</v>
      </c>
    </row>
    <row r="191" spans="1:29">
      <c r="A191" s="318"/>
      <c r="B191" s="319"/>
      <c r="C191" s="318"/>
      <c r="D191" s="318"/>
      <c r="E191" s="319"/>
      <c r="F191" s="319"/>
      <c r="G191" s="318" t="s">
        <v>698</v>
      </c>
      <c r="H191" s="318">
        <v>4.3499999999999996</v>
      </c>
      <c r="I191" s="318">
        <v>1</v>
      </c>
      <c r="J191" s="318">
        <f t="shared" si="68"/>
        <v>1</v>
      </c>
      <c r="K191" s="318">
        <f t="shared" si="69"/>
        <v>4.3499999999999996</v>
      </c>
      <c r="L191" s="318">
        <v>1060</v>
      </c>
      <c r="M191" s="318"/>
      <c r="N191" s="318">
        <v>1</v>
      </c>
      <c r="O191" s="619">
        <f t="shared" si="63"/>
        <v>4.3499999999999996</v>
      </c>
      <c r="P191" s="750">
        <v>1</v>
      </c>
      <c r="Q191" s="750"/>
      <c r="R191" s="337">
        <v>1</v>
      </c>
      <c r="S191" s="348">
        <f t="shared" si="60"/>
        <v>4.3499999999999996</v>
      </c>
      <c r="T191" s="319"/>
      <c r="V191" s="328">
        <f>4.34</f>
        <v>4.34</v>
      </c>
      <c r="W191" s="320">
        <v>1</v>
      </c>
      <c r="X191" s="348">
        <f t="shared" si="70"/>
        <v>4.34</v>
      </c>
      <c r="Y191" s="330">
        <v>1</v>
      </c>
      <c r="Z191" s="348">
        <f t="shared" si="71"/>
        <v>4.34</v>
      </c>
      <c r="AB191" s="328">
        <f t="shared" si="72"/>
        <v>-9.9999999999997868E-3</v>
      </c>
      <c r="AC191" s="328">
        <f t="shared" si="73"/>
        <v>-9.9999999999997868E-3</v>
      </c>
    </row>
    <row r="192" spans="1:29">
      <c r="A192" s="318"/>
      <c r="B192" s="319"/>
      <c r="C192" s="318"/>
      <c r="D192" s="318"/>
      <c r="E192" s="319"/>
      <c r="F192" s="319"/>
      <c r="G192" s="318" t="s">
        <v>699</v>
      </c>
      <c r="H192" s="318">
        <v>4.3499999999999996</v>
      </c>
      <c r="I192" s="318">
        <v>1</v>
      </c>
      <c r="J192" s="318">
        <f t="shared" si="68"/>
        <v>1</v>
      </c>
      <c r="K192" s="318">
        <f t="shared" si="69"/>
        <v>4.3499999999999996</v>
      </c>
      <c r="L192" s="318">
        <v>1060</v>
      </c>
      <c r="M192" s="318"/>
      <c r="N192" s="318">
        <v>1</v>
      </c>
      <c r="O192" s="619">
        <f t="shared" si="63"/>
        <v>4.3499999999999996</v>
      </c>
      <c r="P192" s="750">
        <v>1</v>
      </c>
      <c r="Q192" s="750"/>
      <c r="R192" s="337">
        <v>1</v>
      </c>
      <c r="S192" s="348">
        <f t="shared" si="60"/>
        <v>4.3499999999999996</v>
      </c>
      <c r="T192" s="319"/>
      <c r="V192" s="328">
        <f>4.34</f>
        <v>4.34</v>
      </c>
      <c r="W192" s="320">
        <v>1</v>
      </c>
      <c r="X192" s="348">
        <f t="shared" si="70"/>
        <v>4.34</v>
      </c>
      <c r="Y192" s="330">
        <v>1</v>
      </c>
      <c r="Z192" s="348">
        <f t="shared" si="71"/>
        <v>4.34</v>
      </c>
      <c r="AB192" s="328">
        <f t="shared" si="72"/>
        <v>-9.9999999999997868E-3</v>
      </c>
      <c r="AC192" s="328">
        <f t="shared" si="73"/>
        <v>-9.9999999999997868E-3</v>
      </c>
    </row>
    <row r="193" spans="1:29">
      <c r="A193" s="318"/>
      <c r="B193" s="319"/>
      <c r="C193" s="318"/>
      <c r="D193" s="318"/>
      <c r="E193" s="319"/>
      <c r="F193" s="319"/>
      <c r="G193" s="318" t="s">
        <v>700</v>
      </c>
      <c r="H193" s="318">
        <v>4.3499999999999996</v>
      </c>
      <c r="I193" s="318">
        <v>1</v>
      </c>
      <c r="J193" s="318">
        <f t="shared" si="68"/>
        <v>1</v>
      </c>
      <c r="K193" s="318">
        <f t="shared" si="69"/>
        <v>4.3499999999999996</v>
      </c>
      <c r="L193" s="318">
        <v>1060</v>
      </c>
      <c r="M193" s="318"/>
      <c r="N193" s="318">
        <v>1</v>
      </c>
      <c r="O193" s="619">
        <f t="shared" si="63"/>
        <v>4.3499999999999996</v>
      </c>
      <c r="P193" s="750">
        <v>1</v>
      </c>
      <c r="Q193" s="750"/>
      <c r="R193" s="337">
        <v>1</v>
      </c>
      <c r="S193" s="348">
        <f t="shared" si="60"/>
        <v>4.3499999999999996</v>
      </c>
      <c r="T193" s="319"/>
      <c r="V193" s="328">
        <f>4.34</f>
        <v>4.34</v>
      </c>
      <c r="W193" s="320">
        <v>1</v>
      </c>
      <c r="X193" s="348">
        <f t="shared" si="70"/>
        <v>4.34</v>
      </c>
      <c r="Y193" s="330">
        <v>1</v>
      </c>
      <c r="Z193" s="348">
        <f t="shared" si="71"/>
        <v>4.34</v>
      </c>
      <c r="AB193" s="328">
        <f t="shared" si="72"/>
        <v>-9.9999999999997868E-3</v>
      </c>
      <c r="AC193" s="328">
        <f t="shared" si="73"/>
        <v>-9.9999999999997868E-3</v>
      </c>
    </row>
    <row r="194" spans="1:29">
      <c r="A194" s="318"/>
      <c r="B194" s="319"/>
      <c r="C194" s="318"/>
      <c r="D194" s="318"/>
      <c r="E194" s="319"/>
      <c r="F194" s="319"/>
      <c r="G194" s="318" t="s">
        <v>701</v>
      </c>
      <c r="H194" s="318">
        <v>4.3499999999999996</v>
      </c>
      <c r="I194" s="318">
        <v>1</v>
      </c>
      <c r="J194" s="318">
        <f t="shared" si="68"/>
        <v>1</v>
      </c>
      <c r="K194" s="318">
        <f t="shared" si="69"/>
        <v>4.3499999999999996</v>
      </c>
      <c r="L194" s="318">
        <v>1063</v>
      </c>
      <c r="M194" s="318"/>
      <c r="N194" s="318">
        <v>1</v>
      </c>
      <c r="O194" s="619">
        <f t="shared" si="63"/>
        <v>4.3499999999999996</v>
      </c>
      <c r="P194" s="750">
        <v>1</v>
      </c>
      <c r="Q194" s="750"/>
      <c r="R194" s="337">
        <v>1</v>
      </c>
      <c r="S194" s="348">
        <f t="shared" si="60"/>
        <v>4.3499999999999996</v>
      </c>
      <c r="T194" s="319"/>
      <c r="V194" s="328">
        <f>4.34</f>
        <v>4.34</v>
      </c>
      <c r="W194" s="320">
        <v>1</v>
      </c>
      <c r="X194" s="348">
        <f t="shared" si="70"/>
        <v>4.34</v>
      </c>
      <c r="Y194" s="330">
        <v>1</v>
      </c>
      <c r="Z194" s="348">
        <f t="shared" si="71"/>
        <v>4.34</v>
      </c>
      <c r="AB194" s="328">
        <f t="shared" si="72"/>
        <v>-9.9999999999997868E-3</v>
      </c>
      <c r="AC194" s="328">
        <f t="shared" si="73"/>
        <v>-9.9999999999997868E-3</v>
      </c>
    </row>
    <row r="195" spans="1:29">
      <c r="A195" s="318"/>
      <c r="B195" s="319"/>
      <c r="C195" s="318"/>
      <c r="D195" s="318"/>
      <c r="E195" s="319"/>
      <c r="F195" s="336" t="s">
        <v>696</v>
      </c>
      <c r="G195" s="318" t="s">
        <v>702</v>
      </c>
      <c r="H195" s="318">
        <v>5.17</v>
      </c>
      <c r="I195" s="318">
        <v>1</v>
      </c>
      <c r="J195" s="318">
        <f t="shared" si="68"/>
        <v>1</v>
      </c>
      <c r="K195" s="318">
        <f t="shared" si="69"/>
        <v>5.17</v>
      </c>
      <c r="L195" s="318"/>
      <c r="M195" s="318"/>
      <c r="N195" s="318">
        <v>1</v>
      </c>
      <c r="O195" s="619">
        <f t="shared" si="63"/>
        <v>5.17</v>
      </c>
      <c r="P195" s="750">
        <v>1</v>
      </c>
      <c r="Q195" s="750"/>
      <c r="R195" s="337">
        <v>1</v>
      </c>
      <c r="S195" s="348">
        <f t="shared" si="60"/>
        <v>5.17</v>
      </c>
      <c r="T195" s="319"/>
      <c r="V195" s="328">
        <f>3.995-0.6</f>
        <v>3.395</v>
      </c>
      <c r="W195" s="320">
        <v>1</v>
      </c>
      <c r="X195" s="348">
        <f t="shared" si="70"/>
        <v>3.395</v>
      </c>
      <c r="Y195" s="330">
        <v>1</v>
      </c>
      <c r="Z195" s="348">
        <f t="shared" si="71"/>
        <v>3.395</v>
      </c>
      <c r="AB195" s="328">
        <f t="shared" si="72"/>
        <v>-1.7749999999999999</v>
      </c>
      <c r="AC195" s="328">
        <f t="shared" si="73"/>
        <v>-1.7749999999999999</v>
      </c>
    </row>
    <row r="196" spans="1:29">
      <c r="A196" s="318"/>
      <c r="B196" s="319"/>
      <c r="C196" s="318"/>
      <c r="D196" s="318"/>
      <c r="E196" s="319"/>
      <c r="F196" s="319"/>
      <c r="G196" s="318"/>
      <c r="H196" s="318"/>
      <c r="I196" s="318"/>
      <c r="J196" s="382" t="s">
        <v>389</v>
      </c>
      <c r="K196" s="321">
        <f>SUM(K151:K195)</f>
        <v>171.01999999999995</v>
      </c>
      <c r="L196" s="318"/>
      <c r="M196" s="318"/>
      <c r="N196" s="382" t="s">
        <v>389</v>
      </c>
      <c r="O196" s="748">
        <f>SUM(O151:O195)</f>
        <v>171.01999999999995</v>
      </c>
      <c r="P196" s="751" t="s">
        <v>389</v>
      </c>
      <c r="Q196" s="751"/>
      <c r="R196" s="382"/>
      <c r="S196" s="321">
        <f>SUM(S151:S195)</f>
        <v>171.01999999999995</v>
      </c>
      <c r="T196" s="319"/>
      <c r="V196" s="328"/>
      <c r="W196" s="321" t="s">
        <v>389</v>
      </c>
      <c r="X196" s="338">
        <f>SUM(X151:X195)</f>
        <v>161.69899999999998</v>
      </c>
      <c r="Y196" s="321" t="s">
        <v>389</v>
      </c>
      <c r="Z196" s="338">
        <f>SUM(Z151:Z195)</f>
        <v>159.45399999999998</v>
      </c>
      <c r="AB196" s="328"/>
      <c r="AC196" s="328"/>
    </row>
    <row r="197" spans="1:29" ht="6.75" customHeight="1">
      <c r="A197" s="316"/>
      <c r="B197" s="317"/>
      <c r="C197" s="316"/>
      <c r="D197" s="316"/>
      <c r="E197" s="317"/>
      <c r="F197" s="317"/>
      <c r="G197" s="316"/>
      <c r="H197" s="316"/>
      <c r="I197" s="316"/>
      <c r="J197" s="316"/>
      <c r="K197" s="316"/>
      <c r="L197" s="316"/>
      <c r="M197" s="316"/>
      <c r="N197" s="316"/>
      <c r="O197" s="749"/>
      <c r="P197" s="633"/>
      <c r="Q197" s="633"/>
      <c r="R197" s="949"/>
      <c r="S197" s="339"/>
      <c r="T197" s="317"/>
      <c r="V197" s="332"/>
      <c r="W197" s="316"/>
      <c r="X197" s="339"/>
      <c r="Y197" s="316"/>
      <c r="Z197" s="339"/>
      <c r="AB197" s="332"/>
      <c r="AC197" s="332"/>
    </row>
    <row r="198" spans="1:29">
      <c r="A198" s="318">
        <v>5</v>
      </c>
      <c r="B198" s="319" t="s">
        <v>383</v>
      </c>
      <c r="C198" s="318">
        <v>600</v>
      </c>
      <c r="D198" s="318">
        <v>10</v>
      </c>
      <c r="E198" s="319">
        <v>1</v>
      </c>
      <c r="F198" s="319"/>
      <c r="G198" s="318" t="s">
        <v>703</v>
      </c>
      <c r="H198" s="318">
        <v>2.79</v>
      </c>
      <c r="I198" s="318">
        <v>1</v>
      </c>
      <c r="J198" s="318">
        <f t="shared" ref="J198:J231" si="74">IF(N198&gt;0,1,0)</f>
        <v>1</v>
      </c>
      <c r="K198" s="318">
        <f t="shared" ref="K198:K232" si="75">H198*J198</f>
        <v>2.79</v>
      </c>
      <c r="L198" s="318">
        <v>1428</v>
      </c>
      <c r="M198" s="318">
        <v>106</v>
      </c>
      <c r="N198" s="318">
        <v>1</v>
      </c>
      <c r="O198" s="619">
        <f t="shared" ref="O198:O217" si="76">H198*N198</f>
        <v>2.79</v>
      </c>
      <c r="P198" s="750">
        <v>1</v>
      </c>
      <c r="Q198" s="750"/>
      <c r="R198" s="337">
        <v>1</v>
      </c>
      <c r="S198" s="348">
        <f>H198*R198</f>
        <v>2.79</v>
      </c>
      <c r="T198" s="319"/>
      <c r="V198" s="328">
        <v>2.7869999999999999</v>
      </c>
      <c r="W198" s="320">
        <v>1</v>
      </c>
      <c r="X198" s="348">
        <f t="shared" ref="X198:X232" si="77">V198*W198</f>
        <v>2.7869999999999999</v>
      </c>
      <c r="Y198" s="330">
        <v>1</v>
      </c>
      <c r="Z198" s="348">
        <f t="shared" ref="Z198:Z232" si="78">V198*Y198</f>
        <v>2.7869999999999999</v>
      </c>
      <c r="AB198" s="328">
        <f t="shared" ref="AB198:AB232" si="79">X198-O198</f>
        <v>-3.0000000000001137E-3</v>
      </c>
      <c r="AC198" s="328">
        <f t="shared" ref="AC198:AC232" si="80">Z198-S198</f>
        <v>-3.0000000000001137E-3</v>
      </c>
    </row>
    <row r="199" spans="1:29">
      <c r="A199" s="318"/>
      <c r="B199" s="319"/>
      <c r="C199" s="318"/>
      <c r="D199" s="318"/>
      <c r="E199" s="319"/>
      <c r="F199" s="319"/>
      <c r="G199" s="318" t="s">
        <v>704</v>
      </c>
      <c r="H199" s="318">
        <v>3.03</v>
      </c>
      <c r="I199" s="318">
        <v>1</v>
      </c>
      <c r="J199" s="318">
        <f t="shared" si="74"/>
        <v>1</v>
      </c>
      <c r="K199" s="318">
        <f t="shared" si="75"/>
        <v>3.03</v>
      </c>
      <c r="L199" s="318">
        <v>1672</v>
      </c>
      <c r="M199" s="318">
        <v>152</v>
      </c>
      <c r="N199" s="318">
        <v>1</v>
      </c>
      <c r="O199" s="619">
        <f t="shared" si="76"/>
        <v>3.03</v>
      </c>
      <c r="P199" s="750">
        <v>1</v>
      </c>
      <c r="Q199" s="750"/>
      <c r="R199" s="337">
        <v>1</v>
      </c>
      <c r="S199" s="348">
        <f>H199*R199</f>
        <v>3.03</v>
      </c>
      <c r="T199" s="319"/>
      <c r="V199" s="328">
        <f>2.45+1.205-0.6</f>
        <v>3.0550000000000002</v>
      </c>
      <c r="W199" s="320">
        <v>1</v>
      </c>
      <c r="X199" s="348">
        <f t="shared" si="77"/>
        <v>3.0550000000000002</v>
      </c>
      <c r="Y199" s="330">
        <v>1</v>
      </c>
      <c r="Z199" s="348">
        <f t="shared" si="78"/>
        <v>3.0550000000000002</v>
      </c>
      <c r="AB199" s="328">
        <f t="shared" si="79"/>
        <v>2.5000000000000355E-2</v>
      </c>
      <c r="AC199" s="328">
        <f t="shared" si="80"/>
        <v>2.5000000000000355E-2</v>
      </c>
    </row>
    <row r="200" spans="1:29">
      <c r="A200" s="318"/>
      <c r="B200" s="319"/>
      <c r="C200" s="318"/>
      <c r="D200" s="318"/>
      <c r="E200" s="319"/>
      <c r="F200" s="319"/>
      <c r="G200" s="318" t="s">
        <v>705</v>
      </c>
      <c r="H200" s="318">
        <v>4.49</v>
      </c>
      <c r="I200" s="318">
        <v>1</v>
      </c>
      <c r="J200" s="318">
        <f t="shared" si="74"/>
        <v>1</v>
      </c>
      <c r="K200" s="318">
        <f t="shared" si="75"/>
        <v>4.49</v>
      </c>
      <c r="L200" s="318">
        <v>1205</v>
      </c>
      <c r="M200" s="318" t="s">
        <v>201</v>
      </c>
      <c r="N200" s="318">
        <v>1</v>
      </c>
      <c r="O200" s="619">
        <f t="shared" si="76"/>
        <v>4.49</v>
      </c>
      <c r="P200" s="750">
        <v>1</v>
      </c>
      <c r="Q200" s="750"/>
      <c r="R200" s="337">
        <v>1</v>
      </c>
      <c r="S200" s="348">
        <f t="shared" ref="S200:S240" si="81">H200*R200</f>
        <v>4.49</v>
      </c>
      <c r="T200" s="319"/>
      <c r="V200" s="328">
        <f t="shared" ref="V200:V213" si="82">4.49</f>
        <v>4.49</v>
      </c>
      <c r="W200" s="320">
        <v>1</v>
      </c>
      <c r="X200" s="348">
        <f t="shared" si="77"/>
        <v>4.49</v>
      </c>
      <c r="Y200" s="330">
        <v>1</v>
      </c>
      <c r="Z200" s="348">
        <f t="shared" si="78"/>
        <v>4.49</v>
      </c>
      <c r="AB200" s="328">
        <f t="shared" si="79"/>
        <v>0</v>
      </c>
      <c r="AC200" s="328">
        <f t="shared" si="80"/>
        <v>0</v>
      </c>
    </row>
    <row r="201" spans="1:29">
      <c r="A201" s="318"/>
      <c r="B201" s="319"/>
      <c r="C201" s="318"/>
      <c r="D201" s="318"/>
      <c r="E201" s="319"/>
      <c r="F201" s="319"/>
      <c r="G201" s="318" t="s">
        <v>706</v>
      </c>
      <c r="H201" s="318">
        <v>4.49</v>
      </c>
      <c r="I201" s="318">
        <v>1</v>
      </c>
      <c r="J201" s="318">
        <f t="shared" si="74"/>
        <v>1</v>
      </c>
      <c r="K201" s="318">
        <f t="shared" si="75"/>
        <v>4.49</v>
      </c>
      <c r="L201" s="318">
        <v>1201</v>
      </c>
      <c r="M201" s="318" t="s">
        <v>199</v>
      </c>
      <c r="N201" s="318">
        <v>1</v>
      </c>
      <c r="O201" s="619">
        <f t="shared" si="76"/>
        <v>4.49</v>
      </c>
      <c r="P201" s="750">
        <v>1</v>
      </c>
      <c r="Q201" s="750"/>
      <c r="R201" s="337">
        <v>1</v>
      </c>
      <c r="S201" s="348">
        <f t="shared" si="81"/>
        <v>4.49</v>
      </c>
      <c r="T201" s="319"/>
      <c r="V201" s="328">
        <f t="shared" si="82"/>
        <v>4.49</v>
      </c>
      <c r="W201" s="320">
        <v>1</v>
      </c>
      <c r="X201" s="348">
        <f t="shared" si="77"/>
        <v>4.49</v>
      </c>
      <c r="Y201" s="330">
        <v>0.5</v>
      </c>
      <c r="Z201" s="348">
        <f t="shared" si="78"/>
        <v>2.2450000000000001</v>
      </c>
      <c r="AB201" s="328">
        <f t="shared" si="79"/>
        <v>0</v>
      </c>
      <c r="AC201" s="328">
        <f t="shared" si="80"/>
        <v>-2.2450000000000001</v>
      </c>
    </row>
    <row r="202" spans="1:29">
      <c r="A202" s="318"/>
      <c r="B202" s="319"/>
      <c r="C202" s="318"/>
      <c r="D202" s="318"/>
      <c r="E202" s="319"/>
      <c r="F202" s="319"/>
      <c r="G202" s="318" t="s">
        <v>707</v>
      </c>
      <c r="H202" s="318">
        <v>4.49</v>
      </c>
      <c r="I202" s="318">
        <v>1</v>
      </c>
      <c r="J202" s="318">
        <f t="shared" si="74"/>
        <v>1</v>
      </c>
      <c r="K202" s="318">
        <f t="shared" si="75"/>
        <v>4.49</v>
      </c>
      <c r="L202" s="318">
        <v>1201</v>
      </c>
      <c r="M202" s="318" t="s">
        <v>199</v>
      </c>
      <c r="N202" s="318">
        <v>1</v>
      </c>
      <c r="O202" s="619">
        <f t="shared" si="76"/>
        <v>4.49</v>
      </c>
      <c r="P202" s="750">
        <v>1</v>
      </c>
      <c r="Q202" s="750"/>
      <c r="R202" s="337">
        <v>1</v>
      </c>
      <c r="S202" s="348">
        <f t="shared" si="81"/>
        <v>4.49</v>
      </c>
      <c r="T202" s="319"/>
      <c r="V202" s="328">
        <f t="shared" si="82"/>
        <v>4.49</v>
      </c>
      <c r="W202" s="320">
        <v>1</v>
      </c>
      <c r="X202" s="348">
        <f t="shared" si="77"/>
        <v>4.49</v>
      </c>
      <c r="Y202" s="330">
        <v>1</v>
      </c>
      <c r="Z202" s="348">
        <f t="shared" si="78"/>
        <v>4.49</v>
      </c>
      <c r="AB202" s="328">
        <f t="shared" si="79"/>
        <v>0</v>
      </c>
      <c r="AC202" s="328">
        <f t="shared" si="80"/>
        <v>0</v>
      </c>
    </row>
    <row r="203" spans="1:29">
      <c r="A203" s="318"/>
      <c r="B203" s="319"/>
      <c r="C203" s="318"/>
      <c r="D203" s="318"/>
      <c r="E203" s="319"/>
      <c r="F203" s="319"/>
      <c r="G203" s="318" t="s">
        <v>708</v>
      </c>
      <c r="H203" s="318">
        <v>4.49</v>
      </c>
      <c r="I203" s="318">
        <v>1</v>
      </c>
      <c r="J203" s="318">
        <f t="shared" si="74"/>
        <v>1</v>
      </c>
      <c r="K203" s="318">
        <f t="shared" si="75"/>
        <v>4.49</v>
      </c>
      <c r="L203" s="318">
        <v>1201</v>
      </c>
      <c r="M203" s="318" t="s">
        <v>200</v>
      </c>
      <c r="N203" s="318">
        <v>1</v>
      </c>
      <c r="O203" s="619">
        <f t="shared" si="76"/>
        <v>4.49</v>
      </c>
      <c r="P203" s="750">
        <v>1</v>
      </c>
      <c r="Q203" s="750"/>
      <c r="R203" s="337">
        <v>1</v>
      </c>
      <c r="S203" s="348">
        <f t="shared" si="81"/>
        <v>4.49</v>
      </c>
      <c r="T203" s="319"/>
      <c r="V203" s="328">
        <f t="shared" si="82"/>
        <v>4.49</v>
      </c>
      <c r="W203" s="320">
        <v>1</v>
      </c>
      <c r="X203" s="348">
        <f t="shared" si="77"/>
        <v>4.49</v>
      </c>
      <c r="Y203" s="330">
        <v>1</v>
      </c>
      <c r="Z203" s="348">
        <f t="shared" si="78"/>
        <v>4.49</v>
      </c>
      <c r="AB203" s="328">
        <f t="shared" si="79"/>
        <v>0</v>
      </c>
      <c r="AC203" s="328">
        <f t="shared" si="80"/>
        <v>0</v>
      </c>
    </row>
    <row r="204" spans="1:29">
      <c r="A204" s="318"/>
      <c r="B204" s="319"/>
      <c r="C204" s="318"/>
      <c r="D204" s="318"/>
      <c r="E204" s="319"/>
      <c r="F204" s="319"/>
      <c r="G204" s="318" t="s">
        <v>709</v>
      </c>
      <c r="H204" s="318">
        <v>4.49</v>
      </c>
      <c r="I204" s="318">
        <v>1</v>
      </c>
      <c r="J204" s="318">
        <f t="shared" si="74"/>
        <v>1</v>
      </c>
      <c r="K204" s="318">
        <f t="shared" si="75"/>
        <v>4.49</v>
      </c>
      <c r="L204" s="318">
        <v>1201</v>
      </c>
      <c r="M204" s="318" t="s">
        <v>200</v>
      </c>
      <c r="N204" s="318">
        <v>1</v>
      </c>
      <c r="O204" s="619">
        <f t="shared" si="76"/>
        <v>4.49</v>
      </c>
      <c r="P204" s="750">
        <v>1</v>
      </c>
      <c r="Q204" s="750"/>
      <c r="R204" s="337">
        <v>1</v>
      </c>
      <c r="S204" s="348">
        <f t="shared" si="81"/>
        <v>4.49</v>
      </c>
      <c r="T204" s="319"/>
      <c r="V204" s="328">
        <f t="shared" si="82"/>
        <v>4.49</v>
      </c>
      <c r="W204" s="320">
        <v>1</v>
      </c>
      <c r="X204" s="348">
        <f t="shared" si="77"/>
        <v>4.49</v>
      </c>
      <c r="Y204" s="330">
        <v>1</v>
      </c>
      <c r="Z204" s="348">
        <f t="shared" si="78"/>
        <v>4.49</v>
      </c>
      <c r="AB204" s="328">
        <f t="shared" si="79"/>
        <v>0</v>
      </c>
      <c r="AC204" s="328">
        <f t="shared" si="80"/>
        <v>0</v>
      </c>
    </row>
    <row r="205" spans="1:29">
      <c r="A205" s="318"/>
      <c r="B205" s="319"/>
      <c r="C205" s="318"/>
      <c r="D205" s="318"/>
      <c r="E205" s="319"/>
      <c r="F205" s="319"/>
      <c r="G205" s="318" t="s">
        <v>710</v>
      </c>
      <c r="H205" s="318">
        <v>4.49</v>
      </c>
      <c r="I205" s="318">
        <v>1</v>
      </c>
      <c r="J205" s="318">
        <f t="shared" si="74"/>
        <v>1</v>
      </c>
      <c r="K205" s="318">
        <f t="shared" si="75"/>
        <v>4.49</v>
      </c>
      <c r="L205" s="318">
        <v>1205</v>
      </c>
      <c r="M205" s="318" t="s">
        <v>201</v>
      </c>
      <c r="N205" s="318">
        <v>1</v>
      </c>
      <c r="O205" s="619">
        <f t="shared" si="76"/>
        <v>4.49</v>
      </c>
      <c r="P205" s="750">
        <v>1</v>
      </c>
      <c r="Q205" s="750"/>
      <c r="R205" s="337">
        <v>1</v>
      </c>
      <c r="S205" s="348">
        <f t="shared" si="81"/>
        <v>4.49</v>
      </c>
      <c r="T205" s="319"/>
      <c r="V205" s="328">
        <f t="shared" si="82"/>
        <v>4.49</v>
      </c>
      <c r="W205" s="320">
        <v>1</v>
      </c>
      <c r="X205" s="348">
        <f t="shared" si="77"/>
        <v>4.49</v>
      </c>
      <c r="Y205" s="330">
        <v>1</v>
      </c>
      <c r="Z205" s="348">
        <f t="shared" si="78"/>
        <v>4.49</v>
      </c>
      <c r="AB205" s="328">
        <f t="shared" si="79"/>
        <v>0</v>
      </c>
      <c r="AC205" s="328">
        <f t="shared" si="80"/>
        <v>0</v>
      </c>
    </row>
    <row r="206" spans="1:29">
      <c r="A206" s="318"/>
      <c r="B206" s="319"/>
      <c r="C206" s="318"/>
      <c r="D206" s="318"/>
      <c r="E206" s="319"/>
      <c r="F206" s="319"/>
      <c r="G206" s="318" t="s">
        <v>711</v>
      </c>
      <c r="H206" s="318">
        <v>4.49</v>
      </c>
      <c r="I206" s="318">
        <v>1</v>
      </c>
      <c r="J206" s="318">
        <f t="shared" si="74"/>
        <v>1</v>
      </c>
      <c r="K206" s="318">
        <f t="shared" si="75"/>
        <v>4.49</v>
      </c>
      <c r="L206" s="318">
        <v>1201</v>
      </c>
      <c r="M206" s="318" t="s">
        <v>199</v>
      </c>
      <c r="N206" s="318">
        <v>1</v>
      </c>
      <c r="O206" s="619">
        <f t="shared" si="76"/>
        <v>4.49</v>
      </c>
      <c r="P206" s="750">
        <v>1</v>
      </c>
      <c r="Q206" s="750"/>
      <c r="R206" s="337">
        <v>1</v>
      </c>
      <c r="S206" s="348">
        <f t="shared" si="81"/>
        <v>4.49</v>
      </c>
      <c r="T206" s="319"/>
      <c r="V206" s="328">
        <f t="shared" si="82"/>
        <v>4.49</v>
      </c>
      <c r="W206" s="320">
        <v>1</v>
      </c>
      <c r="X206" s="348">
        <f t="shared" si="77"/>
        <v>4.49</v>
      </c>
      <c r="Y206" s="330">
        <v>1</v>
      </c>
      <c r="Z206" s="348">
        <f t="shared" si="78"/>
        <v>4.49</v>
      </c>
      <c r="AB206" s="328">
        <f t="shared" si="79"/>
        <v>0</v>
      </c>
      <c r="AC206" s="328">
        <f t="shared" si="80"/>
        <v>0</v>
      </c>
    </row>
    <row r="207" spans="1:29">
      <c r="A207" s="318"/>
      <c r="B207" s="319"/>
      <c r="C207" s="318"/>
      <c r="D207" s="318"/>
      <c r="E207" s="319"/>
      <c r="F207" s="319"/>
      <c r="G207" s="318" t="s">
        <v>712</v>
      </c>
      <c r="H207" s="318">
        <v>4.49</v>
      </c>
      <c r="I207" s="318">
        <v>1</v>
      </c>
      <c r="J207" s="318">
        <f t="shared" si="74"/>
        <v>1</v>
      </c>
      <c r="K207" s="318">
        <f t="shared" si="75"/>
        <v>4.49</v>
      </c>
      <c r="L207" s="318">
        <v>1201</v>
      </c>
      <c r="M207" s="318" t="s">
        <v>199</v>
      </c>
      <c r="N207" s="318">
        <v>1</v>
      </c>
      <c r="O207" s="619">
        <f t="shared" si="76"/>
        <v>4.49</v>
      </c>
      <c r="P207" s="750">
        <v>1</v>
      </c>
      <c r="Q207" s="750"/>
      <c r="R207" s="337">
        <v>1</v>
      </c>
      <c r="S207" s="348">
        <f t="shared" si="81"/>
        <v>4.49</v>
      </c>
      <c r="T207" s="319"/>
      <c r="V207" s="328">
        <f t="shared" si="82"/>
        <v>4.49</v>
      </c>
      <c r="W207" s="320">
        <v>1</v>
      </c>
      <c r="X207" s="348">
        <f t="shared" si="77"/>
        <v>4.49</v>
      </c>
      <c r="Y207" s="330">
        <v>1</v>
      </c>
      <c r="Z207" s="348">
        <f t="shared" si="78"/>
        <v>4.49</v>
      </c>
      <c r="AB207" s="328">
        <f t="shared" si="79"/>
        <v>0</v>
      </c>
      <c r="AC207" s="328">
        <f t="shared" si="80"/>
        <v>0</v>
      </c>
    </row>
    <row r="208" spans="1:29">
      <c r="A208" s="318"/>
      <c r="B208" s="319"/>
      <c r="C208" s="318"/>
      <c r="D208" s="318"/>
      <c r="E208" s="319"/>
      <c r="F208" s="319"/>
      <c r="G208" s="318" t="s">
        <v>713</v>
      </c>
      <c r="H208" s="318">
        <v>4.49</v>
      </c>
      <c r="I208" s="318">
        <v>1</v>
      </c>
      <c r="J208" s="318">
        <f t="shared" si="74"/>
        <v>1</v>
      </c>
      <c r="K208" s="318">
        <f t="shared" si="75"/>
        <v>4.49</v>
      </c>
      <c r="L208" s="318">
        <v>1201</v>
      </c>
      <c r="M208" s="318" t="s">
        <v>199</v>
      </c>
      <c r="N208" s="318">
        <v>1</v>
      </c>
      <c r="O208" s="619">
        <f t="shared" si="76"/>
        <v>4.49</v>
      </c>
      <c r="P208" s="750">
        <v>1</v>
      </c>
      <c r="Q208" s="750"/>
      <c r="R208" s="337">
        <v>1</v>
      </c>
      <c r="S208" s="348">
        <f t="shared" si="81"/>
        <v>4.49</v>
      </c>
      <c r="T208" s="319"/>
      <c r="V208" s="328">
        <f t="shared" si="82"/>
        <v>4.49</v>
      </c>
      <c r="W208" s="320">
        <v>1</v>
      </c>
      <c r="X208" s="348">
        <f t="shared" si="77"/>
        <v>4.49</v>
      </c>
      <c r="Y208" s="330">
        <v>1</v>
      </c>
      <c r="Z208" s="348">
        <f t="shared" si="78"/>
        <v>4.49</v>
      </c>
      <c r="AB208" s="328">
        <f t="shared" si="79"/>
        <v>0</v>
      </c>
      <c r="AC208" s="328">
        <f t="shared" si="80"/>
        <v>0</v>
      </c>
    </row>
    <row r="209" spans="1:29">
      <c r="A209" s="318"/>
      <c r="B209" s="319"/>
      <c r="C209" s="318"/>
      <c r="D209" s="318"/>
      <c r="E209" s="319"/>
      <c r="F209" s="319"/>
      <c r="G209" s="318" t="s">
        <v>714</v>
      </c>
      <c r="H209" s="318">
        <v>4.49</v>
      </c>
      <c r="I209" s="318">
        <v>1</v>
      </c>
      <c r="J209" s="318">
        <f t="shared" si="74"/>
        <v>1</v>
      </c>
      <c r="K209" s="318">
        <f t="shared" si="75"/>
        <v>4.49</v>
      </c>
      <c r="L209" s="318">
        <v>1201</v>
      </c>
      <c r="M209" s="318" t="s">
        <v>199</v>
      </c>
      <c r="N209" s="318">
        <v>1</v>
      </c>
      <c r="O209" s="619">
        <f t="shared" si="76"/>
        <v>4.49</v>
      </c>
      <c r="P209" s="750">
        <v>1</v>
      </c>
      <c r="Q209" s="750"/>
      <c r="R209" s="337">
        <v>1</v>
      </c>
      <c r="S209" s="348">
        <f t="shared" si="81"/>
        <v>4.49</v>
      </c>
      <c r="T209" s="319"/>
      <c r="V209" s="328">
        <f t="shared" si="82"/>
        <v>4.49</v>
      </c>
      <c r="W209" s="320">
        <v>1</v>
      </c>
      <c r="X209" s="348">
        <f t="shared" si="77"/>
        <v>4.49</v>
      </c>
      <c r="Y209" s="330">
        <v>1</v>
      </c>
      <c r="Z209" s="348">
        <f t="shared" si="78"/>
        <v>4.49</v>
      </c>
      <c r="AB209" s="328">
        <f t="shared" si="79"/>
        <v>0</v>
      </c>
      <c r="AC209" s="328">
        <f t="shared" si="80"/>
        <v>0</v>
      </c>
    </row>
    <row r="210" spans="1:29">
      <c r="A210" s="318"/>
      <c r="B210" s="319"/>
      <c r="C210" s="318"/>
      <c r="D210" s="318"/>
      <c r="E210" s="319"/>
      <c r="F210" s="319"/>
      <c r="G210" s="318" t="s">
        <v>715</v>
      </c>
      <c r="H210" s="318">
        <v>4.49</v>
      </c>
      <c r="I210" s="318">
        <v>1</v>
      </c>
      <c r="J210" s="318">
        <f t="shared" si="74"/>
        <v>1</v>
      </c>
      <c r="K210" s="318">
        <f t="shared" si="75"/>
        <v>4.49</v>
      </c>
      <c r="L210" s="318">
        <v>1199</v>
      </c>
      <c r="M210" s="318" t="s">
        <v>198</v>
      </c>
      <c r="N210" s="318">
        <v>1</v>
      </c>
      <c r="O210" s="619">
        <f t="shared" si="76"/>
        <v>4.49</v>
      </c>
      <c r="P210" s="750">
        <v>1</v>
      </c>
      <c r="Q210" s="750"/>
      <c r="R210" s="337">
        <v>1</v>
      </c>
      <c r="S210" s="348">
        <f t="shared" si="81"/>
        <v>4.49</v>
      </c>
      <c r="T210" s="319"/>
      <c r="V210" s="328">
        <f t="shared" si="82"/>
        <v>4.49</v>
      </c>
      <c r="W210" s="320">
        <v>1</v>
      </c>
      <c r="X210" s="348">
        <f t="shared" si="77"/>
        <v>4.49</v>
      </c>
      <c r="Y210" s="330">
        <v>1</v>
      </c>
      <c r="Z210" s="348">
        <f t="shared" si="78"/>
        <v>4.49</v>
      </c>
      <c r="AB210" s="328">
        <f t="shared" si="79"/>
        <v>0</v>
      </c>
      <c r="AC210" s="328">
        <f t="shared" si="80"/>
        <v>0</v>
      </c>
    </row>
    <row r="211" spans="1:29">
      <c r="A211" s="318"/>
      <c r="B211" s="319"/>
      <c r="C211" s="318"/>
      <c r="D211" s="318"/>
      <c r="E211" s="319"/>
      <c r="F211" s="319"/>
      <c r="G211" s="318" t="s">
        <v>716</v>
      </c>
      <c r="H211" s="318">
        <v>4.49</v>
      </c>
      <c r="I211" s="318">
        <v>1</v>
      </c>
      <c r="J211" s="318">
        <f t="shared" si="74"/>
        <v>1</v>
      </c>
      <c r="K211" s="318">
        <f t="shared" si="75"/>
        <v>4.49</v>
      </c>
      <c r="L211" s="318">
        <v>1201</v>
      </c>
      <c r="M211" s="318" t="s">
        <v>199</v>
      </c>
      <c r="N211" s="318">
        <v>1</v>
      </c>
      <c r="O211" s="619">
        <f t="shared" si="76"/>
        <v>4.49</v>
      </c>
      <c r="P211" s="750">
        <v>1</v>
      </c>
      <c r="Q211" s="750"/>
      <c r="R211" s="337">
        <v>1</v>
      </c>
      <c r="S211" s="348">
        <f t="shared" si="81"/>
        <v>4.49</v>
      </c>
      <c r="T211" s="319"/>
      <c r="V211" s="328">
        <f t="shared" si="82"/>
        <v>4.49</v>
      </c>
      <c r="W211" s="320">
        <v>1</v>
      </c>
      <c r="X211" s="348">
        <f t="shared" si="77"/>
        <v>4.49</v>
      </c>
      <c r="Y211" s="330">
        <v>1</v>
      </c>
      <c r="Z211" s="348">
        <f t="shared" si="78"/>
        <v>4.49</v>
      </c>
      <c r="AB211" s="328">
        <f t="shared" si="79"/>
        <v>0</v>
      </c>
      <c r="AC211" s="328">
        <f t="shared" si="80"/>
        <v>0</v>
      </c>
    </row>
    <row r="212" spans="1:29">
      <c r="A212" s="318"/>
      <c r="B212" s="319"/>
      <c r="C212" s="318"/>
      <c r="D212" s="318"/>
      <c r="E212" s="319"/>
      <c r="F212" s="319"/>
      <c r="G212" s="318" t="s">
        <v>717</v>
      </c>
      <c r="H212" s="318">
        <v>4.49</v>
      </c>
      <c r="I212" s="318">
        <v>1</v>
      </c>
      <c r="J212" s="318">
        <f t="shared" si="74"/>
        <v>1</v>
      </c>
      <c r="K212" s="318">
        <f t="shared" si="75"/>
        <v>4.49</v>
      </c>
      <c r="L212" s="318">
        <v>1218</v>
      </c>
      <c r="M212" s="318" t="s">
        <v>207</v>
      </c>
      <c r="N212" s="318">
        <v>1</v>
      </c>
      <c r="O212" s="619">
        <f t="shared" si="76"/>
        <v>4.49</v>
      </c>
      <c r="P212" s="750">
        <v>1</v>
      </c>
      <c r="Q212" s="750"/>
      <c r="R212" s="337">
        <v>1</v>
      </c>
      <c r="S212" s="348">
        <f t="shared" si="81"/>
        <v>4.49</v>
      </c>
      <c r="T212" s="319"/>
      <c r="V212" s="328">
        <f t="shared" si="82"/>
        <v>4.49</v>
      </c>
      <c r="W212" s="320">
        <v>1</v>
      </c>
      <c r="X212" s="348">
        <f t="shared" si="77"/>
        <v>4.49</v>
      </c>
      <c r="Y212" s="330">
        <v>1</v>
      </c>
      <c r="Z212" s="348">
        <f t="shared" si="78"/>
        <v>4.49</v>
      </c>
      <c r="AB212" s="328">
        <f t="shared" si="79"/>
        <v>0</v>
      </c>
      <c r="AC212" s="328">
        <f t="shared" si="80"/>
        <v>0</v>
      </c>
    </row>
    <row r="213" spans="1:29">
      <c r="A213" s="318"/>
      <c r="B213" s="319"/>
      <c r="C213" s="318"/>
      <c r="D213" s="318"/>
      <c r="E213" s="319"/>
      <c r="F213" s="319"/>
      <c r="G213" s="318" t="s">
        <v>718</v>
      </c>
      <c r="H213" s="318">
        <v>4.49</v>
      </c>
      <c r="I213" s="318">
        <v>1</v>
      </c>
      <c r="J213" s="318">
        <f t="shared" si="74"/>
        <v>1</v>
      </c>
      <c r="K213" s="318">
        <f t="shared" si="75"/>
        <v>4.49</v>
      </c>
      <c r="L213" s="318">
        <v>1201</v>
      </c>
      <c r="M213" s="318" t="s">
        <v>199</v>
      </c>
      <c r="N213" s="318">
        <v>1</v>
      </c>
      <c r="O213" s="619">
        <f t="shared" si="76"/>
        <v>4.49</v>
      </c>
      <c r="P213" s="750">
        <v>1</v>
      </c>
      <c r="Q213" s="750"/>
      <c r="R213" s="337">
        <v>1</v>
      </c>
      <c r="S213" s="348">
        <f t="shared" si="81"/>
        <v>4.49</v>
      </c>
      <c r="T213" s="319"/>
      <c r="V213" s="328">
        <f t="shared" si="82"/>
        <v>4.49</v>
      </c>
      <c r="W213" s="320">
        <v>1</v>
      </c>
      <c r="X213" s="348">
        <f t="shared" si="77"/>
        <v>4.49</v>
      </c>
      <c r="Y213" s="330">
        <v>1</v>
      </c>
      <c r="Z213" s="348">
        <f t="shared" si="78"/>
        <v>4.49</v>
      </c>
      <c r="AB213" s="328">
        <f t="shared" si="79"/>
        <v>0</v>
      </c>
      <c r="AC213" s="328">
        <f t="shared" si="80"/>
        <v>0</v>
      </c>
    </row>
    <row r="214" spans="1:29">
      <c r="A214" s="318"/>
      <c r="B214" s="319"/>
      <c r="C214" s="318"/>
      <c r="D214" s="318"/>
      <c r="E214" s="319"/>
      <c r="F214" s="319"/>
      <c r="G214" s="318" t="s">
        <v>719</v>
      </c>
      <c r="H214" s="318">
        <v>4.49</v>
      </c>
      <c r="I214" s="318">
        <v>1</v>
      </c>
      <c r="J214" s="318">
        <f t="shared" si="74"/>
        <v>1</v>
      </c>
      <c r="K214" s="318">
        <f t="shared" si="75"/>
        <v>4.49</v>
      </c>
      <c r="L214" s="318">
        <v>1205</v>
      </c>
      <c r="M214" s="318" t="s">
        <v>201</v>
      </c>
      <c r="N214" s="318">
        <v>1</v>
      </c>
      <c r="O214" s="619">
        <f t="shared" si="76"/>
        <v>4.49</v>
      </c>
      <c r="P214" s="750">
        <v>1</v>
      </c>
      <c r="Q214" s="750"/>
      <c r="R214" s="337">
        <v>1</v>
      </c>
      <c r="S214" s="348">
        <f t="shared" si="81"/>
        <v>4.49</v>
      </c>
      <c r="T214" s="319"/>
      <c r="V214" s="328">
        <v>3.3650000000000002</v>
      </c>
      <c r="W214" s="320">
        <v>1</v>
      </c>
      <c r="X214" s="348">
        <f t="shared" si="77"/>
        <v>3.3650000000000002</v>
      </c>
      <c r="Y214" s="330">
        <v>1</v>
      </c>
      <c r="Z214" s="348">
        <f t="shared" si="78"/>
        <v>3.3650000000000002</v>
      </c>
      <c r="AB214" s="328">
        <f t="shared" si="79"/>
        <v>-1.125</v>
      </c>
      <c r="AC214" s="328">
        <f t="shared" si="80"/>
        <v>-1.125</v>
      </c>
    </row>
    <row r="215" spans="1:29">
      <c r="A215" s="318"/>
      <c r="B215" s="319"/>
      <c r="C215" s="318"/>
      <c r="D215" s="318"/>
      <c r="E215" s="319"/>
      <c r="F215" s="319"/>
      <c r="G215" s="318" t="s">
        <v>720</v>
      </c>
      <c r="H215" s="318">
        <v>2.2599999999999998</v>
      </c>
      <c r="I215" s="318">
        <v>1</v>
      </c>
      <c r="J215" s="318">
        <f t="shared" si="74"/>
        <v>1</v>
      </c>
      <c r="K215" s="318">
        <f t="shared" si="75"/>
        <v>2.2599999999999998</v>
      </c>
      <c r="L215" s="318">
        <v>1231</v>
      </c>
      <c r="M215" s="318" t="s">
        <v>352</v>
      </c>
      <c r="N215" s="318">
        <v>1</v>
      </c>
      <c r="O215" s="619">
        <f t="shared" si="76"/>
        <v>2.2599999999999998</v>
      </c>
      <c r="P215" s="750">
        <v>1</v>
      </c>
      <c r="Q215" s="750"/>
      <c r="R215" s="337">
        <v>1</v>
      </c>
      <c r="S215" s="348">
        <f t="shared" si="81"/>
        <v>2.2599999999999998</v>
      </c>
      <c r="T215" s="319"/>
      <c r="V215" s="328">
        <v>3.3650000000000002</v>
      </c>
      <c r="W215" s="320">
        <v>1</v>
      </c>
      <c r="X215" s="348">
        <f t="shared" si="77"/>
        <v>3.3650000000000002</v>
      </c>
      <c r="Y215" s="330">
        <v>1</v>
      </c>
      <c r="Z215" s="348">
        <f t="shared" si="78"/>
        <v>3.3650000000000002</v>
      </c>
      <c r="AB215" s="328">
        <f t="shared" si="79"/>
        <v>1.1050000000000004</v>
      </c>
      <c r="AC215" s="328">
        <f t="shared" si="80"/>
        <v>1.1050000000000004</v>
      </c>
    </row>
    <row r="216" spans="1:29">
      <c r="A216" s="318"/>
      <c r="B216" s="319"/>
      <c r="C216" s="318"/>
      <c r="D216" s="318"/>
      <c r="E216" s="319"/>
      <c r="F216" s="336" t="s">
        <v>721</v>
      </c>
      <c r="G216" s="318" t="s">
        <v>722</v>
      </c>
      <c r="H216" s="319">
        <v>3.32</v>
      </c>
      <c r="I216" s="318">
        <v>1</v>
      </c>
      <c r="J216" s="318">
        <f t="shared" si="74"/>
        <v>1</v>
      </c>
      <c r="K216" s="318">
        <f t="shared" si="75"/>
        <v>3.32</v>
      </c>
      <c r="L216" s="318"/>
      <c r="M216" s="318"/>
      <c r="N216" s="318">
        <v>1</v>
      </c>
      <c r="O216" s="619">
        <f t="shared" si="76"/>
        <v>3.32</v>
      </c>
      <c r="P216" s="750">
        <v>1</v>
      </c>
      <c r="Q216" s="750"/>
      <c r="R216" s="337">
        <v>1</v>
      </c>
      <c r="S216" s="348">
        <f t="shared" si="81"/>
        <v>3.32</v>
      </c>
      <c r="T216" s="319"/>
      <c r="V216" s="333">
        <v>3.2509999999999999</v>
      </c>
      <c r="W216" s="320">
        <v>1</v>
      </c>
      <c r="X216" s="348">
        <f t="shared" si="77"/>
        <v>3.2509999999999999</v>
      </c>
      <c r="Y216" s="330">
        <v>1</v>
      </c>
      <c r="Z216" s="348">
        <f t="shared" si="78"/>
        <v>3.2509999999999999</v>
      </c>
      <c r="AB216" s="333">
        <f t="shared" si="79"/>
        <v>-6.899999999999995E-2</v>
      </c>
      <c r="AC216" s="333">
        <f t="shared" si="80"/>
        <v>-6.899999999999995E-2</v>
      </c>
    </row>
    <row r="217" spans="1:29">
      <c r="A217" s="318"/>
      <c r="B217" s="319"/>
      <c r="C217" s="318"/>
      <c r="D217" s="318"/>
      <c r="E217" s="319"/>
      <c r="F217" s="336" t="s">
        <v>721</v>
      </c>
      <c r="G217" s="318" t="s">
        <v>723</v>
      </c>
      <c r="H217" s="319">
        <v>4.0999999999999996</v>
      </c>
      <c r="I217" s="318">
        <v>1</v>
      </c>
      <c r="J217" s="318">
        <f t="shared" si="74"/>
        <v>1</v>
      </c>
      <c r="K217" s="318">
        <f t="shared" si="75"/>
        <v>4.0999999999999996</v>
      </c>
      <c r="L217" s="318"/>
      <c r="M217" s="318"/>
      <c r="N217" s="318">
        <v>1</v>
      </c>
      <c r="O217" s="619">
        <f t="shared" si="76"/>
        <v>4.0999999999999996</v>
      </c>
      <c r="P217" s="750">
        <v>1</v>
      </c>
      <c r="Q217" s="750"/>
      <c r="R217" s="337">
        <v>1</v>
      </c>
      <c r="S217" s="348">
        <f t="shared" si="81"/>
        <v>4.0999999999999996</v>
      </c>
      <c r="T217" s="319"/>
      <c r="V217" s="333">
        <f>3.251+0.821</f>
        <v>4.0720000000000001</v>
      </c>
      <c r="W217" s="320">
        <v>1</v>
      </c>
      <c r="X217" s="348">
        <f t="shared" si="77"/>
        <v>4.0720000000000001</v>
      </c>
      <c r="Y217" s="330">
        <v>1</v>
      </c>
      <c r="Z217" s="348">
        <f t="shared" si="78"/>
        <v>4.0720000000000001</v>
      </c>
      <c r="AB217" s="333">
        <f t="shared" si="79"/>
        <v>-2.7999999999999581E-2</v>
      </c>
      <c r="AC217" s="333">
        <f t="shared" si="80"/>
        <v>-2.7999999999999581E-2</v>
      </c>
    </row>
    <row r="218" spans="1:29">
      <c r="A218" s="318"/>
      <c r="B218" s="319"/>
      <c r="C218" s="318"/>
      <c r="D218" s="318"/>
      <c r="E218" s="319"/>
      <c r="F218" s="319"/>
      <c r="G218" s="318" t="s">
        <v>724</v>
      </c>
      <c r="H218" s="318">
        <v>3.82</v>
      </c>
      <c r="I218" s="318">
        <v>1</v>
      </c>
      <c r="J218" s="318">
        <f t="shared" si="74"/>
        <v>1</v>
      </c>
      <c r="K218" s="318">
        <f t="shared" si="75"/>
        <v>3.82</v>
      </c>
      <c r="L218" s="318"/>
      <c r="M218" s="318"/>
      <c r="N218" s="318">
        <v>1</v>
      </c>
      <c r="O218" s="619">
        <f>H218*N218</f>
        <v>3.82</v>
      </c>
      <c r="P218" s="750">
        <v>1</v>
      </c>
      <c r="Q218" s="750"/>
      <c r="R218" s="337">
        <v>1</v>
      </c>
      <c r="S218" s="348">
        <f t="shared" si="81"/>
        <v>3.82</v>
      </c>
      <c r="T218" s="319"/>
      <c r="V218" s="328">
        <v>3.802</v>
      </c>
      <c r="W218" s="320">
        <v>1</v>
      </c>
      <c r="X218" s="348">
        <f t="shared" si="77"/>
        <v>3.802</v>
      </c>
      <c r="Y218" s="330">
        <v>1</v>
      </c>
      <c r="Z218" s="348">
        <f t="shared" si="78"/>
        <v>3.802</v>
      </c>
      <c r="AB218" s="328">
        <f t="shared" si="79"/>
        <v>-1.7999999999999794E-2</v>
      </c>
      <c r="AC218" s="328">
        <f t="shared" si="80"/>
        <v>-1.7999999999999794E-2</v>
      </c>
    </row>
    <row r="219" spans="1:29">
      <c r="A219" s="318"/>
      <c r="B219" s="319"/>
      <c r="C219" s="318"/>
      <c r="D219" s="318"/>
      <c r="E219" s="319"/>
      <c r="F219" s="319"/>
      <c r="G219" s="318" t="s">
        <v>725</v>
      </c>
      <c r="H219" s="318">
        <v>3.82</v>
      </c>
      <c r="I219" s="318">
        <v>1</v>
      </c>
      <c r="J219" s="318">
        <f t="shared" si="74"/>
        <v>1</v>
      </c>
      <c r="K219" s="318">
        <f t="shared" si="75"/>
        <v>3.82</v>
      </c>
      <c r="L219" s="318">
        <v>1205</v>
      </c>
      <c r="M219" s="318" t="s">
        <v>201</v>
      </c>
      <c r="N219" s="318">
        <v>1</v>
      </c>
      <c r="O219" s="619">
        <f t="shared" ref="O219:O240" si="83">H219*N219</f>
        <v>3.82</v>
      </c>
      <c r="P219" s="750">
        <v>1</v>
      </c>
      <c r="Q219" s="750"/>
      <c r="R219" s="337">
        <v>1</v>
      </c>
      <c r="S219" s="348">
        <f t="shared" si="81"/>
        <v>3.82</v>
      </c>
      <c r="T219" s="319"/>
      <c r="V219" s="328">
        <v>3.802</v>
      </c>
      <c r="W219" s="320">
        <v>1</v>
      </c>
      <c r="X219" s="348">
        <f t="shared" si="77"/>
        <v>3.802</v>
      </c>
      <c r="Y219" s="330">
        <v>1</v>
      </c>
      <c r="Z219" s="348">
        <f t="shared" si="78"/>
        <v>3.802</v>
      </c>
      <c r="AB219" s="328">
        <f t="shared" si="79"/>
        <v>-1.7999999999999794E-2</v>
      </c>
      <c r="AC219" s="328">
        <f t="shared" si="80"/>
        <v>-1.7999999999999794E-2</v>
      </c>
    </row>
    <row r="220" spans="1:29">
      <c r="A220" s="318"/>
      <c r="B220" s="319"/>
      <c r="C220" s="318"/>
      <c r="D220" s="318"/>
      <c r="E220" s="319"/>
      <c r="F220" s="319"/>
      <c r="G220" s="318" t="s">
        <v>726</v>
      </c>
      <c r="H220" s="318">
        <v>3.82</v>
      </c>
      <c r="I220" s="318">
        <v>1</v>
      </c>
      <c r="J220" s="318">
        <f t="shared" si="74"/>
        <v>1</v>
      </c>
      <c r="K220" s="318">
        <f t="shared" si="75"/>
        <v>3.82</v>
      </c>
      <c r="L220" s="318"/>
      <c r="M220" s="318"/>
      <c r="N220" s="318">
        <v>1</v>
      </c>
      <c r="O220" s="619">
        <f t="shared" si="83"/>
        <v>3.82</v>
      </c>
      <c r="P220" s="750">
        <v>1</v>
      </c>
      <c r="Q220" s="750"/>
      <c r="R220" s="337">
        <v>1</v>
      </c>
      <c r="S220" s="348">
        <f t="shared" si="81"/>
        <v>3.82</v>
      </c>
      <c r="T220" s="319"/>
      <c r="V220" s="328">
        <v>3.802</v>
      </c>
      <c r="W220" s="320">
        <v>1</v>
      </c>
      <c r="X220" s="348">
        <f t="shared" si="77"/>
        <v>3.802</v>
      </c>
      <c r="Y220" s="330">
        <v>1</v>
      </c>
      <c r="Z220" s="348">
        <f t="shared" si="78"/>
        <v>3.802</v>
      </c>
      <c r="AB220" s="328">
        <f t="shared" si="79"/>
        <v>-1.7999999999999794E-2</v>
      </c>
      <c r="AC220" s="328">
        <f t="shared" si="80"/>
        <v>-1.7999999999999794E-2</v>
      </c>
    </row>
    <row r="221" spans="1:29">
      <c r="A221" s="318"/>
      <c r="B221" s="319"/>
      <c r="C221" s="318"/>
      <c r="D221" s="318"/>
      <c r="E221" s="319"/>
      <c r="F221" s="319"/>
      <c r="G221" s="318" t="s">
        <v>727</v>
      </c>
      <c r="H221" s="318">
        <v>3.82</v>
      </c>
      <c r="I221" s="318">
        <v>1</v>
      </c>
      <c r="J221" s="318">
        <f t="shared" si="74"/>
        <v>1</v>
      </c>
      <c r="K221" s="318">
        <f t="shared" si="75"/>
        <v>3.82</v>
      </c>
      <c r="L221" s="318"/>
      <c r="M221" s="318"/>
      <c r="N221" s="318">
        <v>1</v>
      </c>
      <c r="O221" s="619">
        <f t="shared" si="83"/>
        <v>3.82</v>
      </c>
      <c r="P221" s="750">
        <v>1</v>
      </c>
      <c r="Q221" s="750"/>
      <c r="R221" s="337">
        <v>1</v>
      </c>
      <c r="S221" s="348">
        <f t="shared" si="81"/>
        <v>3.82</v>
      </c>
      <c r="T221" s="319"/>
      <c r="V221" s="328">
        <v>3.802</v>
      </c>
      <c r="W221" s="320">
        <v>1</v>
      </c>
      <c r="X221" s="348">
        <f t="shared" si="77"/>
        <v>3.802</v>
      </c>
      <c r="Y221" s="330">
        <v>1</v>
      </c>
      <c r="Z221" s="348">
        <f t="shared" si="78"/>
        <v>3.802</v>
      </c>
      <c r="AB221" s="328">
        <f t="shared" si="79"/>
        <v>-1.7999999999999794E-2</v>
      </c>
      <c r="AC221" s="328">
        <f t="shared" si="80"/>
        <v>-1.7999999999999794E-2</v>
      </c>
    </row>
    <row r="222" spans="1:29">
      <c r="A222" s="318"/>
      <c r="B222" s="319"/>
      <c r="C222" s="318"/>
      <c r="D222" s="318"/>
      <c r="E222" s="319"/>
      <c r="F222" s="336" t="s">
        <v>721</v>
      </c>
      <c r="G222" s="318" t="s">
        <v>728</v>
      </c>
      <c r="H222" s="319">
        <v>4.0999999999999996</v>
      </c>
      <c r="I222" s="318">
        <v>1</v>
      </c>
      <c r="J222" s="318">
        <f t="shared" si="74"/>
        <v>1</v>
      </c>
      <c r="K222" s="318">
        <f t="shared" si="75"/>
        <v>4.0999999999999996</v>
      </c>
      <c r="L222" s="318"/>
      <c r="M222" s="318"/>
      <c r="N222" s="318">
        <v>1</v>
      </c>
      <c r="O222" s="619">
        <f t="shared" si="83"/>
        <v>4.0999999999999996</v>
      </c>
      <c r="P222" s="750">
        <v>1</v>
      </c>
      <c r="Q222" s="750"/>
      <c r="R222" s="337">
        <v>1</v>
      </c>
      <c r="S222" s="348">
        <f t="shared" si="81"/>
        <v>4.0999999999999996</v>
      </c>
      <c r="T222" s="319"/>
      <c r="V222" s="333">
        <f>3.251+0.821</f>
        <v>4.0720000000000001</v>
      </c>
      <c r="W222" s="320">
        <v>1</v>
      </c>
      <c r="X222" s="348">
        <f t="shared" si="77"/>
        <v>4.0720000000000001</v>
      </c>
      <c r="Y222" s="330">
        <v>1</v>
      </c>
      <c r="Z222" s="348">
        <f t="shared" si="78"/>
        <v>4.0720000000000001</v>
      </c>
      <c r="AB222" s="333">
        <f t="shared" si="79"/>
        <v>-2.7999999999999581E-2</v>
      </c>
      <c r="AC222" s="333">
        <f t="shared" si="80"/>
        <v>-2.7999999999999581E-2</v>
      </c>
    </row>
    <row r="223" spans="1:29">
      <c r="A223" s="318"/>
      <c r="B223" s="319"/>
      <c r="C223" s="318"/>
      <c r="D223" s="318"/>
      <c r="E223" s="319"/>
      <c r="F223" s="336" t="s">
        <v>721</v>
      </c>
      <c r="G223" s="318" t="s">
        <v>729</v>
      </c>
      <c r="H223" s="319">
        <v>3.32</v>
      </c>
      <c r="I223" s="318">
        <v>1</v>
      </c>
      <c r="J223" s="318">
        <f t="shared" si="74"/>
        <v>1</v>
      </c>
      <c r="K223" s="318">
        <f t="shared" si="75"/>
        <v>3.32</v>
      </c>
      <c r="L223" s="318"/>
      <c r="M223" s="318"/>
      <c r="N223" s="318">
        <v>1</v>
      </c>
      <c r="O223" s="619">
        <f t="shared" si="83"/>
        <v>3.32</v>
      </c>
      <c r="P223" s="750">
        <v>1</v>
      </c>
      <c r="Q223" s="750"/>
      <c r="R223" s="337">
        <v>1</v>
      </c>
      <c r="S223" s="348">
        <f t="shared" si="81"/>
        <v>3.32</v>
      </c>
      <c r="T223" s="319"/>
      <c r="V223" s="333">
        <v>3.2509999999999999</v>
      </c>
      <c r="W223" s="320">
        <v>1</v>
      </c>
      <c r="X223" s="348">
        <f t="shared" si="77"/>
        <v>3.2509999999999999</v>
      </c>
      <c r="Y223" s="330">
        <v>1</v>
      </c>
      <c r="Z223" s="348">
        <f t="shared" si="78"/>
        <v>3.2509999999999999</v>
      </c>
      <c r="AB223" s="333">
        <f t="shared" si="79"/>
        <v>-6.899999999999995E-2</v>
      </c>
      <c r="AC223" s="333">
        <f t="shared" si="80"/>
        <v>-6.899999999999995E-2</v>
      </c>
    </row>
    <row r="224" spans="1:29">
      <c r="A224" s="318"/>
      <c r="B224" s="319"/>
      <c r="C224" s="318"/>
      <c r="D224" s="318"/>
      <c r="E224" s="319"/>
      <c r="F224" s="319"/>
      <c r="G224" s="318" t="s">
        <v>730</v>
      </c>
      <c r="H224" s="318">
        <v>2.2599999999999998</v>
      </c>
      <c r="I224" s="318">
        <v>1</v>
      </c>
      <c r="J224" s="318">
        <f t="shared" si="74"/>
        <v>1</v>
      </c>
      <c r="K224" s="318">
        <f t="shared" si="75"/>
        <v>2.2599999999999998</v>
      </c>
      <c r="L224" s="318"/>
      <c r="M224" s="318"/>
      <c r="N224" s="318">
        <v>1</v>
      </c>
      <c r="O224" s="619">
        <f t="shared" si="83"/>
        <v>2.2599999999999998</v>
      </c>
      <c r="P224" s="750">
        <v>1</v>
      </c>
      <c r="Q224" s="750"/>
      <c r="R224" s="337">
        <v>1</v>
      </c>
      <c r="S224" s="348">
        <f t="shared" si="81"/>
        <v>2.2599999999999998</v>
      </c>
      <c r="T224" s="319"/>
      <c r="V224" s="328">
        <v>3.3650000000000002</v>
      </c>
      <c r="W224" s="320">
        <v>1</v>
      </c>
      <c r="X224" s="348">
        <f t="shared" si="77"/>
        <v>3.3650000000000002</v>
      </c>
      <c r="Y224" s="330">
        <v>1</v>
      </c>
      <c r="Z224" s="348">
        <f t="shared" si="78"/>
        <v>3.3650000000000002</v>
      </c>
      <c r="AB224" s="328">
        <f t="shared" si="79"/>
        <v>1.1050000000000004</v>
      </c>
      <c r="AC224" s="328">
        <f t="shared" si="80"/>
        <v>1.1050000000000004</v>
      </c>
    </row>
    <row r="225" spans="1:29">
      <c r="A225" s="318"/>
      <c r="B225" s="319"/>
      <c r="C225" s="318"/>
      <c r="D225" s="318"/>
      <c r="E225" s="319"/>
      <c r="F225" s="319"/>
      <c r="G225" s="318" t="s">
        <v>731</v>
      </c>
      <c r="H225" s="318">
        <v>4.49</v>
      </c>
      <c r="I225" s="318">
        <v>1</v>
      </c>
      <c r="J225" s="318">
        <f t="shared" si="74"/>
        <v>1</v>
      </c>
      <c r="K225" s="318">
        <f t="shared" si="75"/>
        <v>4.49</v>
      </c>
      <c r="L225" s="318">
        <v>1205</v>
      </c>
      <c r="M225" s="318" t="s">
        <v>201</v>
      </c>
      <c r="N225" s="318">
        <v>1</v>
      </c>
      <c r="O225" s="619">
        <f t="shared" si="83"/>
        <v>4.49</v>
      </c>
      <c r="P225" s="750">
        <v>1</v>
      </c>
      <c r="Q225" s="750"/>
      <c r="R225" s="337">
        <v>1</v>
      </c>
      <c r="S225" s="348">
        <f t="shared" si="81"/>
        <v>4.49</v>
      </c>
      <c r="T225" s="319"/>
      <c r="V225" s="328">
        <v>3.3650000000000002</v>
      </c>
      <c r="W225" s="320">
        <v>1</v>
      </c>
      <c r="X225" s="348">
        <f t="shared" si="77"/>
        <v>3.3650000000000002</v>
      </c>
      <c r="Y225" s="330">
        <v>1</v>
      </c>
      <c r="Z225" s="348">
        <f t="shared" si="78"/>
        <v>3.3650000000000002</v>
      </c>
      <c r="AB225" s="328">
        <f t="shared" si="79"/>
        <v>-1.125</v>
      </c>
      <c r="AC225" s="328">
        <f t="shared" si="80"/>
        <v>-1.125</v>
      </c>
    </row>
    <row r="226" spans="1:29">
      <c r="A226" s="318"/>
      <c r="B226" s="319"/>
      <c r="C226" s="318"/>
      <c r="D226" s="318"/>
      <c r="E226" s="319"/>
      <c r="F226" s="319"/>
      <c r="G226" s="318" t="s">
        <v>732</v>
      </c>
      <c r="H226" s="318">
        <v>4.49</v>
      </c>
      <c r="I226" s="318">
        <v>1</v>
      </c>
      <c r="J226" s="318">
        <f t="shared" si="74"/>
        <v>1</v>
      </c>
      <c r="K226" s="318">
        <f t="shared" si="75"/>
        <v>4.49</v>
      </c>
      <c r="L226" s="318">
        <v>1205</v>
      </c>
      <c r="M226" s="318" t="s">
        <v>201</v>
      </c>
      <c r="N226" s="318">
        <v>1</v>
      </c>
      <c r="O226" s="619">
        <f t="shared" si="83"/>
        <v>4.49</v>
      </c>
      <c r="P226" s="750">
        <v>1</v>
      </c>
      <c r="Q226" s="750"/>
      <c r="R226" s="337">
        <v>1</v>
      </c>
      <c r="S226" s="348">
        <f t="shared" si="81"/>
        <v>4.49</v>
      </c>
      <c r="T226" s="319"/>
      <c r="V226" s="328">
        <v>4.49</v>
      </c>
      <c r="W226" s="320">
        <v>1</v>
      </c>
      <c r="X226" s="348">
        <f t="shared" si="77"/>
        <v>4.49</v>
      </c>
      <c r="Y226" s="330">
        <v>1</v>
      </c>
      <c r="Z226" s="348">
        <f t="shared" si="78"/>
        <v>4.49</v>
      </c>
      <c r="AB226" s="328">
        <f t="shared" si="79"/>
        <v>0</v>
      </c>
      <c r="AC226" s="328">
        <f t="shared" si="80"/>
        <v>0</v>
      </c>
    </row>
    <row r="227" spans="1:29">
      <c r="A227" s="318"/>
      <c r="B227" s="319"/>
      <c r="C227" s="318"/>
      <c r="D227" s="318"/>
      <c r="E227" s="319"/>
      <c r="F227" s="319"/>
      <c r="G227" s="318" t="s">
        <v>733</v>
      </c>
      <c r="H227" s="318">
        <v>4.49</v>
      </c>
      <c r="I227" s="318">
        <v>1</v>
      </c>
      <c r="J227" s="318">
        <f t="shared" si="74"/>
        <v>1</v>
      </c>
      <c r="K227" s="318">
        <f t="shared" si="75"/>
        <v>4.49</v>
      </c>
      <c r="L227" s="318"/>
      <c r="M227" s="318"/>
      <c r="N227" s="318">
        <v>1</v>
      </c>
      <c r="O227" s="619">
        <f t="shared" si="83"/>
        <v>4.49</v>
      </c>
      <c r="P227" s="750">
        <v>1</v>
      </c>
      <c r="Q227" s="750"/>
      <c r="R227" s="337">
        <v>1</v>
      </c>
      <c r="S227" s="348">
        <f t="shared" si="81"/>
        <v>4.49</v>
      </c>
      <c r="T227" s="319"/>
      <c r="V227" s="328">
        <v>4.49</v>
      </c>
      <c r="W227" s="320">
        <v>1</v>
      </c>
      <c r="X227" s="348">
        <f t="shared" si="77"/>
        <v>4.49</v>
      </c>
      <c r="Y227" s="330">
        <v>1</v>
      </c>
      <c r="Z227" s="348">
        <f t="shared" si="78"/>
        <v>4.49</v>
      </c>
      <c r="AB227" s="328">
        <f t="shared" si="79"/>
        <v>0</v>
      </c>
      <c r="AC227" s="328">
        <f t="shared" si="80"/>
        <v>0</v>
      </c>
    </row>
    <row r="228" spans="1:29">
      <c r="A228" s="318"/>
      <c r="B228" s="319"/>
      <c r="C228" s="318"/>
      <c r="D228" s="318"/>
      <c r="E228" s="319"/>
      <c r="F228" s="319"/>
      <c r="G228" s="318" t="s">
        <v>734</v>
      </c>
      <c r="H228" s="318">
        <v>4.49</v>
      </c>
      <c r="I228" s="318">
        <v>1</v>
      </c>
      <c r="J228" s="318">
        <f t="shared" si="74"/>
        <v>1</v>
      </c>
      <c r="K228" s="318">
        <f t="shared" si="75"/>
        <v>4.49</v>
      </c>
      <c r="L228" s="318"/>
      <c r="M228" s="318"/>
      <c r="N228" s="318">
        <v>1</v>
      </c>
      <c r="O228" s="619">
        <f t="shared" si="83"/>
        <v>4.49</v>
      </c>
      <c r="P228" s="750">
        <v>1</v>
      </c>
      <c r="Q228" s="750"/>
      <c r="R228" s="337">
        <v>1</v>
      </c>
      <c r="S228" s="348">
        <f t="shared" si="81"/>
        <v>4.49</v>
      </c>
      <c r="T228" s="319"/>
      <c r="V228" s="328">
        <v>4.49</v>
      </c>
      <c r="W228" s="320">
        <v>1</v>
      </c>
      <c r="X228" s="348">
        <f t="shared" si="77"/>
        <v>4.49</v>
      </c>
      <c r="Y228" s="330">
        <v>1</v>
      </c>
      <c r="Z228" s="348">
        <f t="shared" si="78"/>
        <v>4.49</v>
      </c>
      <c r="AB228" s="328">
        <f t="shared" si="79"/>
        <v>0</v>
      </c>
      <c r="AC228" s="328">
        <f t="shared" si="80"/>
        <v>0</v>
      </c>
    </row>
    <row r="229" spans="1:29">
      <c r="A229" s="318"/>
      <c r="B229" s="319"/>
      <c r="C229" s="318"/>
      <c r="D229" s="318"/>
      <c r="E229" s="319"/>
      <c r="F229" s="319"/>
      <c r="G229" s="318" t="s">
        <v>735</v>
      </c>
      <c r="H229" s="318">
        <v>4.49</v>
      </c>
      <c r="I229" s="318">
        <v>1</v>
      </c>
      <c r="J229" s="318">
        <f t="shared" si="74"/>
        <v>1</v>
      </c>
      <c r="K229" s="318">
        <f t="shared" si="75"/>
        <v>4.49</v>
      </c>
      <c r="L229" s="318"/>
      <c r="M229" s="318"/>
      <c r="N229" s="318">
        <v>1</v>
      </c>
      <c r="O229" s="619">
        <f t="shared" si="83"/>
        <v>4.49</v>
      </c>
      <c r="P229" s="750">
        <v>1</v>
      </c>
      <c r="Q229" s="750"/>
      <c r="R229" s="337">
        <v>1</v>
      </c>
      <c r="S229" s="348">
        <f t="shared" si="81"/>
        <v>4.49</v>
      </c>
      <c r="T229" s="319"/>
      <c r="V229" s="328">
        <v>4.49</v>
      </c>
      <c r="W229" s="320">
        <v>1</v>
      </c>
      <c r="X229" s="348">
        <f t="shared" si="77"/>
        <v>4.49</v>
      </c>
      <c r="Y229" s="330">
        <v>1</v>
      </c>
      <c r="Z229" s="348">
        <f t="shared" si="78"/>
        <v>4.49</v>
      </c>
      <c r="AB229" s="328">
        <f t="shared" si="79"/>
        <v>0</v>
      </c>
      <c r="AC229" s="328">
        <f t="shared" si="80"/>
        <v>0</v>
      </c>
    </row>
    <row r="230" spans="1:29">
      <c r="A230" s="318"/>
      <c r="B230" s="319"/>
      <c r="C230" s="318"/>
      <c r="D230" s="318"/>
      <c r="E230" s="319"/>
      <c r="F230" s="319"/>
      <c r="G230" s="318" t="s">
        <v>736</v>
      </c>
      <c r="H230" s="318">
        <v>4.49</v>
      </c>
      <c r="I230" s="318">
        <v>1</v>
      </c>
      <c r="J230" s="318">
        <f t="shared" si="74"/>
        <v>1</v>
      </c>
      <c r="K230" s="318">
        <f t="shared" si="75"/>
        <v>4.49</v>
      </c>
      <c r="L230" s="318">
        <v>1229</v>
      </c>
      <c r="M230" s="318" t="s">
        <v>350</v>
      </c>
      <c r="N230" s="318">
        <v>1</v>
      </c>
      <c r="O230" s="619">
        <f t="shared" si="83"/>
        <v>4.49</v>
      </c>
      <c r="P230" s="750">
        <v>1</v>
      </c>
      <c r="Q230" s="750"/>
      <c r="R230" s="337">
        <v>1</v>
      </c>
      <c r="S230" s="348">
        <f t="shared" si="81"/>
        <v>4.49</v>
      </c>
      <c r="T230" s="319"/>
      <c r="V230" s="328">
        <v>4.49</v>
      </c>
      <c r="W230" s="320">
        <v>1</v>
      </c>
      <c r="X230" s="348">
        <f t="shared" si="77"/>
        <v>4.49</v>
      </c>
      <c r="Y230" s="330">
        <v>1</v>
      </c>
      <c r="Z230" s="348">
        <f t="shared" si="78"/>
        <v>4.49</v>
      </c>
      <c r="AB230" s="328">
        <f t="shared" si="79"/>
        <v>0</v>
      </c>
      <c r="AC230" s="328">
        <f t="shared" si="80"/>
        <v>0</v>
      </c>
    </row>
    <row r="231" spans="1:29" ht="15" thickBot="1">
      <c r="A231" s="318"/>
      <c r="B231" s="319"/>
      <c r="C231" s="318"/>
      <c r="D231" s="318"/>
      <c r="E231" s="319"/>
      <c r="F231" s="319"/>
      <c r="G231" s="318" t="s">
        <v>737</v>
      </c>
      <c r="H231" s="318">
        <v>4.49</v>
      </c>
      <c r="I231" s="318">
        <v>1</v>
      </c>
      <c r="J231" s="318">
        <f t="shared" si="74"/>
        <v>1</v>
      </c>
      <c r="K231" s="318">
        <f t="shared" si="75"/>
        <v>4.49</v>
      </c>
      <c r="L231" s="318"/>
      <c r="M231" s="318"/>
      <c r="N231" s="318">
        <v>1</v>
      </c>
      <c r="O231" s="619">
        <f t="shared" si="83"/>
        <v>4.49</v>
      </c>
      <c r="P231" s="750">
        <v>1</v>
      </c>
      <c r="Q231" s="750"/>
      <c r="R231" s="592">
        <v>1</v>
      </c>
      <c r="S231" s="348">
        <f t="shared" si="81"/>
        <v>4.49</v>
      </c>
      <c r="T231" s="319"/>
      <c r="V231" s="328">
        <v>4.49</v>
      </c>
      <c r="W231" s="320">
        <v>1</v>
      </c>
      <c r="X231" s="348">
        <f t="shared" si="77"/>
        <v>4.49</v>
      </c>
      <c r="Y231" s="330">
        <v>1</v>
      </c>
      <c r="Z231" s="348">
        <f t="shared" si="78"/>
        <v>4.49</v>
      </c>
      <c r="AB231" s="328">
        <f t="shared" si="79"/>
        <v>0</v>
      </c>
      <c r="AC231" s="328">
        <f t="shared" si="80"/>
        <v>0</v>
      </c>
    </row>
    <row r="232" spans="1:29" ht="21.6" thickTop="1" thickBot="1">
      <c r="A232" s="318"/>
      <c r="B232" s="319"/>
      <c r="C232" s="318"/>
      <c r="D232" s="318"/>
      <c r="E232" s="319"/>
      <c r="F232" s="336" t="s">
        <v>604</v>
      </c>
      <c r="G232" s="652" t="s">
        <v>738</v>
      </c>
      <c r="H232" s="318">
        <v>4.8</v>
      </c>
      <c r="I232" s="318">
        <v>1</v>
      </c>
      <c r="J232" s="318">
        <v>1</v>
      </c>
      <c r="K232" s="318">
        <f t="shared" si="75"/>
        <v>4.8</v>
      </c>
      <c r="L232" s="318"/>
      <c r="M232" s="318"/>
      <c r="N232" s="318"/>
      <c r="O232" s="619">
        <f t="shared" si="83"/>
        <v>0</v>
      </c>
      <c r="P232" s="750"/>
      <c r="Q232" s="747"/>
      <c r="R232" s="624"/>
      <c r="S232" s="348">
        <f t="shared" si="81"/>
        <v>0</v>
      </c>
      <c r="T232" s="319" t="s">
        <v>3351</v>
      </c>
      <c r="V232" s="328">
        <v>4.49</v>
      </c>
      <c r="W232" s="320"/>
      <c r="X232" s="348">
        <f t="shared" si="77"/>
        <v>0</v>
      </c>
      <c r="Y232" s="330"/>
      <c r="Z232" s="348">
        <f t="shared" si="78"/>
        <v>0</v>
      </c>
      <c r="AB232" s="328">
        <f t="shared" si="79"/>
        <v>0</v>
      </c>
      <c r="AC232" s="328">
        <f t="shared" si="80"/>
        <v>0</v>
      </c>
    </row>
    <row r="233" spans="1:29" ht="15.6" thickTop="1" thickBot="1">
      <c r="A233" s="584"/>
      <c r="B233" s="585"/>
      <c r="C233" s="584"/>
      <c r="D233" s="584"/>
      <c r="E233" s="585"/>
      <c r="F233" s="585" t="s">
        <v>384</v>
      </c>
      <c r="G233" s="584" t="s">
        <v>483</v>
      </c>
      <c r="H233" s="584"/>
      <c r="I233" s="584"/>
      <c r="J233" s="584"/>
      <c r="K233" s="584"/>
      <c r="L233" s="584"/>
      <c r="M233" s="584"/>
      <c r="N233" s="584"/>
      <c r="O233" s="631" t="s">
        <v>2321</v>
      </c>
      <c r="P233" s="750"/>
      <c r="Q233" s="747"/>
      <c r="R233" s="624"/>
      <c r="S233" s="348">
        <f t="shared" si="81"/>
        <v>0</v>
      </c>
      <c r="T233" s="1024" t="s">
        <v>561</v>
      </c>
      <c r="V233" s="328"/>
      <c r="W233" s="318"/>
      <c r="X233" s="384" t="s">
        <v>2321</v>
      </c>
      <c r="Y233" s="337"/>
      <c r="Z233" s="350" t="s">
        <v>2321</v>
      </c>
      <c r="AB233" s="328"/>
      <c r="AC233" s="328"/>
    </row>
    <row r="234" spans="1:29" ht="15.6" thickTop="1" thickBot="1">
      <c r="A234" s="584"/>
      <c r="B234" s="585"/>
      <c r="C234" s="584"/>
      <c r="D234" s="584"/>
      <c r="E234" s="585"/>
      <c r="F234" s="585" t="s">
        <v>384</v>
      </c>
      <c r="G234" s="584" t="s">
        <v>484</v>
      </c>
      <c r="H234" s="584"/>
      <c r="I234" s="584"/>
      <c r="J234" s="584"/>
      <c r="K234" s="584"/>
      <c r="L234" s="584"/>
      <c r="M234" s="584"/>
      <c r="N234" s="584"/>
      <c r="O234" s="631" t="s">
        <v>2321</v>
      </c>
      <c r="P234" s="750"/>
      <c r="Q234" s="747"/>
      <c r="R234" s="624"/>
      <c r="S234" s="348">
        <f t="shared" si="81"/>
        <v>0</v>
      </c>
      <c r="T234" s="1025"/>
      <c r="V234" s="328"/>
      <c r="W234" s="318"/>
      <c r="X234" s="384" t="s">
        <v>2321</v>
      </c>
      <c r="Y234" s="337"/>
      <c r="Z234" s="350" t="s">
        <v>2321</v>
      </c>
      <c r="AB234" s="328"/>
      <c r="AC234" s="328"/>
    </row>
    <row r="235" spans="1:29" ht="15.6" thickTop="1" thickBot="1">
      <c r="A235" s="584"/>
      <c r="B235" s="585"/>
      <c r="C235" s="584"/>
      <c r="D235" s="584"/>
      <c r="E235" s="585"/>
      <c r="F235" s="585" t="s">
        <v>384</v>
      </c>
      <c r="G235" s="584" t="s">
        <v>485</v>
      </c>
      <c r="H235" s="584"/>
      <c r="I235" s="584"/>
      <c r="J235" s="584"/>
      <c r="K235" s="584"/>
      <c r="L235" s="584"/>
      <c r="M235" s="584"/>
      <c r="N235" s="584"/>
      <c r="O235" s="631" t="s">
        <v>2321</v>
      </c>
      <c r="P235" s="750"/>
      <c r="Q235" s="747"/>
      <c r="R235" s="624"/>
      <c r="S235" s="348">
        <f t="shared" si="81"/>
        <v>0</v>
      </c>
      <c r="T235" s="1025"/>
      <c r="V235" s="328"/>
      <c r="W235" s="318"/>
      <c r="X235" s="384" t="s">
        <v>2321</v>
      </c>
      <c r="Y235" s="337"/>
      <c r="Z235" s="350" t="s">
        <v>2321</v>
      </c>
      <c r="AB235" s="328"/>
      <c r="AC235" s="328"/>
    </row>
    <row r="236" spans="1:29" ht="15.6" thickTop="1" thickBot="1">
      <c r="A236" s="584"/>
      <c r="B236" s="585"/>
      <c r="C236" s="584"/>
      <c r="D236" s="584"/>
      <c r="E236" s="585"/>
      <c r="F236" s="585" t="s">
        <v>384</v>
      </c>
      <c r="G236" s="584" t="s">
        <v>486</v>
      </c>
      <c r="H236" s="584"/>
      <c r="I236" s="584"/>
      <c r="J236" s="584"/>
      <c r="K236" s="584"/>
      <c r="L236" s="584"/>
      <c r="M236" s="584"/>
      <c r="N236" s="584"/>
      <c r="O236" s="631" t="s">
        <v>2321</v>
      </c>
      <c r="P236" s="750"/>
      <c r="Q236" s="747"/>
      <c r="R236" s="624"/>
      <c r="S236" s="348">
        <f t="shared" si="81"/>
        <v>0</v>
      </c>
      <c r="T236" s="1026"/>
      <c r="V236" s="328"/>
      <c r="W236" s="318"/>
      <c r="X236" s="384" t="s">
        <v>2321</v>
      </c>
      <c r="Y236" s="337"/>
      <c r="Z236" s="350" t="s">
        <v>2321</v>
      </c>
      <c r="AB236" s="328"/>
      <c r="AC236" s="328"/>
    </row>
    <row r="237" spans="1:29" ht="21.6" thickTop="1" thickBot="1">
      <c r="A237" s="318"/>
      <c r="B237" s="319"/>
      <c r="C237" s="318"/>
      <c r="D237" s="318"/>
      <c r="E237" s="319"/>
      <c r="F237" s="336" t="s">
        <v>604</v>
      </c>
      <c r="G237" s="652" t="s">
        <v>739</v>
      </c>
      <c r="H237" s="318">
        <v>4.8</v>
      </c>
      <c r="I237" s="318">
        <v>1</v>
      </c>
      <c r="J237" s="318">
        <v>1</v>
      </c>
      <c r="K237" s="318">
        <f>H237*J237</f>
        <v>4.8</v>
      </c>
      <c r="L237" s="318"/>
      <c r="M237" s="318"/>
      <c r="N237" s="318"/>
      <c r="O237" s="619">
        <f t="shared" si="83"/>
        <v>0</v>
      </c>
      <c r="P237" s="750"/>
      <c r="Q237" s="747"/>
      <c r="R237" s="624"/>
      <c r="S237" s="348">
        <f t="shared" si="81"/>
        <v>0</v>
      </c>
      <c r="T237" s="319" t="s">
        <v>3351</v>
      </c>
      <c r="V237" s="328">
        <v>4.49</v>
      </c>
      <c r="W237" s="320"/>
      <c r="X237" s="348">
        <f>V237*W237</f>
        <v>0</v>
      </c>
      <c r="Y237" s="330"/>
      <c r="Z237" s="348">
        <f>V237*Y237</f>
        <v>0</v>
      </c>
      <c r="AB237" s="328">
        <f>X237-O237</f>
        <v>0</v>
      </c>
      <c r="AC237" s="328">
        <f>Z237-S237</f>
        <v>0</v>
      </c>
    </row>
    <row r="238" spans="1:29" ht="15" thickTop="1">
      <c r="A238" s="318"/>
      <c r="B238" s="319"/>
      <c r="C238" s="318"/>
      <c r="D238" s="318"/>
      <c r="E238" s="319"/>
      <c r="F238" s="319"/>
      <c r="G238" s="318" t="s">
        <v>740</v>
      </c>
      <c r="H238" s="318">
        <v>4.49</v>
      </c>
      <c r="I238" s="318">
        <v>1</v>
      </c>
      <c r="J238" s="318">
        <f>IF(N238&gt;0,1,0)</f>
        <v>1</v>
      </c>
      <c r="K238" s="318">
        <f>H238*J238</f>
        <v>4.49</v>
      </c>
      <c r="L238" s="318"/>
      <c r="M238" s="318"/>
      <c r="N238" s="318">
        <v>1</v>
      </c>
      <c r="O238" s="619">
        <f t="shared" si="83"/>
        <v>4.49</v>
      </c>
      <c r="P238" s="750">
        <v>1</v>
      </c>
      <c r="Q238" s="750"/>
      <c r="R238" s="337">
        <v>1</v>
      </c>
      <c r="S238" s="348">
        <f t="shared" si="81"/>
        <v>4.49</v>
      </c>
      <c r="T238" s="319"/>
      <c r="V238" s="328">
        <v>4.49</v>
      </c>
      <c r="W238" s="320">
        <v>1</v>
      </c>
      <c r="X238" s="348">
        <f>V238*W238</f>
        <v>4.49</v>
      </c>
      <c r="Y238" s="330">
        <v>1</v>
      </c>
      <c r="Z238" s="348">
        <f>V238*Y238</f>
        <v>4.49</v>
      </c>
      <c r="AB238" s="328">
        <f>X238-O238</f>
        <v>0</v>
      </c>
      <c r="AC238" s="328">
        <f>Z238-S238</f>
        <v>0</v>
      </c>
    </row>
    <row r="239" spans="1:29">
      <c r="A239" s="318"/>
      <c r="B239" s="319"/>
      <c r="C239" s="318"/>
      <c r="D239" s="318"/>
      <c r="E239" s="319"/>
      <c r="F239" s="319"/>
      <c r="G239" s="318" t="s">
        <v>741</v>
      </c>
      <c r="H239" s="318">
        <v>4.49</v>
      </c>
      <c r="I239" s="318">
        <v>1</v>
      </c>
      <c r="J239" s="318">
        <f>IF(N239&gt;0,1,0)</f>
        <v>1</v>
      </c>
      <c r="K239" s="318">
        <f>H239*J239</f>
        <v>4.49</v>
      </c>
      <c r="L239" s="318"/>
      <c r="M239" s="318"/>
      <c r="N239" s="318">
        <v>1</v>
      </c>
      <c r="O239" s="619">
        <f t="shared" si="83"/>
        <v>4.49</v>
      </c>
      <c r="P239" s="750">
        <v>1</v>
      </c>
      <c r="Q239" s="750"/>
      <c r="R239" s="337">
        <v>1</v>
      </c>
      <c r="S239" s="348">
        <f t="shared" si="81"/>
        <v>4.49</v>
      </c>
      <c r="T239" s="319"/>
      <c r="V239" s="328">
        <v>4.49</v>
      </c>
      <c r="W239" s="320">
        <v>1</v>
      </c>
      <c r="X239" s="348">
        <f>V239*W239</f>
        <v>4.49</v>
      </c>
      <c r="Y239" s="330">
        <v>1</v>
      </c>
      <c r="Z239" s="348">
        <f>V239*Y239</f>
        <v>4.49</v>
      </c>
      <c r="AB239" s="328">
        <f>X239-O239</f>
        <v>0</v>
      </c>
      <c r="AC239" s="328">
        <f>Z239-S239</f>
        <v>0</v>
      </c>
    </row>
    <row r="240" spans="1:29">
      <c r="A240" s="318"/>
      <c r="B240" s="319"/>
      <c r="C240" s="318"/>
      <c r="D240" s="318"/>
      <c r="E240" s="319"/>
      <c r="F240" s="319"/>
      <c r="G240" s="318" t="s">
        <v>742</v>
      </c>
      <c r="H240" s="318">
        <v>2.87</v>
      </c>
      <c r="I240" s="318">
        <v>1</v>
      </c>
      <c r="J240" s="318">
        <f>IF(N240&gt;0,1,0)</f>
        <v>1</v>
      </c>
      <c r="K240" s="318">
        <f>H240*J240</f>
        <v>2.87</v>
      </c>
      <c r="L240" s="318"/>
      <c r="M240" s="318"/>
      <c r="N240" s="318">
        <v>1</v>
      </c>
      <c r="O240" s="619">
        <f t="shared" si="83"/>
        <v>2.87</v>
      </c>
      <c r="P240" s="750">
        <v>1</v>
      </c>
      <c r="Q240" s="750"/>
      <c r="R240" s="337">
        <v>1</v>
      </c>
      <c r="S240" s="348">
        <f t="shared" si="81"/>
        <v>2.87</v>
      </c>
      <c r="T240" s="319"/>
      <c r="V240" s="328">
        <f>1.14-0.6+2.355</f>
        <v>2.895</v>
      </c>
      <c r="W240" s="320">
        <v>1</v>
      </c>
      <c r="X240" s="348">
        <f>V240*W240</f>
        <v>2.895</v>
      </c>
      <c r="Y240" s="330">
        <v>1</v>
      </c>
      <c r="Z240" s="348">
        <f>V240*Y240</f>
        <v>2.895</v>
      </c>
      <c r="AB240" s="328">
        <f>X240-O240</f>
        <v>2.4999999999999911E-2</v>
      </c>
      <c r="AC240" s="328">
        <f>Z240-S240</f>
        <v>2.4999999999999911E-2</v>
      </c>
    </row>
    <row r="241" spans="1:29">
      <c r="A241" s="318"/>
      <c r="B241" s="319"/>
      <c r="C241" s="318"/>
      <c r="D241" s="318"/>
      <c r="E241" s="319"/>
      <c r="F241" s="319"/>
      <c r="G241" s="318"/>
      <c r="H241" s="318"/>
      <c r="I241" s="318"/>
      <c r="J241" s="382" t="s">
        <v>389</v>
      </c>
      <c r="K241" s="321">
        <f>SUM(K198:K240)</f>
        <v>160.69</v>
      </c>
      <c r="L241" s="318"/>
      <c r="M241" s="318"/>
      <c r="N241" s="382" t="s">
        <v>389</v>
      </c>
      <c r="O241" s="748">
        <f>SUM(O198:O240)</f>
        <v>151.08999999999997</v>
      </c>
      <c r="P241" s="751" t="s">
        <v>389</v>
      </c>
      <c r="Q241" s="751"/>
      <c r="R241" s="382"/>
      <c r="S241" s="321">
        <f>SUM(S198:S240)</f>
        <v>151.08999999999997</v>
      </c>
      <c r="T241" s="319"/>
      <c r="V241" s="328"/>
      <c r="W241" s="321" t="s">
        <v>389</v>
      </c>
      <c r="X241" s="338">
        <f>SUM(X198:X240)</f>
        <v>150.83100000000007</v>
      </c>
      <c r="Y241" s="321" t="s">
        <v>389</v>
      </c>
      <c r="Z241" s="338">
        <f>SUM(Z198:Z240)</f>
        <v>148.58600000000007</v>
      </c>
      <c r="AB241" s="328"/>
      <c r="AC241" s="328"/>
    </row>
    <row r="242" spans="1:29" ht="6.75" customHeight="1">
      <c r="A242" s="316"/>
      <c r="B242" s="317"/>
      <c r="C242" s="316"/>
      <c r="D242" s="316"/>
      <c r="E242" s="317"/>
      <c r="F242" s="317"/>
      <c r="G242" s="316"/>
      <c r="H242" s="316"/>
      <c r="I242" s="316"/>
      <c r="J242" s="316"/>
      <c r="K242" s="316"/>
      <c r="L242" s="316"/>
      <c r="M242" s="316"/>
      <c r="N242" s="316"/>
      <c r="O242" s="749"/>
      <c r="P242" s="633"/>
      <c r="Q242" s="633"/>
      <c r="R242" s="949"/>
      <c r="S242" s="339"/>
      <c r="T242" s="317"/>
      <c r="V242" s="332"/>
      <c r="W242" s="316"/>
      <c r="X242" s="339"/>
      <c r="Y242" s="316"/>
      <c r="Z242" s="339"/>
      <c r="AB242" s="332"/>
      <c r="AC242" s="332"/>
    </row>
    <row r="243" spans="1:29">
      <c r="A243" s="318">
        <v>6</v>
      </c>
      <c r="B243" s="319" t="s">
        <v>383</v>
      </c>
      <c r="C243" s="318">
        <v>600</v>
      </c>
      <c r="D243" s="318">
        <v>11</v>
      </c>
      <c r="E243" s="319">
        <v>1</v>
      </c>
      <c r="F243" s="319"/>
      <c r="G243" s="318" t="s">
        <v>743</v>
      </c>
      <c r="H243" s="318">
        <v>4.49</v>
      </c>
      <c r="I243" s="318">
        <v>1</v>
      </c>
      <c r="J243" s="318">
        <f t="shared" ref="J243:J257" si="84">IF(N243&gt;0,1,0)</f>
        <v>1</v>
      </c>
      <c r="K243" s="318">
        <f t="shared" ref="K243:K257" si="85">H243*J243</f>
        <v>4.49</v>
      </c>
      <c r="L243" s="318">
        <v>1188</v>
      </c>
      <c r="M243" s="318" t="s">
        <v>195</v>
      </c>
      <c r="N243" s="318">
        <v>1</v>
      </c>
      <c r="O243" s="619">
        <f t="shared" ref="O243:O274" si="86">H243*N243</f>
        <v>4.49</v>
      </c>
      <c r="P243" s="750">
        <v>1</v>
      </c>
      <c r="Q243" s="750"/>
      <c r="R243" s="337">
        <v>1</v>
      </c>
      <c r="S243" s="348">
        <f>H243*R243</f>
        <v>4.49</v>
      </c>
      <c r="T243" s="319"/>
      <c r="V243" s="328">
        <f>4.49</f>
        <v>4.49</v>
      </c>
      <c r="W243" s="320">
        <v>1</v>
      </c>
      <c r="X243" s="348">
        <f t="shared" ref="X243:X257" si="87">V243*W243</f>
        <v>4.49</v>
      </c>
      <c r="Y243" s="330">
        <v>1</v>
      </c>
      <c r="Z243" s="348">
        <f t="shared" ref="Z243:Z257" si="88">V243*Y243</f>
        <v>4.49</v>
      </c>
      <c r="AB243" s="328">
        <f t="shared" ref="AB243:AB257" si="89">X243-O243</f>
        <v>0</v>
      </c>
      <c r="AC243" s="328">
        <f t="shared" ref="AC243:AC257" si="90">Z243-S243</f>
        <v>0</v>
      </c>
    </row>
    <row r="244" spans="1:29">
      <c r="A244" s="318"/>
      <c r="B244" s="319"/>
      <c r="C244" s="318"/>
      <c r="D244" s="318"/>
      <c r="E244" s="319"/>
      <c r="F244" s="319"/>
      <c r="G244" s="318" t="s">
        <v>744</v>
      </c>
      <c r="H244" s="318">
        <v>4.49</v>
      </c>
      <c r="I244" s="318">
        <v>1</v>
      </c>
      <c r="J244" s="318">
        <f t="shared" si="84"/>
        <v>1</v>
      </c>
      <c r="K244" s="318">
        <f t="shared" si="85"/>
        <v>4.49</v>
      </c>
      <c r="L244" s="318">
        <v>1188</v>
      </c>
      <c r="M244" s="318" t="s">
        <v>195</v>
      </c>
      <c r="N244" s="318">
        <v>1</v>
      </c>
      <c r="O244" s="619">
        <f t="shared" si="86"/>
        <v>4.49</v>
      </c>
      <c r="P244" s="750">
        <v>1</v>
      </c>
      <c r="Q244" s="750"/>
      <c r="R244" s="337">
        <v>1</v>
      </c>
      <c r="S244" s="348">
        <f>H244*R244</f>
        <v>4.49</v>
      </c>
      <c r="T244" s="319"/>
      <c r="V244" s="328">
        <f t="shared" ref="V244:V252" si="91">4.49</f>
        <v>4.49</v>
      </c>
      <c r="W244" s="320">
        <v>1</v>
      </c>
      <c r="X244" s="348">
        <f t="shared" si="87"/>
        <v>4.49</v>
      </c>
      <c r="Y244" s="330">
        <v>1</v>
      </c>
      <c r="Z244" s="348">
        <f t="shared" si="88"/>
        <v>4.49</v>
      </c>
      <c r="AB244" s="328">
        <f t="shared" si="89"/>
        <v>0</v>
      </c>
      <c r="AC244" s="328">
        <f t="shared" si="90"/>
        <v>0</v>
      </c>
    </row>
    <row r="245" spans="1:29">
      <c r="A245" s="318"/>
      <c r="B245" s="319"/>
      <c r="C245" s="318"/>
      <c r="D245" s="318"/>
      <c r="E245" s="319"/>
      <c r="F245" s="319"/>
      <c r="G245" s="318" t="s">
        <v>745</v>
      </c>
      <c r="H245" s="318">
        <v>4.49</v>
      </c>
      <c r="I245" s="318">
        <v>1</v>
      </c>
      <c r="J245" s="318">
        <f t="shared" si="84"/>
        <v>1</v>
      </c>
      <c r="K245" s="318">
        <f t="shared" si="85"/>
        <v>4.49</v>
      </c>
      <c r="L245" s="318">
        <v>1188</v>
      </c>
      <c r="M245" s="318" t="s">
        <v>195</v>
      </c>
      <c r="N245" s="318">
        <v>1</v>
      </c>
      <c r="O245" s="619">
        <f t="shared" si="86"/>
        <v>4.49</v>
      </c>
      <c r="P245" s="750">
        <v>1</v>
      </c>
      <c r="Q245" s="750"/>
      <c r="R245" s="337">
        <v>1</v>
      </c>
      <c r="S245" s="348">
        <f t="shared" ref="S245:S274" si="92">H245*R245</f>
        <v>4.49</v>
      </c>
      <c r="T245" s="319"/>
      <c r="V245" s="328">
        <f t="shared" si="91"/>
        <v>4.49</v>
      </c>
      <c r="W245" s="320">
        <v>1</v>
      </c>
      <c r="X245" s="348">
        <f t="shared" si="87"/>
        <v>4.49</v>
      </c>
      <c r="Y245" s="330">
        <v>1</v>
      </c>
      <c r="Z245" s="348">
        <f t="shared" si="88"/>
        <v>4.49</v>
      </c>
      <c r="AB245" s="328">
        <f t="shared" si="89"/>
        <v>0</v>
      </c>
      <c r="AC245" s="328">
        <f t="shared" si="90"/>
        <v>0</v>
      </c>
    </row>
    <row r="246" spans="1:29">
      <c r="A246" s="318"/>
      <c r="B246" s="319"/>
      <c r="C246" s="318"/>
      <c r="D246" s="318"/>
      <c r="E246" s="319"/>
      <c r="F246" s="319"/>
      <c r="G246" s="318" t="s">
        <v>746</v>
      </c>
      <c r="H246" s="318">
        <v>4.49</v>
      </c>
      <c r="I246" s="318">
        <v>1</v>
      </c>
      <c r="J246" s="318">
        <f t="shared" si="84"/>
        <v>1</v>
      </c>
      <c r="K246" s="318">
        <f t="shared" si="85"/>
        <v>4.49</v>
      </c>
      <c r="L246" s="318">
        <v>1188</v>
      </c>
      <c r="M246" s="318" t="s">
        <v>195</v>
      </c>
      <c r="N246" s="318">
        <v>1</v>
      </c>
      <c r="O246" s="619">
        <f t="shared" si="86"/>
        <v>4.49</v>
      </c>
      <c r="P246" s="750">
        <v>1</v>
      </c>
      <c r="Q246" s="750"/>
      <c r="R246" s="337">
        <v>1</v>
      </c>
      <c r="S246" s="348">
        <f t="shared" si="92"/>
        <v>4.49</v>
      </c>
      <c r="T246" s="319"/>
      <c r="V246" s="328">
        <f t="shared" si="91"/>
        <v>4.49</v>
      </c>
      <c r="W246" s="320">
        <v>1</v>
      </c>
      <c r="X246" s="348">
        <f t="shared" si="87"/>
        <v>4.49</v>
      </c>
      <c r="Y246" s="330">
        <v>1</v>
      </c>
      <c r="Z246" s="348">
        <f t="shared" si="88"/>
        <v>4.49</v>
      </c>
      <c r="AB246" s="328">
        <f t="shared" si="89"/>
        <v>0</v>
      </c>
      <c r="AC246" s="328">
        <f t="shared" si="90"/>
        <v>0</v>
      </c>
    </row>
    <row r="247" spans="1:29">
      <c r="A247" s="318"/>
      <c r="B247" s="319"/>
      <c r="C247" s="318"/>
      <c r="D247" s="318"/>
      <c r="E247" s="319"/>
      <c r="F247" s="319"/>
      <c r="G247" s="318" t="s">
        <v>747</v>
      </c>
      <c r="H247" s="318">
        <v>4.49</v>
      </c>
      <c r="I247" s="318">
        <v>1</v>
      </c>
      <c r="J247" s="318">
        <f t="shared" si="84"/>
        <v>1</v>
      </c>
      <c r="K247" s="318">
        <f t="shared" si="85"/>
        <v>4.49</v>
      </c>
      <c r="L247" s="318">
        <v>1188</v>
      </c>
      <c r="M247" s="318" t="s">
        <v>195</v>
      </c>
      <c r="N247" s="318">
        <v>1</v>
      </c>
      <c r="O247" s="619">
        <f t="shared" si="86"/>
        <v>4.49</v>
      </c>
      <c r="P247" s="750">
        <v>1</v>
      </c>
      <c r="Q247" s="750"/>
      <c r="R247" s="337">
        <v>1</v>
      </c>
      <c r="S247" s="348">
        <f t="shared" si="92"/>
        <v>4.49</v>
      </c>
      <c r="T247" s="319"/>
      <c r="V247" s="328">
        <f t="shared" si="91"/>
        <v>4.49</v>
      </c>
      <c r="W247" s="320">
        <v>1</v>
      </c>
      <c r="X247" s="348">
        <f t="shared" si="87"/>
        <v>4.49</v>
      </c>
      <c r="Y247" s="330">
        <v>1</v>
      </c>
      <c r="Z247" s="348">
        <f t="shared" si="88"/>
        <v>4.49</v>
      </c>
      <c r="AB247" s="328">
        <f t="shared" si="89"/>
        <v>0</v>
      </c>
      <c r="AC247" s="328">
        <f t="shared" si="90"/>
        <v>0</v>
      </c>
    </row>
    <row r="248" spans="1:29">
      <c r="A248" s="318"/>
      <c r="B248" s="319"/>
      <c r="C248" s="318"/>
      <c r="D248" s="318"/>
      <c r="E248" s="319"/>
      <c r="F248" s="319"/>
      <c r="G248" s="318" t="s">
        <v>748</v>
      </c>
      <c r="H248" s="318">
        <v>4.49</v>
      </c>
      <c r="I248" s="318">
        <v>1</v>
      </c>
      <c r="J248" s="318">
        <f t="shared" si="84"/>
        <v>1</v>
      </c>
      <c r="K248" s="318">
        <f t="shared" si="85"/>
        <v>4.49</v>
      </c>
      <c r="L248" s="318">
        <v>1188</v>
      </c>
      <c r="M248" s="318" t="s">
        <v>195</v>
      </c>
      <c r="N248" s="318">
        <v>1</v>
      </c>
      <c r="O248" s="619">
        <f t="shared" si="86"/>
        <v>4.49</v>
      </c>
      <c r="P248" s="750">
        <v>1</v>
      </c>
      <c r="Q248" s="750"/>
      <c r="R248" s="337">
        <v>1</v>
      </c>
      <c r="S248" s="348">
        <f t="shared" si="92"/>
        <v>4.49</v>
      </c>
      <c r="T248" s="319"/>
      <c r="V248" s="328">
        <f t="shared" si="91"/>
        <v>4.49</v>
      </c>
      <c r="W248" s="320">
        <v>1</v>
      </c>
      <c r="X248" s="348">
        <f t="shared" si="87"/>
        <v>4.49</v>
      </c>
      <c r="Y248" s="330">
        <v>1</v>
      </c>
      <c r="Z248" s="348">
        <f t="shared" si="88"/>
        <v>4.49</v>
      </c>
      <c r="AB248" s="328">
        <f t="shared" si="89"/>
        <v>0</v>
      </c>
      <c r="AC248" s="328">
        <f t="shared" si="90"/>
        <v>0</v>
      </c>
    </row>
    <row r="249" spans="1:29">
      <c r="A249" s="318"/>
      <c r="B249" s="319"/>
      <c r="C249" s="318"/>
      <c r="D249" s="318"/>
      <c r="E249" s="319"/>
      <c r="F249" s="319"/>
      <c r="G249" s="318" t="s">
        <v>749</v>
      </c>
      <c r="H249" s="318">
        <v>4.49</v>
      </c>
      <c r="I249" s="318">
        <v>1</v>
      </c>
      <c r="J249" s="318">
        <f t="shared" si="84"/>
        <v>1</v>
      </c>
      <c r="K249" s="318">
        <f t="shared" si="85"/>
        <v>4.49</v>
      </c>
      <c r="L249" s="318">
        <v>1188</v>
      </c>
      <c r="M249" s="318" t="s">
        <v>195</v>
      </c>
      <c r="N249" s="318">
        <v>1</v>
      </c>
      <c r="O249" s="619">
        <f t="shared" si="86"/>
        <v>4.49</v>
      </c>
      <c r="P249" s="750">
        <v>1</v>
      </c>
      <c r="Q249" s="750"/>
      <c r="R249" s="337">
        <v>1</v>
      </c>
      <c r="S249" s="348">
        <f t="shared" si="92"/>
        <v>4.49</v>
      </c>
      <c r="T249" s="319"/>
      <c r="V249" s="328">
        <f t="shared" si="91"/>
        <v>4.49</v>
      </c>
      <c r="W249" s="320">
        <v>1</v>
      </c>
      <c r="X249" s="348">
        <f t="shared" si="87"/>
        <v>4.49</v>
      </c>
      <c r="Y249" s="330">
        <v>1</v>
      </c>
      <c r="Z249" s="348">
        <f t="shared" si="88"/>
        <v>4.49</v>
      </c>
      <c r="AB249" s="328">
        <f t="shared" si="89"/>
        <v>0</v>
      </c>
      <c r="AC249" s="328">
        <f t="shared" si="90"/>
        <v>0</v>
      </c>
    </row>
    <row r="250" spans="1:29">
      <c r="A250" s="318"/>
      <c r="B250" s="319"/>
      <c r="C250" s="318"/>
      <c r="D250" s="318"/>
      <c r="E250" s="319"/>
      <c r="F250" s="319"/>
      <c r="G250" s="318" t="s">
        <v>750</v>
      </c>
      <c r="H250" s="318">
        <v>4.49</v>
      </c>
      <c r="I250" s="318">
        <v>1</v>
      </c>
      <c r="J250" s="318">
        <f t="shared" si="84"/>
        <v>1</v>
      </c>
      <c r="K250" s="318">
        <f t="shared" si="85"/>
        <v>4.49</v>
      </c>
      <c r="L250" s="318">
        <v>1188</v>
      </c>
      <c r="M250" s="318" t="s">
        <v>195</v>
      </c>
      <c r="N250" s="318">
        <v>1</v>
      </c>
      <c r="O250" s="619">
        <f t="shared" si="86"/>
        <v>4.49</v>
      </c>
      <c r="P250" s="750">
        <v>1</v>
      </c>
      <c r="Q250" s="750"/>
      <c r="R250" s="337">
        <v>1</v>
      </c>
      <c r="S250" s="348">
        <f t="shared" si="92"/>
        <v>4.49</v>
      </c>
      <c r="T250" s="319"/>
      <c r="V250" s="328">
        <f t="shared" si="91"/>
        <v>4.49</v>
      </c>
      <c r="W250" s="320">
        <v>1</v>
      </c>
      <c r="X250" s="348">
        <f t="shared" si="87"/>
        <v>4.49</v>
      </c>
      <c r="Y250" s="330">
        <v>1</v>
      </c>
      <c r="Z250" s="348">
        <f t="shared" si="88"/>
        <v>4.49</v>
      </c>
      <c r="AB250" s="328">
        <f t="shared" si="89"/>
        <v>0</v>
      </c>
      <c r="AC250" s="328">
        <f t="shared" si="90"/>
        <v>0</v>
      </c>
    </row>
    <row r="251" spans="1:29">
      <c r="A251" s="318"/>
      <c r="B251" s="319"/>
      <c r="C251" s="318"/>
      <c r="D251" s="318"/>
      <c r="E251" s="319"/>
      <c r="F251" s="319"/>
      <c r="G251" s="318" t="s">
        <v>751</v>
      </c>
      <c r="H251" s="318">
        <v>4.49</v>
      </c>
      <c r="I251" s="318">
        <v>1</v>
      </c>
      <c r="J251" s="318">
        <f t="shared" si="84"/>
        <v>1</v>
      </c>
      <c r="K251" s="318">
        <f t="shared" si="85"/>
        <v>4.49</v>
      </c>
      <c r="L251" s="318">
        <v>1194</v>
      </c>
      <c r="M251" s="318" t="s">
        <v>197</v>
      </c>
      <c r="N251" s="318">
        <v>1</v>
      </c>
      <c r="O251" s="619">
        <f t="shared" si="86"/>
        <v>4.49</v>
      </c>
      <c r="P251" s="750">
        <v>1</v>
      </c>
      <c r="Q251" s="750"/>
      <c r="R251" s="337">
        <v>1</v>
      </c>
      <c r="S251" s="348">
        <f t="shared" si="92"/>
        <v>4.49</v>
      </c>
      <c r="T251" s="319"/>
      <c r="V251" s="328">
        <f t="shared" si="91"/>
        <v>4.49</v>
      </c>
      <c r="W251" s="320">
        <v>1</v>
      </c>
      <c r="X251" s="348">
        <f t="shared" si="87"/>
        <v>4.49</v>
      </c>
      <c r="Y251" s="330">
        <v>1</v>
      </c>
      <c r="Z251" s="348">
        <f t="shared" si="88"/>
        <v>4.49</v>
      </c>
      <c r="AB251" s="328">
        <f t="shared" si="89"/>
        <v>0</v>
      </c>
      <c r="AC251" s="328">
        <f t="shared" si="90"/>
        <v>0</v>
      </c>
    </row>
    <row r="252" spans="1:29">
      <c r="A252" s="318"/>
      <c r="B252" s="319"/>
      <c r="C252" s="318"/>
      <c r="D252" s="318"/>
      <c r="E252" s="319"/>
      <c r="F252" s="319"/>
      <c r="G252" s="318" t="s">
        <v>752</v>
      </c>
      <c r="H252" s="318">
        <v>4.49</v>
      </c>
      <c r="I252" s="318">
        <v>1</v>
      </c>
      <c r="J252" s="318">
        <f t="shared" si="84"/>
        <v>1</v>
      </c>
      <c r="K252" s="318">
        <f t="shared" si="85"/>
        <v>4.49</v>
      </c>
      <c r="L252" s="318">
        <v>1194</v>
      </c>
      <c r="M252" s="318" t="s">
        <v>197</v>
      </c>
      <c r="N252" s="318">
        <v>1</v>
      </c>
      <c r="O252" s="619">
        <f t="shared" si="86"/>
        <v>4.49</v>
      </c>
      <c r="P252" s="750">
        <v>1</v>
      </c>
      <c r="Q252" s="750"/>
      <c r="R252" s="337">
        <v>1</v>
      </c>
      <c r="S252" s="348">
        <f t="shared" si="92"/>
        <v>4.49</v>
      </c>
      <c r="T252" s="319"/>
      <c r="V252" s="328">
        <f t="shared" si="91"/>
        <v>4.49</v>
      </c>
      <c r="W252" s="320">
        <v>1</v>
      </c>
      <c r="X252" s="348">
        <f t="shared" si="87"/>
        <v>4.49</v>
      </c>
      <c r="Y252" s="330">
        <v>1</v>
      </c>
      <c r="Z252" s="348">
        <f t="shared" si="88"/>
        <v>4.49</v>
      </c>
      <c r="AB252" s="328">
        <f t="shared" si="89"/>
        <v>0</v>
      </c>
      <c r="AC252" s="328">
        <f t="shared" si="90"/>
        <v>0</v>
      </c>
    </row>
    <row r="253" spans="1:29">
      <c r="A253" s="318"/>
      <c r="B253" s="319"/>
      <c r="C253" s="318"/>
      <c r="D253" s="318"/>
      <c r="E253" s="319"/>
      <c r="F253" s="319"/>
      <c r="G253" s="318" t="s">
        <v>753</v>
      </c>
      <c r="H253" s="318">
        <v>2.97</v>
      </c>
      <c r="I253" s="318">
        <v>1</v>
      </c>
      <c r="J253" s="318">
        <f t="shared" si="84"/>
        <v>1</v>
      </c>
      <c r="K253" s="318">
        <f t="shared" si="85"/>
        <v>2.97</v>
      </c>
      <c r="L253" s="318"/>
      <c r="M253" s="318"/>
      <c r="N253" s="318">
        <v>1</v>
      </c>
      <c r="O253" s="619">
        <f t="shared" si="86"/>
        <v>2.97</v>
      </c>
      <c r="P253" s="750">
        <v>1</v>
      </c>
      <c r="Q253" s="750"/>
      <c r="R253" s="337">
        <v>1</v>
      </c>
      <c r="S253" s="348">
        <f t="shared" si="92"/>
        <v>2.97</v>
      </c>
      <c r="T253" s="319"/>
      <c r="V253" s="328">
        <f>2.95</f>
        <v>2.95</v>
      </c>
      <c r="W253" s="320">
        <v>1</v>
      </c>
      <c r="X253" s="348">
        <f t="shared" si="87"/>
        <v>2.95</v>
      </c>
      <c r="Y253" s="330">
        <v>1</v>
      </c>
      <c r="Z253" s="348">
        <f t="shared" si="88"/>
        <v>2.95</v>
      </c>
      <c r="AB253" s="328">
        <f t="shared" si="89"/>
        <v>-2.0000000000000018E-2</v>
      </c>
      <c r="AC253" s="328">
        <f t="shared" si="90"/>
        <v>-2.0000000000000018E-2</v>
      </c>
    </row>
    <row r="254" spans="1:29" ht="20.399999999999999">
      <c r="A254" s="318"/>
      <c r="B254" s="319"/>
      <c r="C254" s="318"/>
      <c r="D254" s="318"/>
      <c r="E254" s="319"/>
      <c r="F254" s="336" t="s">
        <v>604</v>
      </c>
      <c r="G254" s="318" t="s">
        <v>754</v>
      </c>
      <c r="H254" s="318">
        <v>2.35</v>
      </c>
      <c r="I254" s="318">
        <v>1</v>
      </c>
      <c r="J254" s="318">
        <f t="shared" si="84"/>
        <v>1</v>
      </c>
      <c r="K254" s="318">
        <f t="shared" si="85"/>
        <v>2.35</v>
      </c>
      <c r="L254" s="318" t="s">
        <v>249</v>
      </c>
      <c r="M254" s="318" t="s">
        <v>250</v>
      </c>
      <c r="N254" s="318">
        <v>1</v>
      </c>
      <c r="O254" s="619">
        <f t="shared" si="86"/>
        <v>2.35</v>
      </c>
      <c r="P254" s="750">
        <v>1</v>
      </c>
      <c r="Q254" s="750"/>
      <c r="R254" s="337">
        <v>1</v>
      </c>
      <c r="S254" s="348">
        <f t="shared" si="92"/>
        <v>2.35</v>
      </c>
      <c r="T254" s="319"/>
      <c r="V254" s="328">
        <f>0.982+2.354</f>
        <v>3.3360000000000003</v>
      </c>
      <c r="W254" s="320">
        <v>1</v>
      </c>
      <c r="X254" s="348">
        <f t="shared" si="87"/>
        <v>3.3360000000000003</v>
      </c>
      <c r="Y254" s="330">
        <v>1</v>
      </c>
      <c r="Z254" s="348">
        <f t="shared" si="88"/>
        <v>3.3360000000000003</v>
      </c>
      <c r="AB254" s="328">
        <f t="shared" si="89"/>
        <v>0.98600000000000021</v>
      </c>
      <c r="AC254" s="328">
        <f t="shared" si="90"/>
        <v>0.98600000000000021</v>
      </c>
    </row>
    <row r="255" spans="1:29">
      <c r="A255" s="318"/>
      <c r="B255" s="319"/>
      <c r="C255" s="318"/>
      <c r="D255" s="318"/>
      <c r="E255" s="319"/>
      <c r="F255" s="336" t="s">
        <v>696</v>
      </c>
      <c r="G255" s="318" t="s">
        <v>755</v>
      </c>
      <c r="H255" s="319">
        <v>2.04</v>
      </c>
      <c r="I255" s="318">
        <v>1</v>
      </c>
      <c r="J255" s="318">
        <f t="shared" si="84"/>
        <v>1</v>
      </c>
      <c r="K255" s="318">
        <f t="shared" si="85"/>
        <v>2.04</v>
      </c>
      <c r="L255" s="318" t="s">
        <v>338</v>
      </c>
      <c r="M255" s="318" t="s">
        <v>339</v>
      </c>
      <c r="N255" s="318">
        <v>1</v>
      </c>
      <c r="O255" s="619">
        <f t="shared" si="86"/>
        <v>2.04</v>
      </c>
      <c r="P255" s="750">
        <v>1</v>
      </c>
      <c r="Q255" s="750"/>
      <c r="R255" s="337">
        <v>1</v>
      </c>
      <c r="S255" s="348">
        <f t="shared" si="92"/>
        <v>2.04</v>
      </c>
      <c r="T255" s="319"/>
      <c r="V255" s="333">
        <f>2.355</f>
        <v>2.355</v>
      </c>
      <c r="W255" s="320">
        <v>1</v>
      </c>
      <c r="X255" s="348">
        <f t="shared" si="87"/>
        <v>2.355</v>
      </c>
      <c r="Y255" s="330">
        <v>1</v>
      </c>
      <c r="Z255" s="348">
        <f t="shared" si="88"/>
        <v>2.355</v>
      </c>
      <c r="AB255" s="333">
        <f t="shared" si="89"/>
        <v>0.31499999999999995</v>
      </c>
      <c r="AC255" s="333">
        <f t="shared" si="90"/>
        <v>0.31499999999999995</v>
      </c>
    </row>
    <row r="256" spans="1:29" ht="15" thickBot="1">
      <c r="A256" s="318"/>
      <c r="B256" s="319"/>
      <c r="C256" s="318"/>
      <c r="D256" s="318"/>
      <c r="E256" s="319"/>
      <c r="F256" s="336" t="s">
        <v>696</v>
      </c>
      <c r="G256" s="318" t="s">
        <v>756</v>
      </c>
      <c r="H256" s="319">
        <v>3.3</v>
      </c>
      <c r="I256" s="318">
        <v>1</v>
      </c>
      <c r="J256" s="318">
        <f t="shared" si="84"/>
        <v>1</v>
      </c>
      <c r="K256" s="318">
        <f t="shared" si="85"/>
        <v>3.3</v>
      </c>
      <c r="L256" s="318" t="s">
        <v>338</v>
      </c>
      <c r="M256" s="318" t="s">
        <v>339</v>
      </c>
      <c r="N256" s="318">
        <v>1</v>
      </c>
      <c r="O256" s="619">
        <f t="shared" si="86"/>
        <v>3.3</v>
      </c>
      <c r="P256" s="750">
        <v>1</v>
      </c>
      <c r="Q256" s="750"/>
      <c r="R256" s="592">
        <v>1</v>
      </c>
      <c r="S256" s="348">
        <f t="shared" si="92"/>
        <v>3.3</v>
      </c>
      <c r="T256" s="319"/>
      <c r="V256" s="333">
        <f>3.61</f>
        <v>3.61</v>
      </c>
      <c r="W256" s="320">
        <v>1</v>
      </c>
      <c r="X256" s="348">
        <f t="shared" si="87"/>
        <v>3.61</v>
      </c>
      <c r="Y256" s="330">
        <v>1</v>
      </c>
      <c r="Z256" s="348">
        <f t="shared" si="88"/>
        <v>3.61</v>
      </c>
      <c r="AB256" s="333">
        <f t="shared" si="89"/>
        <v>0.31000000000000005</v>
      </c>
      <c r="AC256" s="333">
        <f t="shared" si="90"/>
        <v>0.31000000000000005</v>
      </c>
    </row>
    <row r="257" spans="1:29" ht="14.4" customHeight="1" thickTop="1" thickBot="1">
      <c r="A257" s="318"/>
      <c r="B257" s="319"/>
      <c r="C257" s="318"/>
      <c r="D257" s="318"/>
      <c r="E257" s="319"/>
      <c r="F257" s="336" t="s">
        <v>604</v>
      </c>
      <c r="G257" s="649" t="s">
        <v>757</v>
      </c>
      <c r="H257" s="318">
        <v>4.8099999999999996</v>
      </c>
      <c r="I257" s="318">
        <v>1</v>
      </c>
      <c r="J257" s="318">
        <f t="shared" si="84"/>
        <v>1</v>
      </c>
      <c r="K257" s="318">
        <f t="shared" si="85"/>
        <v>4.8099999999999996</v>
      </c>
      <c r="L257" s="318">
        <v>2472</v>
      </c>
      <c r="M257" s="318">
        <v>244</v>
      </c>
      <c r="N257" s="318">
        <v>1</v>
      </c>
      <c r="O257" s="619">
        <f t="shared" si="86"/>
        <v>4.8099999999999996</v>
      </c>
      <c r="P257" s="750"/>
      <c r="Q257" s="747"/>
      <c r="R257" s="624"/>
      <c r="S257" s="348">
        <f t="shared" si="92"/>
        <v>0</v>
      </c>
      <c r="T257" s="340"/>
      <c r="V257" s="328">
        <f t="shared" ref="V257:V266" si="93">4.49</f>
        <v>4.49</v>
      </c>
      <c r="W257" s="320"/>
      <c r="X257" s="348">
        <f t="shared" si="87"/>
        <v>0</v>
      </c>
      <c r="Y257" s="330"/>
      <c r="Z257" s="348">
        <f t="shared" si="88"/>
        <v>0</v>
      </c>
      <c r="AB257" s="328">
        <f t="shared" si="89"/>
        <v>-4.8099999999999996</v>
      </c>
      <c r="AC257" s="328">
        <f t="shared" si="90"/>
        <v>0</v>
      </c>
    </row>
    <row r="258" spans="1:29" ht="15" thickTop="1">
      <c r="A258" s="584"/>
      <c r="B258" s="585"/>
      <c r="C258" s="584"/>
      <c r="D258" s="584"/>
      <c r="E258" s="585"/>
      <c r="F258" s="585" t="s">
        <v>384</v>
      </c>
      <c r="G258" s="584" t="s">
        <v>487</v>
      </c>
      <c r="H258" s="584"/>
      <c r="I258" s="584"/>
      <c r="J258" s="584"/>
      <c r="K258" s="584"/>
      <c r="L258" s="586"/>
      <c r="M258" s="586"/>
      <c r="N258" s="584"/>
      <c r="O258" s="631" t="s">
        <v>2321</v>
      </c>
      <c r="P258" s="750"/>
      <c r="Q258" s="750"/>
      <c r="R258" s="337"/>
      <c r="S258" s="348">
        <f t="shared" si="92"/>
        <v>0</v>
      </c>
      <c r="T258" s="1024" t="s">
        <v>561</v>
      </c>
      <c r="V258" s="328"/>
      <c r="W258" s="318"/>
      <c r="X258" s="384" t="s">
        <v>2321</v>
      </c>
      <c r="Y258" s="337"/>
      <c r="Z258" s="350" t="s">
        <v>2321</v>
      </c>
      <c r="AB258" s="328"/>
      <c r="AC258" s="328"/>
    </row>
    <row r="259" spans="1:29">
      <c r="A259" s="584"/>
      <c r="B259" s="585"/>
      <c r="C259" s="584"/>
      <c r="D259" s="584"/>
      <c r="E259" s="585"/>
      <c r="F259" s="585" t="s">
        <v>384</v>
      </c>
      <c r="G259" s="584" t="s">
        <v>488</v>
      </c>
      <c r="H259" s="584"/>
      <c r="I259" s="584"/>
      <c r="J259" s="584"/>
      <c r="K259" s="584"/>
      <c r="L259" s="586"/>
      <c r="M259" s="586"/>
      <c r="N259" s="584"/>
      <c r="O259" s="631" t="s">
        <v>2321</v>
      </c>
      <c r="P259" s="750"/>
      <c r="Q259" s="750"/>
      <c r="R259" s="337"/>
      <c r="S259" s="348">
        <f t="shared" si="92"/>
        <v>0</v>
      </c>
      <c r="T259" s="1025"/>
      <c r="V259" s="328"/>
      <c r="W259" s="318"/>
      <c r="X259" s="384" t="s">
        <v>2321</v>
      </c>
      <c r="Y259" s="337"/>
      <c r="Z259" s="350" t="s">
        <v>2321</v>
      </c>
      <c r="AB259" s="328"/>
      <c r="AC259" s="328"/>
    </row>
    <row r="260" spans="1:29">
      <c r="A260" s="584"/>
      <c r="B260" s="585"/>
      <c r="C260" s="584"/>
      <c r="D260" s="584"/>
      <c r="E260" s="585"/>
      <c r="F260" s="585" t="s">
        <v>384</v>
      </c>
      <c r="G260" s="584" t="s">
        <v>489</v>
      </c>
      <c r="H260" s="584"/>
      <c r="I260" s="584"/>
      <c r="J260" s="584"/>
      <c r="K260" s="584"/>
      <c r="L260" s="586"/>
      <c r="M260" s="586"/>
      <c r="N260" s="584"/>
      <c r="O260" s="631" t="s">
        <v>2321</v>
      </c>
      <c r="P260" s="750"/>
      <c r="Q260" s="750"/>
      <c r="R260" s="337"/>
      <c r="S260" s="348">
        <f t="shared" si="92"/>
        <v>0</v>
      </c>
      <c r="T260" s="1025"/>
      <c r="V260" s="328"/>
      <c r="W260" s="318"/>
      <c r="X260" s="384" t="s">
        <v>2321</v>
      </c>
      <c r="Y260" s="337"/>
      <c r="Z260" s="350" t="s">
        <v>2321</v>
      </c>
      <c r="AB260" s="328"/>
      <c r="AC260" s="328"/>
    </row>
    <row r="261" spans="1:29" ht="15" thickBot="1">
      <c r="A261" s="584"/>
      <c r="B261" s="585"/>
      <c r="C261" s="584"/>
      <c r="D261" s="584"/>
      <c r="E261" s="585"/>
      <c r="F261" s="585" t="s">
        <v>384</v>
      </c>
      <c r="G261" s="584" t="s">
        <v>490</v>
      </c>
      <c r="H261" s="584"/>
      <c r="I261" s="584"/>
      <c r="J261" s="584"/>
      <c r="K261" s="584"/>
      <c r="L261" s="586"/>
      <c r="M261" s="586"/>
      <c r="N261" s="584"/>
      <c r="O261" s="631" t="s">
        <v>2321</v>
      </c>
      <c r="P261" s="750"/>
      <c r="Q261" s="750"/>
      <c r="R261" s="592"/>
      <c r="S261" s="348">
        <f t="shared" si="92"/>
        <v>0</v>
      </c>
      <c r="T261" s="1026"/>
      <c r="V261" s="328"/>
      <c r="W261" s="318"/>
      <c r="X261" s="384" t="s">
        <v>2321</v>
      </c>
      <c r="Y261" s="337"/>
      <c r="Z261" s="350" t="s">
        <v>2321</v>
      </c>
      <c r="AB261" s="328"/>
      <c r="AC261" s="328"/>
    </row>
    <row r="262" spans="1:29" ht="21.6" thickTop="1" thickBot="1">
      <c r="A262" s="318"/>
      <c r="B262" s="319"/>
      <c r="C262" s="318"/>
      <c r="D262" s="318"/>
      <c r="E262" s="319"/>
      <c r="F262" s="336" t="s">
        <v>604</v>
      </c>
      <c r="G262" s="649" t="s">
        <v>758</v>
      </c>
      <c r="H262" s="318">
        <v>4.8</v>
      </c>
      <c r="I262" s="318">
        <v>1</v>
      </c>
      <c r="J262" s="318">
        <f t="shared" ref="J262:J274" si="94">IF(N262&gt;0,1,0)</f>
        <v>1</v>
      </c>
      <c r="K262" s="318">
        <f t="shared" ref="K262:K274" si="95">H262*J262</f>
        <v>4.8</v>
      </c>
      <c r="L262" s="318">
        <v>2472</v>
      </c>
      <c r="M262" s="318">
        <v>244</v>
      </c>
      <c r="N262" s="318">
        <v>1</v>
      </c>
      <c r="O262" s="619">
        <f t="shared" si="86"/>
        <v>4.8</v>
      </c>
      <c r="P262" s="750"/>
      <c r="Q262" s="747"/>
      <c r="R262" s="624"/>
      <c r="S262" s="348">
        <f t="shared" si="92"/>
        <v>0</v>
      </c>
      <c r="T262" s="319"/>
      <c r="V262" s="328">
        <f t="shared" si="93"/>
        <v>4.49</v>
      </c>
      <c r="W262" s="320"/>
      <c r="X262" s="348">
        <f t="shared" ref="X262:X274" si="96">V262*W262</f>
        <v>0</v>
      </c>
      <c r="Y262" s="330"/>
      <c r="Z262" s="348">
        <f t="shared" ref="Z262:Z274" si="97">V262*Y262</f>
        <v>0</v>
      </c>
      <c r="AB262" s="328">
        <f t="shared" ref="AB262:AB274" si="98">X262-O262</f>
        <v>-4.8</v>
      </c>
      <c r="AC262" s="328">
        <f t="shared" ref="AC262:AC274" si="99">Z262-S262</f>
        <v>0</v>
      </c>
    </row>
    <row r="263" spans="1:29" ht="15" thickTop="1">
      <c r="A263" s="318"/>
      <c r="B263" s="319"/>
      <c r="C263" s="318"/>
      <c r="D263" s="318"/>
      <c r="E263" s="319"/>
      <c r="F263" s="319"/>
      <c r="G263" s="318" t="s">
        <v>759</v>
      </c>
      <c r="H263" s="318">
        <v>4.49</v>
      </c>
      <c r="I263" s="318">
        <v>1</v>
      </c>
      <c r="J263" s="318">
        <f t="shared" si="94"/>
        <v>1</v>
      </c>
      <c r="K263" s="318">
        <f t="shared" si="95"/>
        <v>4.49</v>
      </c>
      <c r="L263" s="318">
        <v>2472</v>
      </c>
      <c r="M263" s="318">
        <v>244</v>
      </c>
      <c r="N263" s="318">
        <v>1</v>
      </c>
      <c r="O263" s="619">
        <f t="shared" si="86"/>
        <v>4.49</v>
      </c>
      <c r="P263" s="750">
        <v>1</v>
      </c>
      <c r="Q263" s="750"/>
      <c r="R263" s="337">
        <v>1</v>
      </c>
      <c r="S263" s="348">
        <f t="shared" si="92"/>
        <v>4.49</v>
      </c>
      <c r="T263" s="319"/>
      <c r="V263" s="328">
        <f t="shared" si="93"/>
        <v>4.49</v>
      </c>
      <c r="W263" s="320">
        <v>1</v>
      </c>
      <c r="X263" s="348">
        <f t="shared" si="96"/>
        <v>4.49</v>
      </c>
      <c r="Y263" s="330">
        <v>1</v>
      </c>
      <c r="Z263" s="348">
        <f t="shared" si="97"/>
        <v>4.49</v>
      </c>
      <c r="AB263" s="328">
        <f t="shared" si="98"/>
        <v>0</v>
      </c>
      <c r="AC263" s="328">
        <f t="shared" si="99"/>
        <v>0</v>
      </c>
    </row>
    <row r="264" spans="1:29">
      <c r="A264" s="318"/>
      <c r="B264" s="319"/>
      <c r="C264" s="318"/>
      <c r="D264" s="318"/>
      <c r="E264" s="319"/>
      <c r="F264" s="319"/>
      <c r="G264" s="318" t="s">
        <v>760</v>
      </c>
      <c r="H264" s="318">
        <v>4.49</v>
      </c>
      <c r="I264" s="318">
        <v>1</v>
      </c>
      <c r="J264" s="318">
        <f t="shared" si="94"/>
        <v>1</v>
      </c>
      <c r="K264" s="318">
        <f t="shared" si="95"/>
        <v>4.49</v>
      </c>
      <c r="L264" s="318">
        <v>1194</v>
      </c>
      <c r="M264" s="318" t="s">
        <v>197</v>
      </c>
      <c r="N264" s="318">
        <v>1</v>
      </c>
      <c r="O264" s="619">
        <f t="shared" si="86"/>
        <v>4.49</v>
      </c>
      <c r="P264" s="750">
        <v>1</v>
      </c>
      <c r="Q264" s="750"/>
      <c r="R264" s="337">
        <v>1</v>
      </c>
      <c r="S264" s="348">
        <f t="shared" si="92"/>
        <v>4.49</v>
      </c>
      <c r="T264" s="319"/>
      <c r="V264" s="328">
        <f t="shared" si="93"/>
        <v>4.49</v>
      </c>
      <c r="W264" s="320">
        <v>1</v>
      </c>
      <c r="X264" s="348">
        <f t="shared" si="96"/>
        <v>4.49</v>
      </c>
      <c r="Y264" s="330">
        <v>1</v>
      </c>
      <c r="Z264" s="348">
        <f t="shared" si="97"/>
        <v>4.49</v>
      </c>
      <c r="AB264" s="328">
        <f t="shared" si="98"/>
        <v>0</v>
      </c>
      <c r="AC264" s="328">
        <f t="shared" si="99"/>
        <v>0</v>
      </c>
    </row>
    <row r="265" spans="1:29">
      <c r="A265" s="318"/>
      <c r="B265" s="319"/>
      <c r="C265" s="318"/>
      <c r="D265" s="318"/>
      <c r="E265" s="319"/>
      <c r="F265" s="336"/>
      <c r="G265" s="318" t="s">
        <v>761</v>
      </c>
      <c r="H265" s="318">
        <v>4.49</v>
      </c>
      <c r="I265" s="318">
        <v>1</v>
      </c>
      <c r="J265" s="318">
        <f t="shared" si="94"/>
        <v>1</v>
      </c>
      <c r="K265" s="318">
        <f t="shared" si="95"/>
        <v>4.49</v>
      </c>
      <c r="L265" s="318">
        <v>1194</v>
      </c>
      <c r="M265" s="318" t="s">
        <v>197</v>
      </c>
      <c r="N265" s="318">
        <v>1</v>
      </c>
      <c r="O265" s="619">
        <f t="shared" si="86"/>
        <v>4.49</v>
      </c>
      <c r="P265" s="750">
        <v>1</v>
      </c>
      <c r="Q265" s="750"/>
      <c r="R265" s="337">
        <v>1</v>
      </c>
      <c r="S265" s="348">
        <f t="shared" si="92"/>
        <v>4.49</v>
      </c>
      <c r="T265" s="319"/>
      <c r="V265" s="328">
        <f t="shared" si="93"/>
        <v>4.49</v>
      </c>
      <c r="W265" s="320">
        <v>1</v>
      </c>
      <c r="X265" s="348">
        <f t="shared" si="96"/>
        <v>4.49</v>
      </c>
      <c r="Y265" s="330">
        <v>1</v>
      </c>
      <c r="Z265" s="348">
        <f t="shared" si="97"/>
        <v>4.49</v>
      </c>
      <c r="AB265" s="328">
        <f t="shared" si="98"/>
        <v>0</v>
      </c>
      <c r="AC265" s="328">
        <f t="shared" si="99"/>
        <v>0</v>
      </c>
    </row>
    <row r="266" spans="1:29" ht="14.4" customHeight="1">
      <c r="A266" s="318"/>
      <c r="B266" s="319"/>
      <c r="C266" s="318"/>
      <c r="D266" s="318"/>
      <c r="E266" s="319"/>
      <c r="F266" s="319"/>
      <c r="G266" s="318" t="s">
        <v>762</v>
      </c>
      <c r="H266" s="318">
        <v>4.49</v>
      </c>
      <c r="I266" s="318">
        <v>1</v>
      </c>
      <c r="J266" s="318">
        <f t="shared" si="94"/>
        <v>1</v>
      </c>
      <c r="K266" s="318">
        <f t="shared" si="95"/>
        <v>4.49</v>
      </c>
      <c r="L266" s="318"/>
      <c r="M266" s="318"/>
      <c r="N266" s="318">
        <v>1</v>
      </c>
      <c r="O266" s="619">
        <f t="shared" si="86"/>
        <v>4.49</v>
      </c>
      <c r="P266" s="750">
        <v>1</v>
      </c>
      <c r="Q266" s="750"/>
      <c r="R266" s="337">
        <v>1</v>
      </c>
      <c r="S266" s="348">
        <f t="shared" si="92"/>
        <v>4.49</v>
      </c>
      <c r="T266" s="319"/>
      <c r="V266" s="328">
        <f t="shared" si="93"/>
        <v>4.49</v>
      </c>
      <c r="W266" s="320">
        <v>1</v>
      </c>
      <c r="X266" s="348">
        <f t="shared" si="96"/>
        <v>4.49</v>
      </c>
      <c r="Y266" s="330">
        <v>1</v>
      </c>
      <c r="Z266" s="348">
        <f t="shared" si="97"/>
        <v>4.49</v>
      </c>
      <c r="AB266" s="328">
        <f t="shared" si="98"/>
        <v>0</v>
      </c>
      <c r="AC266" s="328">
        <f t="shared" si="99"/>
        <v>0</v>
      </c>
    </row>
    <row r="267" spans="1:29">
      <c r="A267" s="318"/>
      <c r="B267" s="319"/>
      <c r="C267" s="318"/>
      <c r="D267" s="318"/>
      <c r="E267" s="319"/>
      <c r="F267" s="336" t="s">
        <v>696</v>
      </c>
      <c r="G267" s="318" t="s">
        <v>763</v>
      </c>
      <c r="H267" s="318">
        <v>1.49</v>
      </c>
      <c r="I267" s="318">
        <v>1</v>
      </c>
      <c r="J267" s="318">
        <f t="shared" si="94"/>
        <v>1</v>
      </c>
      <c r="K267" s="318">
        <f t="shared" si="95"/>
        <v>1.49</v>
      </c>
      <c r="L267" s="318"/>
      <c r="M267" s="318"/>
      <c r="N267" s="318">
        <v>1</v>
      </c>
      <c r="O267" s="619">
        <f t="shared" si="86"/>
        <v>1.49</v>
      </c>
      <c r="P267" s="750">
        <v>1</v>
      </c>
      <c r="Q267" s="750"/>
      <c r="R267" s="337">
        <v>1</v>
      </c>
      <c r="S267" s="348">
        <f t="shared" si="92"/>
        <v>1.49</v>
      </c>
      <c r="T267" s="319"/>
      <c r="V267" s="328">
        <f>1.8</f>
        <v>1.8</v>
      </c>
      <c r="W267" s="320">
        <v>1</v>
      </c>
      <c r="X267" s="348">
        <f t="shared" si="96"/>
        <v>1.8</v>
      </c>
      <c r="Y267" s="330">
        <v>1</v>
      </c>
      <c r="Z267" s="348">
        <f t="shared" si="97"/>
        <v>1.8</v>
      </c>
      <c r="AB267" s="328">
        <f t="shared" si="98"/>
        <v>0.31000000000000005</v>
      </c>
      <c r="AC267" s="328">
        <f t="shared" si="99"/>
        <v>0.31000000000000005</v>
      </c>
    </row>
    <row r="268" spans="1:29">
      <c r="A268" s="318"/>
      <c r="B268" s="319"/>
      <c r="C268" s="318"/>
      <c r="D268" s="318"/>
      <c r="E268" s="319"/>
      <c r="F268" s="336" t="s">
        <v>696</v>
      </c>
      <c r="G268" s="318" t="s">
        <v>764</v>
      </c>
      <c r="H268" s="318">
        <v>3.49</v>
      </c>
      <c r="I268" s="318">
        <v>1</v>
      </c>
      <c r="J268" s="318">
        <f t="shared" si="94"/>
        <v>1</v>
      </c>
      <c r="K268" s="318">
        <f t="shared" si="95"/>
        <v>3.49</v>
      </c>
      <c r="L268" s="318"/>
      <c r="M268" s="318"/>
      <c r="N268" s="318">
        <v>1</v>
      </c>
      <c r="O268" s="619">
        <f t="shared" si="86"/>
        <v>3.49</v>
      </c>
      <c r="P268" s="750">
        <v>1</v>
      </c>
      <c r="Q268" s="750"/>
      <c r="R268" s="337">
        <v>1</v>
      </c>
      <c r="S268" s="348">
        <f t="shared" si="92"/>
        <v>3.49</v>
      </c>
      <c r="T268" s="319"/>
      <c r="V268" s="328">
        <f>3.805</f>
        <v>3.8050000000000002</v>
      </c>
      <c r="W268" s="320">
        <v>1</v>
      </c>
      <c r="X268" s="348">
        <f t="shared" si="96"/>
        <v>3.8050000000000002</v>
      </c>
      <c r="Y268" s="330">
        <v>1</v>
      </c>
      <c r="Z268" s="348">
        <f t="shared" si="97"/>
        <v>3.8050000000000002</v>
      </c>
      <c r="AB268" s="328">
        <f t="shared" si="98"/>
        <v>0.31499999999999995</v>
      </c>
      <c r="AC268" s="328">
        <f t="shared" si="99"/>
        <v>0.31499999999999995</v>
      </c>
    </row>
    <row r="269" spans="1:29">
      <c r="A269" s="318"/>
      <c r="B269" s="319"/>
      <c r="C269" s="318"/>
      <c r="D269" s="318"/>
      <c r="E269" s="319"/>
      <c r="F269" s="319"/>
      <c r="G269" s="318" t="s">
        <v>765</v>
      </c>
      <c r="H269" s="318">
        <v>4.3499999999999996</v>
      </c>
      <c r="I269" s="318">
        <v>1</v>
      </c>
      <c r="J269" s="318">
        <f t="shared" si="94"/>
        <v>1</v>
      </c>
      <c r="K269" s="318">
        <f t="shared" si="95"/>
        <v>4.3499999999999996</v>
      </c>
      <c r="L269" s="318"/>
      <c r="M269" s="318"/>
      <c r="N269" s="318">
        <v>1</v>
      </c>
      <c r="O269" s="619">
        <f t="shared" si="86"/>
        <v>4.3499999999999996</v>
      </c>
      <c r="P269" s="750">
        <v>1</v>
      </c>
      <c r="Q269" s="750"/>
      <c r="R269" s="337">
        <v>1</v>
      </c>
      <c r="S269" s="348">
        <f t="shared" si="92"/>
        <v>4.3499999999999996</v>
      </c>
      <c r="T269" s="319"/>
      <c r="V269" s="328">
        <v>4.34</v>
      </c>
      <c r="W269" s="320">
        <v>1</v>
      </c>
      <c r="X269" s="348">
        <f t="shared" si="96"/>
        <v>4.34</v>
      </c>
      <c r="Y269" s="330">
        <v>1</v>
      </c>
      <c r="Z269" s="348">
        <f t="shared" si="97"/>
        <v>4.34</v>
      </c>
      <c r="AB269" s="328">
        <f t="shared" si="98"/>
        <v>-9.9999999999997868E-3</v>
      </c>
      <c r="AC269" s="328">
        <f t="shared" si="99"/>
        <v>-9.9999999999997868E-3</v>
      </c>
    </row>
    <row r="270" spans="1:29">
      <c r="A270" s="318"/>
      <c r="B270" s="319"/>
      <c r="C270" s="318"/>
      <c r="D270" s="318"/>
      <c r="E270" s="319"/>
      <c r="F270" s="336"/>
      <c r="G270" s="318" t="s">
        <v>766</v>
      </c>
      <c r="H270" s="318">
        <v>4.3499999999999996</v>
      </c>
      <c r="I270" s="318">
        <v>1</v>
      </c>
      <c r="J270" s="318">
        <f t="shared" si="94"/>
        <v>1</v>
      </c>
      <c r="K270" s="318">
        <f t="shared" si="95"/>
        <v>4.3499999999999996</v>
      </c>
      <c r="L270" s="318"/>
      <c r="M270" s="318"/>
      <c r="N270" s="318">
        <v>1</v>
      </c>
      <c r="O270" s="619">
        <f t="shared" si="86"/>
        <v>4.3499999999999996</v>
      </c>
      <c r="P270" s="750">
        <v>1</v>
      </c>
      <c r="Q270" s="750"/>
      <c r="R270" s="337">
        <v>1</v>
      </c>
      <c r="S270" s="348">
        <f t="shared" si="92"/>
        <v>4.3499999999999996</v>
      </c>
      <c r="T270" s="319"/>
      <c r="V270" s="328">
        <v>4.34</v>
      </c>
      <c r="W270" s="320">
        <v>1</v>
      </c>
      <c r="X270" s="348">
        <f t="shared" si="96"/>
        <v>4.34</v>
      </c>
      <c r="Y270" s="330">
        <v>1</v>
      </c>
      <c r="Z270" s="348">
        <f t="shared" si="97"/>
        <v>4.34</v>
      </c>
      <c r="AB270" s="328">
        <f t="shared" si="98"/>
        <v>-9.9999999999997868E-3</v>
      </c>
      <c r="AC270" s="328">
        <f t="shared" si="99"/>
        <v>-9.9999999999997868E-3</v>
      </c>
    </row>
    <row r="271" spans="1:29">
      <c r="A271" s="318"/>
      <c r="B271" s="319"/>
      <c r="C271" s="318"/>
      <c r="D271" s="318"/>
      <c r="E271" s="319"/>
      <c r="F271" s="319"/>
      <c r="G271" s="318" t="s">
        <v>767</v>
      </c>
      <c r="H271" s="318">
        <v>4.3499999999999996</v>
      </c>
      <c r="I271" s="318">
        <v>1</v>
      </c>
      <c r="J271" s="318">
        <f t="shared" si="94"/>
        <v>1</v>
      </c>
      <c r="K271" s="318">
        <f t="shared" si="95"/>
        <v>4.3499999999999996</v>
      </c>
      <c r="L271" s="318"/>
      <c r="M271" s="318"/>
      <c r="N271" s="318">
        <v>1</v>
      </c>
      <c r="O271" s="619">
        <f t="shared" si="86"/>
        <v>4.3499999999999996</v>
      </c>
      <c r="P271" s="750">
        <v>1</v>
      </c>
      <c r="Q271" s="750"/>
      <c r="R271" s="337">
        <v>1</v>
      </c>
      <c r="S271" s="348">
        <f t="shared" si="92"/>
        <v>4.3499999999999996</v>
      </c>
      <c r="T271" s="319"/>
      <c r="V271" s="328">
        <v>4.34</v>
      </c>
      <c r="W271" s="320">
        <v>1</v>
      </c>
      <c r="X271" s="348">
        <f t="shared" si="96"/>
        <v>4.34</v>
      </c>
      <c r="Y271" s="330">
        <v>1</v>
      </c>
      <c r="Z271" s="348">
        <f t="shared" si="97"/>
        <v>4.34</v>
      </c>
      <c r="AB271" s="328">
        <f t="shared" si="98"/>
        <v>-9.9999999999997868E-3</v>
      </c>
      <c r="AC271" s="328">
        <f t="shared" si="99"/>
        <v>-9.9999999999997868E-3</v>
      </c>
    </row>
    <row r="272" spans="1:29">
      <c r="A272" s="318"/>
      <c r="B272" s="319"/>
      <c r="C272" s="318"/>
      <c r="D272" s="318"/>
      <c r="E272" s="319"/>
      <c r="F272" s="319"/>
      <c r="G272" s="318" t="s">
        <v>768</v>
      </c>
      <c r="H272" s="318">
        <v>4.3499999999999996</v>
      </c>
      <c r="I272" s="318">
        <v>1</v>
      </c>
      <c r="J272" s="318">
        <f t="shared" si="94"/>
        <v>1</v>
      </c>
      <c r="K272" s="318">
        <f t="shared" si="95"/>
        <v>4.3499999999999996</v>
      </c>
      <c r="L272" s="318" t="s">
        <v>232</v>
      </c>
      <c r="M272" s="318" t="s">
        <v>172</v>
      </c>
      <c r="N272" s="318">
        <v>1</v>
      </c>
      <c r="O272" s="619">
        <f t="shared" si="86"/>
        <v>4.3499999999999996</v>
      </c>
      <c r="P272" s="750">
        <v>1</v>
      </c>
      <c r="Q272" s="750"/>
      <c r="R272" s="337">
        <v>1</v>
      </c>
      <c r="S272" s="348">
        <f t="shared" si="92"/>
        <v>4.3499999999999996</v>
      </c>
      <c r="T272" s="319"/>
      <c r="V272" s="328">
        <v>4.34</v>
      </c>
      <c r="W272" s="320">
        <v>1</v>
      </c>
      <c r="X272" s="348">
        <f t="shared" si="96"/>
        <v>4.34</v>
      </c>
      <c r="Y272" s="330">
        <v>1</v>
      </c>
      <c r="Z272" s="348">
        <f t="shared" si="97"/>
        <v>4.34</v>
      </c>
      <c r="AB272" s="328">
        <f t="shared" si="98"/>
        <v>-9.9999999999997868E-3</v>
      </c>
      <c r="AC272" s="328">
        <f t="shared" si="99"/>
        <v>-9.9999999999997868E-3</v>
      </c>
    </row>
    <row r="273" spans="1:29">
      <c r="A273" s="318"/>
      <c r="B273" s="319"/>
      <c r="C273" s="318"/>
      <c r="D273" s="318"/>
      <c r="E273" s="319"/>
      <c r="F273" s="319"/>
      <c r="G273" s="318" t="s">
        <v>769</v>
      </c>
      <c r="H273" s="318">
        <v>3.68</v>
      </c>
      <c r="I273" s="318">
        <v>1</v>
      </c>
      <c r="J273" s="318">
        <f t="shared" si="94"/>
        <v>1</v>
      </c>
      <c r="K273" s="318">
        <f t="shared" si="95"/>
        <v>3.68</v>
      </c>
      <c r="L273" s="318"/>
      <c r="M273" s="318"/>
      <c r="N273" s="318">
        <v>1</v>
      </c>
      <c r="O273" s="619">
        <f t="shared" si="86"/>
        <v>3.68</v>
      </c>
      <c r="P273" s="750">
        <v>1</v>
      </c>
      <c r="Q273" s="750"/>
      <c r="R273" s="337">
        <v>1</v>
      </c>
      <c r="S273" s="348">
        <f t="shared" si="92"/>
        <v>3.68</v>
      </c>
      <c r="T273" s="319"/>
      <c r="V273" s="328">
        <f>3.995</f>
        <v>3.9950000000000001</v>
      </c>
      <c r="W273" s="320">
        <v>1</v>
      </c>
      <c r="X273" s="348">
        <f t="shared" si="96"/>
        <v>3.9950000000000001</v>
      </c>
      <c r="Y273" s="330">
        <v>1</v>
      </c>
      <c r="Z273" s="348">
        <f t="shared" si="97"/>
        <v>3.9950000000000001</v>
      </c>
      <c r="AB273" s="328">
        <f t="shared" si="98"/>
        <v>0.31499999999999995</v>
      </c>
      <c r="AC273" s="328">
        <f t="shared" si="99"/>
        <v>0.31499999999999995</v>
      </c>
    </row>
    <row r="274" spans="1:29">
      <c r="A274" s="318"/>
      <c r="B274" s="319"/>
      <c r="C274" s="318"/>
      <c r="D274" s="318"/>
      <c r="E274" s="319"/>
      <c r="F274" s="319"/>
      <c r="G274" s="318" t="s">
        <v>770</v>
      </c>
      <c r="H274" s="318">
        <v>1.49</v>
      </c>
      <c r="I274" s="318">
        <v>1</v>
      </c>
      <c r="J274" s="318">
        <f t="shared" si="94"/>
        <v>1</v>
      </c>
      <c r="K274" s="318">
        <f t="shared" si="95"/>
        <v>1.49</v>
      </c>
      <c r="L274" s="318"/>
      <c r="M274" s="318"/>
      <c r="N274" s="318">
        <v>1</v>
      </c>
      <c r="O274" s="619">
        <f t="shared" si="86"/>
        <v>1.49</v>
      </c>
      <c r="P274" s="750">
        <v>1</v>
      </c>
      <c r="Q274" s="750"/>
      <c r="R274" s="337">
        <v>1</v>
      </c>
      <c r="S274" s="348">
        <f t="shared" si="92"/>
        <v>1.49</v>
      </c>
      <c r="T274" s="319"/>
      <c r="V274" s="328">
        <f>1.8</f>
        <v>1.8</v>
      </c>
      <c r="W274" s="320">
        <v>1</v>
      </c>
      <c r="X274" s="348">
        <f t="shared" si="96"/>
        <v>1.8</v>
      </c>
      <c r="Y274" s="330">
        <v>1</v>
      </c>
      <c r="Z274" s="348">
        <f t="shared" si="97"/>
        <v>1.8</v>
      </c>
      <c r="AB274" s="328">
        <f t="shared" si="98"/>
        <v>0.31000000000000005</v>
      </c>
      <c r="AC274" s="328">
        <f t="shared" si="99"/>
        <v>0.31000000000000005</v>
      </c>
    </row>
    <row r="275" spans="1:29">
      <c r="A275" s="318"/>
      <c r="B275" s="319"/>
      <c r="C275" s="318"/>
      <c r="D275" s="318"/>
      <c r="E275" s="319"/>
      <c r="F275" s="319"/>
      <c r="G275" s="318"/>
      <c r="H275" s="318"/>
      <c r="I275" s="318"/>
      <c r="J275" s="382" t="s">
        <v>389</v>
      </c>
      <c r="K275" s="321">
        <f>SUM(K243:K274)</f>
        <v>110.67999999999996</v>
      </c>
      <c r="L275" s="318"/>
      <c r="M275" s="318"/>
      <c r="N275" s="382" t="s">
        <v>389</v>
      </c>
      <c r="O275" s="748">
        <f>SUM(O243:O274)</f>
        <v>110.67999999999996</v>
      </c>
      <c r="P275" s="751" t="s">
        <v>389</v>
      </c>
      <c r="Q275" s="751"/>
      <c r="R275" s="382"/>
      <c r="S275" s="321">
        <f>SUM(S243:S274)</f>
        <v>101.06999999999996</v>
      </c>
      <c r="T275" s="319"/>
      <c r="V275" s="328"/>
      <c r="W275" s="321" t="s">
        <v>389</v>
      </c>
      <c r="X275" s="338">
        <f>SUM(X243:X274)</f>
        <v>103.87100000000002</v>
      </c>
      <c r="Y275" s="321" t="s">
        <v>389</v>
      </c>
      <c r="Z275" s="338">
        <f>SUM(Z243:Z274)</f>
        <v>103.87100000000002</v>
      </c>
      <c r="AB275" s="328"/>
      <c r="AC275" s="328"/>
    </row>
    <row r="276" spans="1:29" ht="6.75" customHeight="1">
      <c r="A276" s="316"/>
      <c r="B276" s="317"/>
      <c r="C276" s="316"/>
      <c r="D276" s="316"/>
      <c r="E276" s="317"/>
      <c r="F276" s="317"/>
      <c r="G276" s="316"/>
      <c r="H276" s="316"/>
      <c r="I276" s="316"/>
      <c r="J276" s="316"/>
      <c r="K276" s="316"/>
      <c r="L276" s="316"/>
      <c r="M276" s="316"/>
      <c r="N276" s="316"/>
      <c r="O276" s="749"/>
      <c r="P276" s="633"/>
      <c r="Q276" s="633"/>
      <c r="R276" s="949"/>
      <c r="S276" s="339"/>
      <c r="T276" s="317"/>
      <c r="V276" s="332"/>
      <c r="W276" s="316"/>
      <c r="X276" s="339"/>
      <c r="Y276" s="316"/>
      <c r="Z276" s="339"/>
      <c r="AB276" s="332"/>
      <c r="AC276" s="332"/>
    </row>
    <row r="277" spans="1:29">
      <c r="A277" s="318">
        <v>7</v>
      </c>
      <c r="B277" s="319" t="s">
        <v>383</v>
      </c>
      <c r="C277" s="318">
        <v>600</v>
      </c>
      <c r="D277" s="318">
        <v>12</v>
      </c>
      <c r="E277" s="319">
        <v>1</v>
      </c>
      <c r="F277" s="319"/>
      <c r="G277" s="318" t="s">
        <v>771</v>
      </c>
      <c r="H277" s="318">
        <v>2.8</v>
      </c>
      <c r="I277" s="318">
        <v>1</v>
      </c>
      <c r="J277" s="318">
        <f t="shared" ref="J277:J299" si="100">IF(N277&gt;0,1,0)</f>
        <v>1</v>
      </c>
      <c r="K277" s="318">
        <f t="shared" ref="K277:K299" si="101">H277*J277</f>
        <v>2.8</v>
      </c>
      <c r="L277" s="318">
        <v>1386</v>
      </c>
      <c r="M277" s="318" t="s">
        <v>246</v>
      </c>
      <c r="N277" s="318">
        <v>1</v>
      </c>
      <c r="O277" s="619">
        <f t="shared" ref="O277:O307" si="102">H277*N277</f>
        <v>2.8</v>
      </c>
      <c r="P277" s="750">
        <v>1</v>
      </c>
      <c r="Q277" s="750"/>
      <c r="R277" s="337">
        <v>1</v>
      </c>
      <c r="S277" s="348">
        <f>H277*R277</f>
        <v>2.8</v>
      </c>
      <c r="T277" s="319"/>
      <c r="V277" s="328">
        <f>2.793</f>
        <v>2.7930000000000001</v>
      </c>
      <c r="W277" s="320">
        <v>1</v>
      </c>
      <c r="X277" s="348">
        <f t="shared" ref="X277:X299" si="103">V277*W277</f>
        <v>2.7930000000000001</v>
      </c>
      <c r="Y277" s="330">
        <v>1</v>
      </c>
      <c r="Z277" s="348">
        <f t="shared" ref="Z277:Z299" si="104">V277*Y277</f>
        <v>2.7930000000000001</v>
      </c>
      <c r="AB277" s="328">
        <f t="shared" ref="AB277:AB299" si="105">X277-O277</f>
        <v>-6.9999999999996732E-3</v>
      </c>
      <c r="AC277" s="328">
        <f t="shared" ref="AC277:AC299" si="106">Z277-S277</f>
        <v>-6.9999999999996732E-3</v>
      </c>
    </row>
    <row r="278" spans="1:29">
      <c r="A278" s="318"/>
      <c r="B278" s="319"/>
      <c r="C278" s="318"/>
      <c r="D278" s="318"/>
      <c r="E278" s="319"/>
      <c r="F278" s="319"/>
      <c r="G278" s="318" t="s">
        <v>772</v>
      </c>
      <c r="H278" s="318">
        <v>2.13</v>
      </c>
      <c r="I278" s="318">
        <v>1</v>
      </c>
      <c r="J278" s="318">
        <f t="shared" si="100"/>
        <v>1</v>
      </c>
      <c r="K278" s="318">
        <f t="shared" si="101"/>
        <v>2.13</v>
      </c>
      <c r="L278" s="318">
        <v>1386</v>
      </c>
      <c r="M278" s="318" t="s">
        <v>246</v>
      </c>
      <c r="N278" s="318">
        <v>1</v>
      </c>
      <c r="O278" s="619">
        <f t="shared" si="102"/>
        <v>2.13</v>
      </c>
      <c r="P278" s="750">
        <v>1</v>
      </c>
      <c r="Q278" s="750"/>
      <c r="R278" s="337">
        <v>1</v>
      </c>
      <c r="S278" s="348">
        <f>H278*R278</f>
        <v>2.13</v>
      </c>
      <c r="T278" s="319"/>
      <c r="V278" s="328">
        <f>2.444+1.205-0.6</f>
        <v>3.0489999999999999</v>
      </c>
      <c r="W278" s="320">
        <v>1</v>
      </c>
      <c r="X278" s="348">
        <f t="shared" si="103"/>
        <v>3.0489999999999999</v>
      </c>
      <c r="Y278" s="330">
        <v>1</v>
      </c>
      <c r="Z278" s="454">
        <f t="shared" si="104"/>
        <v>3.0489999999999999</v>
      </c>
      <c r="AB278" s="328">
        <f t="shared" si="105"/>
        <v>0.91900000000000004</v>
      </c>
      <c r="AC278" s="328">
        <f t="shared" si="106"/>
        <v>0.91900000000000004</v>
      </c>
    </row>
    <row r="279" spans="1:29">
      <c r="A279" s="318"/>
      <c r="B279" s="319"/>
      <c r="C279" s="318"/>
      <c r="D279" s="318"/>
      <c r="E279" s="319"/>
      <c r="F279" s="319"/>
      <c r="G279" s="318" t="s">
        <v>773</v>
      </c>
      <c r="H279" s="318">
        <v>0.89</v>
      </c>
      <c r="I279" s="318">
        <v>1</v>
      </c>
      <c r="J279" s="318">
        <f t="shared" si="100"/>
        <v>1</v>
      </c>
      <c r="K279" s="318">
        <f t="shared" si="101"/>
        <v>0.89</v>
      </c>
      <c r="L279" s="318">
        <v>1207</v>
      </c>
      <c r="M279" s="318" t="s">
        <v>202</v>
      </c>
      <c r="N279" s="318">
        <v>1</v>
      </c>
      <c r="O279" s="619">
        <f t="shared" si="102"/>
        <v>0.89</v>
      </c>
      <c r="P279" s="750">
        <v>1</v>
      </c>
      <c r="Q279" s="750"/>
      <c r="R279" s="337">
        <v>1</v>
      </c>
      <c r="S279" s="348">
        <f t="shared" ref="S279:S307" si="107">H279*R279</f>
        <v>0.89</v>
      </c>
      <c r="T279" s="319"/>
      <c r="V279" s="328">
        <f t="shared" ref="V279:V287" si="108">4.49</f>
        <v>4.49</v>
      </c>
      <c r="W279" s="320">
        <v>1</v>
      </c>
      <c r="X279" s="348">
        <f t="shared" si="103"/>
        <v>4.49</v>
      </c>
      <c r="Y279" s="330">
        <v>1</v>
      </c>
      <c r="Z279" s="348">
        <f t="shared" si="104"/>
        <v>4.49</v>
      </c>
      <c r="AB279" s="328">
        <f t="shared" si="105"/>
        <v>3.6</v>
      </c>
      <c r="AC279" s="328">
        <f t="shared" si="106"/>
        <v>3.6</v>
      </c>
    </row>
    <row r="280" spans="1:29">
      <c r="A280" s="318"/>
      <c r="B280" s="319"/>
      <c r="C280" s="318"/>
      <c r="D280" s="318"/>
      <c r="E280" s="319"/>
      <c r="F280" s="319"/>
      <c r="G280" s="318" t="s">
        <v>774</v>
      </c>
      <c r="H280" s="318">
        <v>4.49</v>
      </c>
      <c r="I280" s="318">
        <v>1</v>
      </c>
      <c r="J280" s="318">
        <f t="shared" si="100"/>
        <v>1</v>
      </c>
      <c r="K280" s="318">
        <f t="shared" si="101"/>
        <v>4.49</v>
      </c>
      <c r="L280" s="318">
        <v>1207</v>
      </c>
      <c r="M280" s="318" t="s">
        <v>202</v>
      </c>
      <c r="N280" s="318">
        <v>1</v>
      </c>
      <c r="O280" s="619">
        <f t="shared" si="102"/>
        <v>4.49</v>
      </c>
      <c r="P280" s="750">
        <v>1</v>
      </c>
      <c r="Q280" s="750"/>
      <c r="R280" s="337">
        <v>1</v>
      </c>
      <c r="S280" s="348">
        <f t="shared" si="107"/>
        <v>4.49</v>
      </c>
      <c r="T280" s="319"/>
      <c r="V280" s="328">
        <f t="shared" si="108"/>
        <v>4.49</v>
      </c>
      <c r="W280" s="320">
        <v>1</v>
      </c>
      <c r="X280" s="348">
        <f t="shared" si="103"/>
        <v>4.49</v>
      </c>
      <c r="Y280" s="330">
        <v>1</v>
      </c>
      <c r="Z280" s="348">
        <f t="shared" si="104"/>
        <v>4.49</v>
      </c>
      <c r="AB280" s="328">
        <f t="shared" si="105"/>
        <v>0</v>
      </c>
      <c r="AC280" s="328">
        <f t="shared" si="106"/>
        <v>0</v>
      </c>
    </row>
    <row r="281" spans="1:29">
      <c r="A281" s="318"/>
      <c r="B281" s="319"/>
      <c r="C281" s="318"/>
      <c r="D281" s="318"/>
      <c r="E281" s="319"/>
      <c r="F281" s="319"/>
      <c r="G281" s="318" t="s">
        <v>775</v>
      </c>
      <c r="H281" s="318">
        <v>4.49</v>
      </c>
      <c r="I281" s="318">
        <v>1</v>
      </c>
      <c r="J281" s="318">
        <f t="shared" si="100"/>
        <v>1</v>
      </c>
      <c r="K281" s="318">
        <f t="shared" si="101"/>
        <v>4.49</v>
      </c>
      <c r="L281" s="318">
        <v>1207</v>
      </c>
      <c r="M281" s="318" t="s">
        <v>202</v>
      </c>
      <c r="N281" s="318">
        <v>1</v>
      </c>
      <c r="O281" s="619">
        <f t="shared" si="102"/>
        <v>4.49</v>
      </c>
      <c r="P281" s="750">
        <v>1</v>
      </c>
      <c r="Q281" s="750"/>
      <c r="R281" s="337">
        <v>1</v>
      </c>
      <c r="S281" s="348">
        <f t="shared" si="107"/>
        <v>4.49</v>
      </c>
      <c r="T281" s="319"/>
      <c r="V281" s="328">
        <f t="shared" si="108"/>
        <v>4.49</v>
      </c>
      <c r="W281" s="320">
        <v>1</v>
      </c>
      <c r="X281" s="348">
        <f t="shared" si="103"/>
        <v>4.49</v>
      </c>
      <c r="Y281" s="330">
        <v>1</v>
      </c>
      <c r="Z281" s="348">
        <f t="shared" si="104"/>
        <v>4.49</v>
      </c>
      <c r="AB281" s="328">
        <f t="shared" si="105"/>
        <v>0</v>
      </c>
      <c r="AC281" s="328">
        <f t="shared" si="106"/>
        <v>0</v>
      </c>
    </row>
    <row r="282" spans="1:29">
      <c r="A282" s="318"/>
      <c r="B282" s="319"/>
      <c r="C282" s="318"/>
      <c r="D282" s="318"/>
      <c r="E282" s="319"/>
      <c r="F282" s="319"/>
      <c r="G282" s="318" t="s">
        <v>776</v>
      </c>
      <c r="H282" s="318">
        <v>4.49</v>
      </c>
      <c r="I282" s="318">
        <v>1</v>
      </c>
      <c r="J282" s="318">
        <f t="shared" si="100"/>
        <v>1</v>
      </c>
      <c r="K282" s="318">
        <f t="shared" si="101"/>
        <v>4.49</v>
      </c>
      <c r="L282" s="318">
        <v>1207</v>
      </c>
      <c r="M282" s="318" t="s">
        <v>202</v>
      </c>
      <c r="N282" s="318">
        <v>1</v>
      </c>
      <c r="O282" s="619">
        <f t="shared" si="102"/>
        <v>4.49</v>
      </c>
      <c r="P282" s="750">
        <v>1</v>
      </c>
      <c r="Q282" s="750"/>
      <c r="R282" s="337">
        <v>1</v>
      </c>
      <c r="S282" s="348">
        <f t="shared" si="107"/>
        <v>4.49</v>
      </c>
      <c r="T282" s="319"/>
      <c r="V282" s="328">
        <f t="shared" si="108"/>
        <v>4.49</v>
      </c>
      <c r="W282" s="320">
        <v>1</v>
      </c>
      <c r="X282" s="348">
        <f t="shared" si="103"/>
        <v>4.49</v>
      </c>
      <c r="Y282" s="330">
        <v>1</v>
      </c>
      <c r="Z282" s="348">
        <f t="shared" si="104"/>
        <v>4.49</v>
      </c>
      <c r="AB282" s="328">
        <f t="shared" si="105"/>
        <v>0</v>
      </c>
      <c r="AC282" s="328">
        <f t="shared" si="106"/>
        <v>0</v>
      </c>
    </row>
    <row r="283" spans="1:29">
      <c r="A283" s="318"/>
      <c r="B283" s="319"/>
      <c r="C283" s="318"/>
      <c r="D283" s="318"/>
      <c r="E283" s="319"/>
      <c r="F283" s="319"/>
      <c r="G283" s="318" t="s">
        <v>777</v>
      </c>
      <c r="H283" s="318">
        <v>4.49</v>
      </c>
      <c r="I283" s="318">
        <v>1</v>
      </c>
      <c r="J283" s="318">
        <f t="shared" si="100"/>
        <v>1</v>
      </c>
      <c r="K283" s="318">
        <f t="shared" si="101"/>
        <v>4.49</v>
      </c>
      <c r="L283" s="318">
        <v>1207</v>
      </c>
      <c r="M283" s="318" t="s">
        <v>202</v>
      </c>
      <c r="N283" s="318">
        <v>1</v>
      </c>
      <c r="O283" s="619">
        <f t="shared" si="102"/>
        <v>4.49</v>
      </c>
      <c r="P283" s="750">
        <v>1</v>
      </c>
      <c r="Q283" s="750"/>
      <c r="R283" s="337">
        <v>1</v>
      </c>
      <c r="S283" s="348">
        <f t="shared" si="107"/>
        <v>4.49</v>
      </c>
      <c r="T283" s="319"/>
      <c r="V283" s="328">
        <f t="shared" si="108"/>
        <v>4.49</v>
      </c>
      <c r="W283" s="320">
        <v>1</v>
      </c>
      <c r="X283" s="348">
        <f t="shared" si="103"/>
        <v>4.49</v>
      </c>
      <c r="Y283" s="330">
        <v>1</v>
      </c>
      <c r="Z283" s="348">
        <f t="shared" si="104"/>
        <v>4.49</v>
      </c>
      <c r="AB283" s="328">
        <f t="shared" si="105"/>
        <v>0</v>
      </c>
      <c r="AC283" s="328">
        <f t="shared" si="106"/>
        <v>0</v>
      </c>
    </row>
    <row r="284" spans="1:29">
      <c r="A284" s="318"/>
      <c r="B284" s="319"/>
      <c r="C284" s="318"/>
      <c r="D284" s="318"/>
      <c r="E284" s="319"/>
      <c r="F284" s="319"/>
      <c r="G284" s="318" t="s">
        <v>778</v>
      </c>
      <c r="H284" s="318">
        <v>4.49</v>
      </c>
      <c r="I284" s="318">
        <v>1</v>
      </c>
      <c r="J284" s="318">
        <f t="shared" si="100"/>
        <v>1</v>
      </c>
      <c r="K284" s="318">
        <f t="shared" si="101"/>
        <v>4.49</v>
      </c>
      <c r="L284" s="318">
        <v>1207</v>
      </c>
      <c r="M284" s="318" t="s">
        <v>202</v>
      </c>
      <c r="N284" s="318">
        <v>1</v>
      </c>
      <c r="O284" s="619">
        <f t="shared" si="102"/>
        <v>4.49</v>
      </c>
      <c r="P284" s="750">
        <v>1</v>
      </c>
      <c r="Q284" s="750"/>
      <c r="R284" s="337">
        <v>1</v>
      </c>
      <c r="S284" s="348">
        <f t="shared" si="107"/>
        <v>4.49</v>
      </c>
      <c r="T284" s="319"/>
      <c r="V284" s="328">
        <f t="shared" si="108"/>
        <v>4.49</v>
      </c>
      <c r="W284" s="320">
        <v>1</v>
      </c>
      <c r="X284" s="348">
        <f t="shared" si="103"/>
        <v>4.49</v>
      </c>
      <c r="Y284" s="330">
        <v>1</v>
      </c>
      <c r="Z284" s="348">
        <f t="shared" si="104"/>
        <v>4.49</v>
      </c>
      <c r="AB284" s="328">
        <f t="shared" si="105"/>
        <v>0</v>
      </c>
      <c r="AC284" s="328">
        <f t="shared" si="106"/>
        <v>0</v>
      </c>
    </row>
    <row r="285" spans="1:29">
      <c r="A285" s="318"/>
      <c r="B285" s="319"/>
      <c r="C285" s="318"/>
      <c r="D285" s="318"/>
      <c r="E285" s="319"/>
      <c r="F285" s="319"/>
      <c r="G285" s="318" t="s">
        <v>779</v>
      </c>
      <c r="H285" s="318">
        <v>4.49</v>
      </c>
      <c r="I285" s="318">
        <v>1</v>
      </c>
      <c r="J285" s="318">
        <f t="shared" si="100"/>
        <v>1</v>
      </c>
      <c r="K285" s="318">
        <f t="shared" si="101"/>
        <v>4.49</v>
      </c>
      <c r="L285" s="318">
        <v>1207</v>
      </c>
      <c r="M285" s="318" t="s">
        <v>202</v>
      </c>
      <c r="N285" s="318">
        <v>1</v>
      </c>
      <c r="O285" s="619">
        <f t="shared" si="102"/>
        <v>4.49</v>
      </c>
      <c r="P285" s="750">
        <v>1</v>
      </c>
      <c r="Q285" s="750"/>
      <c r="R285" s="337">
        <v>1</v>
      </c>
      <c r="S285" s="348">
        <f t="shared" si="107"/>
        <v>4.49</v>
      </c>
      <c r="T285" s="319"/>
      <c r="V285" s="328">
        <f t="shared" si="108"/>
        <v>4.49</v>
      </c>
      <c r="W285" s="320">
        <v>1</v>
      </c>
      <c r="X285" s="348">
        <f t="shared" si="103"/>
        <v>4.49</v>
      </c>
      <c r="Y285" s="330">
        <v>1</v>
      </c>
      <c r="Z285" s="348">
        <f t="shared" si="104"/>
        <v>4.49</v>
      </c>
      <c r="AB285" s="328">
        <f t="shared" si="105"/>
        <v>0</v>
      </c>
      <c r="AC285" s="328">
        <f t="shared" si="106"/>
        <v>0</v>
      </c>
    </row>
    <row r="286" spans="1:29">
      <c r="A286" s="318"/>
      <c r="B286" s="319"/>
      <c r="C286" s="318"/>
      <c r="D286" s="318"/>
      <c r="E286" s="319"/>
      <c r="F286" s="319"/>
      <c r="G286" s="318" t="s">
        <v>780</v>
      </c>
      <c r="H286" s="318">
        <v>4.49</v>
      </c>
      <c r="I286" s="318">
        <v>1</v>
      </c>
      <c r="J286" s="318">
        <f t="shared" si="100"/>
        <v>1</v>
      </c>
      <c r="K286" s="318">
        <f t="shared" si="101"/>
        <v>4.49</v>
      </c>
      <c r="L286" s="318">
        <v>1207</v>
      </c>
      <c r="M286" s="318" t="s">
        <v>202</v>
      </c>
      <c r="N286" s="318">
        <v>1</v>
      </c>
      <c r="O286" s="619">
        <f t="shared" si="102"/>
        <v>4.49</v>
      </c>
      <c r="P286" s="750">
        <v>1</v>
      </c>
      <c r="Q286" s="750"/>
      <c r="R286" s="337">
        <v>1</v>
      </c>
      <c r="S286" s="348">
        <f t="shared" si="107"/>
        <v>4.49</v>
      </c>
      <c r="T286" s="319"/>
      <c r="V286" s="328">
        <f t="shared" si="108"/>
        <v>4.49</v>
      </c>
      <c r="W286" s="320">
        <v>1</v>
      </c>
      <c r="X286" s="348">
        <f t="shared" si="103"/>
        <v>4.49</v>
      </c>
      <c r="Y286" s="330">
        <v>1</v>
      </c>
      <c r="Z286" s="348">
        <f t="shared" si="104"/>
        <v>4.49</v>
      </c>
      <c r="AB286" s="328">
        <f t="shared" si="105"/>
        <v>0</v>
      </c>
      <c r="AC286" s="328">
        <f t="shared" si="106"/>
        <v>0</v>
      </c>
    </row>
    <row r="287" spans="1:29">
      <c r="A287" s="318"/>
      <c r="B287" s="319"/>
      <c r="C287" s="318"/>
      <c r="D287" s="318"/>
      <c r="E287" s="319"/>
      <c r="F287" s="319"/>
      <c r="G287" s="318" t="s">
        <v>781</v>
      </c>
      <c r="H287" s="318">
        <v>4.49</v>
      </c>
      <c r="I287" s="318">
        <v>1</v>
      </c>
      <c r="J287" s="318">
        <f t="shared" si="100"/>
        <v>1</v>
      </c>
      <c r="K287" s="318">
        <f t="shared" si="101"/>
        <v>4.49</v>
      </c>
      <c r="L287" s="318"/>
      <c r="M287" s="318"/>
      <c r="N287" s="318">
        <v>1</v>
      </c>
      <c r="O287" s="619">
        <f t="shared" si="102"/>
        <v>4.49</v>
      </c>
      <c r="P287" s="750">
        <v>1</v>
      </c>
      <c r="Q287" s="750"/>
      <c r="R287" s="337">
        <v>1</v>
      </c>
      <c r="S287" s="348">
        <f t="shared" si="107"/>
        <v>4.49</v>
      </c>
      <c r="T287" s="319"/>
      <c r="V287" s="328">
        <f t="shared" si="108"/>
        <v>4.49</v>
      </c>
      <c r="W287" s="320">
        <v>1</v>
      </c>
      <c r="X287" s="348">
        <f t="shared" si="103"/>
        <v>4.49</v>
      </c>
      <c r="Y287" s="330">
        <v>1</v>
      </c>
      <c r="Z287" s="348">
        <f t="shared" si="104"/>
        <v>4.49</v>
      </c>
      <c r="AB287" s="328">
        <f t="shared" si="105"/>
        <v>0</v>
      </c>
      <c r="AC287" s="328">
        <f t="shared" si="106"/>
        <v>0</v>
      </c>
    </row>
    <row r="288" spans="1:29">
      <c r="A288" s="318"/>
      <c r="B288" s="319"/>
      <c r="C288" s="318"/>
      <c r="D288" s="318"/>
      <c r="E288" s="319"/>
      <c r="F288" s="319"/>
      <c r="G288" s="318" t="s">
        <v>782</v>
      </c>
      <c r="H288" s="318">
        <v>3.51</v>
      </c>
      <c r="I288" s="318">
        <v>1</v>
      </c>
      <c r="J288" s="318">
        <f t="shared" si="100"/>
        <v>1</v>
      </c>
      <c r="K288" s="318">
        <f t="shared" si="101"/>
        <v>3.51</v>
      </c>
      <c r="L288" s="318"/>
      <c r="M288" s="318"/>
      <c r="N288" s="318">
        <v>1</v>
      </c>
      <c r="O288" s="619">
        <f t="shared" si="102"/>
        <v>3.51</v>
      </c>
      <c r="P288" s="750">
        <v>1</v>
      </c>
      <c r="Q288" s="750"/>
      <c r="R288" s="337">
        <v>1</v>
      </c>
      <c r="S288" s="348">
        <f t="shared" si="107"/>
        <v>3.51</v>
      </c>
      <c r="T288" s="319"/>
      <c r="V288" s="328">
        <f>3.5</f>
        <v>3.5</v>
      </c>
      <c r="W288" s="320">
        <v>1</v>
      </c>
      <c r="X288" s="348">
        <f t="shared" si="103"/>
        <v>3.5</v>
      </c>
      <c r="Y288" s="330">
        <v>1</v>
      </c>
      <c r="Z288" s="348">
        <f t="shared" si="104"/>
        <v>3.5</v>
      </c>
      <c r="AB288" s="328">
        <f t="shared" si="105"/>
        <v>-9.9999999999997868E-3</v>
      </c>
      <c r="AC288" s="328">
        <f t="shared" si="106"/>
        <v>-9.9999999999997868E-3</v>
      </c>
    </row>
    <row r="289" spans="1:29">
      <c r="A289" s="318"/>
      <c r="B289" s="319"/>
      <c r="C289" s="318"/>
      <c r="D289" s="318"/>
      <c r="E289" s="319"/>
      <c r="F289" s="336" t="s">
        <v>558</v>
      </c>
      <c r="G289" s="318" t="s">
        <v>783</v>
      </c>
      <c r="H289" s="319">
        <v>3.25</v>
      </c>
      <c r="I289" s="318">
        <v>1</v>
      </c>
      <c r="J289" s="318">
        <f t="shared" si="100"/>
        <v>1</v>
      </c>
      <c r="K289" s="318">
        <f t="shared" si="101"/>
        <v>3.25</v>
      </c>
      <c r="L289" s="318" t="s">
        <v>258</v>
      </c>
      <c r="M289" s="318" t="s">
        <v>259</v>
      </c>
      <c r="N289" s="318">
        <v>1</v>
      </c>
      <c r="O289" s="619">
        <f t="shared" si="102"/>
        <v>3.25</v>
      </c>
      <c r="P289" s="750">
        <v>1</v>
      </c>
      <c r="Q289" s="750"/>
      <c r="R289" s="337">
        <v>1</v>
      </c>
      <c r="S289" s="348">
        <f t="shared" si="107"/>
        <v>3.25</v>
      </c>
      <c r="T289" s="319"/>
      <c r="V289" s="333">
        <f>0.091+3.149</f>
        <v>3.24</v>
      </c>
      <c r="W289" s="320">
        <v>1</v>
      </c>
      <c r="X289" s="348">
        <f t="shared" si="103"/>
        <v>3.24</v>
      </c>
      <c r="Y289" s="330">
        <v>1</v>
      </c>
      <c r="Z289" s="454">
        <f t="shared" si="104"/>
        <v>3.24</v>
      </c>
      <c r="AB289" s="333">
        <f t="shared" si="105"/>
        <v>-9.9999999999997868E-3</v>
      </c>
      <c r="AC289" s="333">
        <f t="shared" si="106"/>
        <v>-9.9999999999997868E-3</v>
      </c>
    </row>
    <row r="290" spans="1:29">
      <c r="A290" s="318"/>
      <c r="B290" s="319"/>
      <c r="C290" s="318"/>
      <c r="D290" s="318"/>
      <c r="E290" s="319"/>
      <c r="F290" s="336" t="s">
        <v>558</v>
      </c>
      <c r="G290" s="318" t="s">
        <v>784</v>
      </c>
      <c r="H290" s="319">
        <v>4.0199999999999996</v>
      </c>
      <c r="I290" s="318">
        <v>1</v>
      </c>
      <c r="J290" s="318">
        <f t="shared" si="100"/>
        <v>1</v>
      </c>
      <c r="K290" s="318">
        <f t="shared" si="101"/>
        <v>4.0199999999999996</v>
      </c>
      <c r="L290" s="318" t="s">
        <v>258</v>
      </c>
      <c r="M290" s="318" t="s">
        <v>259</v>
      </c>
      <c r="N290" s="318">
        <v>1</v>
      </c>
      <c r="O290" s="619">
        <f t="shared" si="102"/>
        <v>4.0199999999999996</v>
      </c>
      <c r="P290" s="750">
        <v>1</v>
      </c>
      <c r="Q290" s="750"/>
      <c r="R290" s="337">
        <v>1</v>
      </c>
      <c r="S290" s="348">
        <f t="shared" si="107"/>
        <v>4.0199999999999996</v>
      </c>
      <c r="T290" s="319"/>
      <c r="V290" s="333">
        <f>3.149+0.856</f>
        <v>4.0049999999999999</v>
      </c>
      <c r="W290" s="320">
        <v>1</v>
      </c>
      <c r="X290" s="348">
        <f t="shared" si="103"/>
        <v>4.0049999999999999</v>
      </c>
      <c r="Y290" s="330">
        <v>1</v>
      </c>
      <c r="Z290" s="454">
        <f t="shared" si="104"/>
        <v>4.0049999999999999</v>
      </c>
      <c r="AB290" s="333">
        <f t="shared" si="105"/>
        <v>-1.499999999999968E-2</v>
      </c>
      <c r="AC290" s="333">
        <f t="shared" si="106"/>
        <v>-1.499999999999968E-2</v>
      </c>
    </row>
    <row r="291" spans="1:29">
      <c r="A291" s="318"/>
      <c r="B291" s="319"/>
      <c r="C291" s="318"/>
      <c r="D291" s="318"/>
      <c r="E291" s="319"/>
      <c r="F291" s="319"/>
      <c r="G291" s="318" t="s">
        <v>785</v>
      </c>
      <c r="H291" s="318">
        <v>3.81</v>
      </c>
      <c r="I291" s="318">
        <v>1</v>
      </c>
      <c r="J291" s="318">
        <f t="shared" si="100"/>
        <v>1</v>
      </c>
      <c r="K291" s="318">
        <f t="shared" si="101"/>
        <v>3.81</v>
      </c>
      <c r="L291" s="318"/>
      <c r="M291" s="318"/>
      <c r="N291" s="318">
        <v>1</v>
      </c>
      <c r="O291" s="619">
        <f t="shared" si="102"/>
        <v>3.81</v>
      </c>
      <c r="P291" s="750">
        <v>1</v>
      </c>
      <c r="Q291" s="750"/>
      <c r="R291" s="337">
        <v>1</v>
      </c>
      <c r="S291" s="348">
        <f t="shared" si="107"/>
        <v>3.81</v>
      </c>
      <c r="T291" s="319"/>
      <c r="V291" s="328">
        <v>3.802</v>
      </c>
      <c r="W291" s="320">
        <v>1</v>
      </c>
      <c r="X291" s="348">
        <f t="shared" si="103"/>
        <v>3.802</v>
      </c>
      <c r="Y291" s="330">
        <v>1</v>
      </c>
      <c r="Z291" s="348">
        <f t="shared" si="104"/>
        <v>3.802</v>
      </c>
      <c r="AB291" s="328">
        <f t="shared" si="105"/>
        <v>-8.0000000000000071E-3</v>
      </c>
      <c r="AC291" s="328">
        <f t="shared" si="106"/>
        <v>-8.0000000000000071E-3</v>
      </c>
    </row>
    <row r="292" spans="1:29">
      <c r="A292" s="318"/>
      <c r="B292" s="319"/>
      <c r="C292" s="318"/>
      <c r="D292" s="318"/>
      <c r="E292" s="319"/>
      <c r="F292" s="319"/>
      <c r="G292" s="318" t="s">
        <v>786</v>
      </c>
      <c r="H292" s="318">
        <v>3.81</v>
      </c>
      <c r="I292" s="318">
        <v>1</v>
      </c>
      <c r="J292" s="318">
        <f t="shared" si="100"/>
        <v>1</v>
      </c>
      <c r="K292" s="318">
        <f t="shared" si="101"/>
        <v>3.81</v>
      </c>
      <c r="L292" s="318"/>
      <c r="M292" s="318"/>
      <c r="N292" s="318">
        <v>1</v>
      </c>
      <c r="O292" s="619">
        <f t="shared" si="102"/>
        <v>3.81</v>
      </c>
      <c r="P292" s="750">
        <v>1</v>
      </c>
      <c r="Q292" s="750"/>
      <c r="R292" s="337">
        <v>1</v>
      </c>
      <c r="S292" s="348">
        <f t="shared" si="107"/>
        <v>3.81</v>
      </c>
      <c r="T292" s="319"/>
      <c r="V292" s="328">
        <v>3.802</v>
      </c>
      <c r="W292" s="320">
        <v>1</v>
      </c>
      <c r="X292" s="348">
        <f t="shared" si="103"/>
        <v>3.802</v>
      </c>
      <c r="Y292" s="330">
        <v>1</v>
      </c>
      <c r="Z292" s="348">
        <f t="shared" si="104"/>
        <v>3.802</v>
      </c>
      <c r="AB292" s="328">
        <f t="shared" si="105"/>
        <v>-8.0000000000000071E-3</v>
      </c>
      <c r="AC292" s="328">
        <f t="shared" si="106"/>
        <v>-8.0000000000000071E-3</v>
      </c>
    </row>
    <row r="293" spans="1:29">
      <c r="A293" s="318"/>
      <c r="B293" s="319"/>
      <c r="C293" s="318"/>
      <c r="D293" s="318"/>
      <c r="E293" s="319"/>
      <c r="F293" s="319"/>
      <c r="G293" s="318" t="s">
        <v>787</v>
      </c>
      <c r="H293" s="318">
        <v>3.81</v>
      </c>
      <c r="I293" s="318">
        <v>1</v>
      </c>
      <c r="J293" s="318">
        <f t="shared" si="100"/>
        <v>1</v>
      </c>
      <c r="K293" s="318">
        <f t="shared" si="101"/>
        <v>3.81</v>
      </c>
      <c r="L293" s="318"/>
      <c r="M293" s="318"/>
      <c r="N293" s="318">
        <v>1</v>
      </c>
      <c r="O293" s="619">
        <f t="shared" si="102"/>
        <v>3.81</v>
      </c>
      <c r="P293" s="750">
        <v>1</v>
      </c>
      <c r="Q293" s="750"/>
      <c r="R293" s="337">
        <v>1</v>
      </c>
      <c r="S293" s="348">
        <f t="shared" si="107"/>
        <v>3.81</v>
      </c>
      <c r="T293" s="319"/>
      <c r="V293" s="328">
        <v>3.802</v>
      </c>
      <c r="W293" s="320">
        <v>1</v>
      </c>
      <c r="X293" s="348">
        <f t="shared" si="103"/>
        <v>3.802</v>
      </c>
      <c r="Y293" s="330">
        <v>1</v>
      </c>
      <c r="Z293" s="348">
        <f t="shared" si="104"/>
        <v>3.802</v>
      </c>
      <c r="AB293" s="328">
        <f t="shared" si="105"/>
        <v>-8.0000000000000071E-3</v>
      </c>
      <c r="AC293" s="328">
        <f t="shared" si="106"/>
        <v>-8.0000000000000071E-3</v>
      </c>
    </row>
    <row r="294" spans="1:29">
      <c r="A294" s="318"/>
      <c r="B294" s="319"/>
      <c r="C294" s="318"/>
      <c r="D294" s="318"/>
      <c r="E294" s="319"/>
      <c r="F294" s="319"/>
      <c r="G294" s="318" t="s">
        <v>788</v>
      </c>
      <c r="H294" s="318">
        <v>3.81</v>
      </c>
      <c r="I294" s="318">
        <v>1</v>
      </c>
      <c r="J294" s="318">
        <f t="shared" si="100"/>
        <v>1</v>
      </c>
      <c r="K294" s="318">
        <f t="shared" si="101"/>
        <v>3.81</v>
      </c>
      <c r="L294" s="318"/>
      <c r="M294" s="318"/>
      <c r="N294" s="318">
        <v>1</v>
      </c>
      <c r="O294" s="619">
        <f t="shared" si="102"/>
        <v>3.81</v>
      </c>
      <c r="P294" s="750">
        <v>1</v>
      </c>
      <c r="Q294" s="750"/>
      <c r="R294" s="337">
        <v>1</v>
      </c>
      <c r="S294" s="348">
        <f t="shared" si="107"/>
        <v>3.81</v>
      </c>
      <c r="T294" s="319"/>
      <c r="V294" s="328">
        <v>3.802</v>
      </c>
      <c r="W294" s="320">
        <v>1</v>
      </c>
      <c r="X294" s="348">
        <f t="shared" si="103"/>
        <v>3.802</v>
      </c>
      <c r="Y294" s="330">
        <v>1</v>
      </c>
      <c r="Z294" s="348">
        <f t="shared" si="104"/>
        <v>3.802</v>
      </c>
      <c r="AB294" s="328">
        <f t="shared" si="105"/>
        <v>-8.0000000000000071E-3</v>
      </c>
      <c r="AC294" s="328">
        <f t="shared" si="106"/>
        <v>-8.0000000000000071E-3</v>
      </c>
    </row>
    <row r="295" spans="1:29">
      <c r="A295" s="318"/>
      <c r="B295" s="319"/>
      <c r="C295" s="318"/>
      <c r="D295" s="318"/>
      <c r="E295" s="319"/>
      <c r="F295" s="336" t="s">
        <v>558</v>
      </c>
      <c r="G295" s="318" t="s">
        <v>789</v>
      </c>
      <c r="H295" s="319">
        <v>4.0199999999999996</v>
      </c>
      <c r="I295" s="318">
        <v>1</v>
      </c>
      <c r="J295" s="318">
        <f t="shared" si="100"/>
        <v>1</v>
      </c>
      <c r="K295" s="318">
        <f t="shared" si="101"/>
        <v>4.0199999999999996</v>
      </c>
      <c r="L295" s="318" t="s">
        <v>270</v>
      </c>
      <c r="M295" s="318" t="s">
        <v>271</v>
      </c>
      <c r="N295" s="318">
        <v>1</v>
      </c>
      <c r="O295" s="619">
        <f t="shared" si="102"/>
        <v>4.0199999999999996</v>
      </c>
      <c r="P295" s="750">
        <v>1</v>
      </c>
      <c r="Q295" s="750"/>
      <c r="R295" s="337">
        <v>1</v>
      </c>
      <c r="S295" s="348">
        <f t="shared" si="107"/>
        <v>4.0199999999999996</v>
      </c>
      <c r="T295" s="319"/>
      <c r="V295" s="333">
        <f>3.149+0.856</f>
        <v>4.0049999999999999</v>
      </c>
      <c r="W295" s="320">
        <v>1</v>
      </c>
      <c r="X295" s="348">
        <f t="shared" si="103"/>
        <v>4.0049999999999999</v>
      </c>
      <c r="Y295" s="330">
        <v>1</v>
      </c>
      <c r="Z295" s="348">
        <f t="shared" si="104"/>
        <v>4.0049999999999999</v>
      </c>
      <c r="AB295" s="333">
        <f t="shared" si="105"/>
        <v>-1.499999999999968E-2</v>
      </c>
      <c r="AC295" s="333">
        <f t="shared" si="106"/>
        <v>-1.499999999999968E-2</v>
      </c>
    </row>
    <row r="296" spans="1:29">
      <c r="A296" s="318"/>
      <c r="B296" s="319"/>
      <c r="C296" s="318"/>
      <c r="D296" s="318"/>
      <c r="E296" s="319"/>
      <c r="F296" s="336" t="s">
        <v>558</v>
      </c>
      <c r="G296" s="318" t="s">
        <v>790</v>
      </c>
      <c r="H296" s="319">
        <v>3.25</v>
      </c>
      <c r="I296" s="318">
        <v>1</v>
      </c>
      <c r="J296" s="318">
        <f t="shared" si="100"/>
        <v>1</v>
      </c>
      <c r="K296" s="318">
        <f t="shared" si="101"/>
        <v>3.25</v>
      </c>
      <c r="L296" s="318" t="s">
        <v>260</v>
      </c>
      <c r="M296" s="318" t="s">
        <v>261</v>
      </c>
      <c r="N296" s="318">
        <v>1</v>
      </c>
      <c r="O296" s="619">
        <f t="shared" si="102"/>
        <v>3.25</v>
      </c>
      <c r="P296" s="750">
        <v>1</v>
      </c>
      <c r="Q296" s="750"/>
      <c r="R296" s="337">
        <v>1</v>
      </c>
      <c r="S296" s="348">
        <f t="shared" si="107"/>
        <v>3.25</v>
      </c>
      <c r="T296" s="319"/>
      <c r="V296" s="333">
        <f>0.091+3.149</f>
        <v>3.24</v>
      </c>
      <c r="W296" s="320">
        <v>1</v>
      </c>
      <c r="X296" s="348">
        <f t="shared" si="103"/>
        <v>3.24</v>
      </c>
      <c r="Y296" s="330">
        <v>1</v>
      </c>
      <c r="Z296" s="348">
        <f t="shared" si="104"/>
        <v>3.24</v>
      </c>
      <c r="AB296" s="333">
        <f t="shared" si="105"/>
        <v>-9.9999999999997868E-3</v>
      </c>
      <c r="AC296" s="333">
        <f t="shared" si="106"/>
        <v>-9.9999999999997868E-3</v>
      </c>
    </row>
    <row r="297" spans="1:29">
      <c r="A297" s="318"/>
      <c r="B297" s="319"/>
      <c r="C297" s="318"/>
      <c r="D297" s="318"/>
      <c r="E297" s="319"/>
      <c r="F297" s="319"/>
      <c r="G297" s="318" t="s">
        <v>791</v>
      </c>
      <c r="H297" s="318">
        <v>3.5</v>
      </c>
      <c r="I297" s="318">
        <v>1</v>
      </c>
      <c r="J297" s="318">
        <f t="shared" si="100"/>
        <v>1</v>
      </c>
      <c r="K297" s="318">
        <f t="shared" si="101"/>
        <v>3.5</v>
      </c>
      <c r="L297" s="318"/>
      <c r="M297" s="318"/>
      <c r="N297" s="318">
        <v>1</v>
      </c>
      <c r="O297" s="619">
        <f t="shared" si="102"/>
        <v>3.5</v>
      </c>
      <c r="P297" s="750">
        <v>1</v>
      </c>
      <c r="Q297" s="750"/>
      <c r="R297" s="337">
        <v>1</v>
      </c>
      <c r="S297" s="348">
        <f t="shared" si="107"/>
        <v>3.5</v>
      </c>
      <c r="T297" s="319"/>
      <c r="V297" s="328">
        <f>3.5</f>
        <v>3.5</v>
      </c>
      <c r="W297" s="320">
        <v>1</v>
      </c>
      <c r="X297" s="348">
        <f t="shared" si="103"/>
        <v>3.5</v>
      </c>
      <c r="Y297" s="330">
        <v>1</v>
      </c>
      <c r="Z297" s="348">
        <f t="shared" si="104"/>
        <v>3.5</v>
      </c>
      <c r="AB297" s="328">
        <f t="shared" si="105"/>
        <v>0</v>
      </c>
      <c r="AC297" s="328">
        <f t="shared" si="106"/>
        <v>0</v>
      </c>
    </row>
    <row r="298" spans="1:29" ht="15" thickBot="1">
      <c r="A298" s="318"/>
      <c r="B298" s="319"/>
      <c r="C298" s="318"/>
      <c r="D298" s="318"/>
      <c r="E298" s="319"/>
      <c r="F298" s="319"/>
      <c r="G298" s="318" t="s">
        <v>792</v>
      </c>
      <c r="H298" s="318">
        <v>4.49</v>
      </c>
      <c r="I298" s="318">
        <v>1</v>
      </c>
      <c r="J298" s="318">
        <f t="shared" si="100"/>
        <v>1</v>
      </c>
      <c r="K298" s="318">
        <f t="shared" si="101"/>
        <v>4.49</v>
      </c>
      <c r="L298" s="318"/>
      <c r="M298" s="318"/>
      <c r="N298" s="318">
        <v>1</v>
      </c>
      <c r="O298" s="619">
        <f t="shared" si="102"/>
        <v>4.49</v>
      </c>
      <c r="P298" s="750">
        <v>1</v>
      </c>
      <c r="Q298" s="750"/>
      <c r="R298" s="592">
        <v>1</v>
      </c>
      <c r="S298" s="348">
        <f t="shared" si="107"/>
        <v>4.49</v>
      </c>
      <c r="T298" s="319"/>
      <c r="V298" s="328">
        <f>4.49</f>
        <v>4.49</v>
      </c>
      <c r="W298" s="320">
        <v>1</v>
      </c>
      <c r="X298" s="348">
        <f t="shared" si="103"/>
        <v>4.49</v>
      </c>
      <c r="Y298" s="330">
        <v>1</v>
      </c>
      <c r="Z298" s="348">
        <f t="shared" si="104"/>
        <v>4.49</v>
      </c>
      <c r="AB298" s="328">
        <f t="shared" si="105"/>
        <v>0</v>
      </c>
      <c r="AC298" s="328">
        <f t="shared" si="106"/>
        <v>0</v>
      </c>
    </row>
    <row r="299" spans="1:29" ht="21.6" thickTop="1" thickBot="1">
      <c r="A299" s="318"/>
      <c r="B299" s="319"/>
      <c r="C299" s="318"/>
      <c r="D299" s="318"/>
      <c r="E299" s="319"/>
      <c r="F299" s="336" t="s">
        <v>604</v>
      </c>
      <c r="G299" s="649" t="s">
        <v>793</v>
      </c>
      <c r="H299" s="318">
        <v>4.8</v>
      </c>
      <c r="I299" s="318">
        <v>1</v>
      </c>
      <c r="J299" s="318">
        <f t="shared" si="100"/>
        <v>1</v>
      </c>
      <c r="K299" s="318">
        <f t="shared" si="101"/>
        <v>4.8</v>
      </c>
      <c r="L299" s="598" t="s">
        <v>3538</v>
      </c>
      <c r="M299" s="349">
        <v>247287</v>
      </c>
      <c r="N299" s="318">
        <v>1</v>
      </c>
      <c r="O299" s="619">
        <f t="shared" si="102"/>
        <v>4.8</v>
      </c>
      <c r="P299" s="755"/>
      <c r="Q299" s="747"/>
      <c r="R299" s="624"/>
      <c r="S299" s="348">
        <f t="shared" si="107"/>
        <v>0</v>
      </c>
      <c r="T299" s="319"/>
      <c r="V299" s="328">
        <v>4.49</v>
      </c>
      <c r="W299" s="320"/>
      <c r="X299" s="348">
        <f t="shared" si="103"/>
        <v>0</v>
      </c>
      <c r="Y299" s="330"/>
      <c r="Z299" s="348">
        <f t="shared" si="104"/>
        <v>0</v>
      </c>
      <c r="AB299" s="328">
        <f t="shared" si="105"/>
        <v>-4.8</v>
      </c>
      <c r="AC299" s="328">
        <f t="shared" si="106"/>
        <v>0</v>
      </c>
    </row>
    <row r="300" spans="1:29" ht="15" thickTop="1">
      <c r="A300" s="584"/>
      <c r="B300" s="585"/>
      <c r="C300" s="584"/>
      <c r="D300" s="584"/>
      <c r="E300" s="585"/>
      <c r="F300" s="585" t="s">
        <v>384</v>
      </c>
      <c r="G300" s="584" t="s">
        <v>491</v>
      </c>
      <c r="H300" s="584"/>
      <c r="I300" s="584"/>
      <c r="J300" s="584"/>
      <c r="K300" s="584"/>
      <c r="L300" s="584"/>
      <c r="M300" s="584"/>
      <c r="N300" s="584"/>
      <c r="O300" s="631" t="s">
        <v>2321</v>
      </c>
      <c r="P300" s="755"/>
      <c r="Q300" s="750"/>
      <c r="R300" s="337"/>
      <c r="S300" s="348">
        <f t="shared" si="107"/>
        <v>0</v>
      </c>
      <c r="T300" s="1024" t="s">
        <v>561</v>
      </c>
      <c r="V300" s="328"/>
      <c r="W300" s="318"/>
      <c r="X300" s="384" t="s">
        <v>2321</v>
      </c>
      <c r="Y300" s="337"/>
      <c r="Z300" s="350" t="s">
        <v>2321</v>
      </c>
      <c r="AB300" s="328"/>
      <c r="AC300" s="328"/>
    </row>
    <row r="301" spans="1:29">
      <c r="A301" s="584"/>
      <c r="B301" s="585"/>
      <c r="C301" s="584"/>
      <c r="D301" s="584"/>
      <c r="E301" s="585"/>
      <c r="F301" s="585" t="s">
        <v>384</v>
      </c>
      <c r="G301" s="584" t="s">
        <v>492</v>
      </c>
      <c r="H301" s="584"/>
      <c r="I301" s="584"/>
      <c r="J301" s="584"/>
      <c r="K301" s="584"/>
      <c r="L301" s="584"/>
      <c r="M301" s="584"/>
      <c r="N301" s="584"/>
      <c r="O301" s="631" t="s">
        <v>2321</v>
      </c>
      <c r="P301" s="755"/>
      <c r="Q301" s="750"/>
      <c r="R301" s="337"/>
      <c r="S301" s="348">
        <f t="shared" si="107"/>
        <v>0</v>
      </c>
      <c r="T301" s="1025"/>
      <c r="V301" s="328"/>
      <c r="W301" s="318"/>
      <c r="X301" s="384" t="s">
        <v>2321</v>
      </c>
      <c r="Y301" s="337"/>
      <c r="Z301" s="350" t="s">
        <v>2321</v>
      </c>
      <c r="AB301" s="328"/>
      <c r="AC301" s="328"/>
    </row>
    <row r="302" spans="1:29">
      <c r="A302" s="584"/>
      <c r="B302" s="585"/>
      <c r="C302" s="584"/>
      <c r="D302" s="584"/>
      <c r="E302" s="585"/>
      <c r="F302" s="585" t="s">
        <v>384</v>
      </c>
      <c r="G302" s="584" t="s">
        <v>493</v>
      </c>
      <c r="H302" s="584"/>
      <c r="I302" s="584"/>
      <c r="J302" s="584"/>
      <c r="K302" s="584"/>
      <c r="L302" s="584"/>
      <c r="M302" s="584"/>
      <c r="N302" s="584"/>
      <c r="O302" s="631" t="s">
        <v>2321</v>
      </c>
      <c r="P302" s="755"/>
      <c r="Q302" s="750"/>
      <c r="R302" s="337"/>
      <c r="S302" s="348">
        <f t="shared" si="107"/>
        <v>0</v>
      </c>
      <c r="T302" s="1025"/>
      <c r="V302" s="328"/>
      <c r="W302" s="318"/>
      <c r="X302" s="384" t="s">
        <v>2321</v>
      </c>
      <c r="Y302" s="337"/>
      <c r="Z302" s="350" t="s">
        <v>2321</v>
      </c>
      <c r="AB302" s="328"/>
      <c r="AC302" s="328"/>
    </row>
    <row r="303" spans="1:29" ht="15" thickBot="1">
      <c r="A303" s="584"/>
      <c r="B303" s="585"/>
      <c r="C303" s="584"/>
      <c r="D303" s="584"/>
      <c r="E303" s="585"/>
      <c r="F303" s="585" t="s">
        <v>384</v>
      </c>
      <c r="G303" s="584" t="s">
        <v>494</v>
      </c>
      <c r="H303" s="584"/>
      <c r="I303" s="584"/>
      <c r="J303" s="584"/>
      <c r="K303" s="584"/>
      <c r="L303" s="584"/>
      <c r="M303" s="584"/>
      <c r="N303" s="584"/>
      <c r="O303" s="631" t="s">
        <v>2321</v>
      </c>
      <c r="P303" s="755"/>
      <c r="Q303" s="750"/>
      <c r="R303" s="592"/>
      <c r="S303" s="348">
        <f t="shared" si="107"/>
        <v>0</v>
      </c>
      <c r="T303" s="1026"/>
      <c r="V303" s="328"/>
      <c r="W303" s="318"/>
      <c r="X303" s="384" t="s">
        <v>2321</v>
      </c>
      <c r="Y303" s="337"/>
      <c r="Z303" s="350" t="s">
        <v>2321</v>
      </c>
      <c r="AB303" s="328"/>
      <c r="AC303" s="328"/>
    </row>
    <row r="304" spans="1:29" ht="21.6" thickTop="1" thickBot="1">
      <c r="A304" s="318"/>
      <c r="B304" s="319"/>
      <c r="C304" s="318"/>
      <c r="D304" s="318"/>
      <c r="E304" s="319"/>
      <c r="F304" s="336" t="s">
        <v>604</v>
      </c>
      <c r="G304" s="318" t="s">
        <v>794</v>
      </c>
      <c r="H304" s="318">
        <v>4.8</v>
      </c>
      <c r="I304" s="318">
        <v>1</v>
      </c>
      <c r="J304" s="318">
        <f>IF(N304&gt;0,1,0)</f>
        <v>1</v>
      </c>
      <c r="K304" s="318">
        <f>H304*J304</f>
        <v>4.8</v>
      </c>
      <c r="L304" s="352" t="s">
        <v>3417</v>
      </c>
      <c r="M304" s="638" t="s">
        <v>3416</v>
      </c>
      <c r="N304" s="318">
        <v>1</v>
      </c>
      <c r="O304" s="619">
        <f t="shared" si="102"/>
        <v>4.8</v>
      </c>
      <c r="P304" s="755"/>
      <c r="Q304" s="747"/>
      <c r="R304" s="624"/>
      <c r="S304" s="348">
        <f t="shared" si="107"/>
        <v>0</v>
      </c>
      <c r="T304" s="319"/>
      <c r="V304" s="328">
        <v>4.49</v>
      </c>
      <c r="W304" s="320"/>
      <c r="X304" s="348">
        <f>V304*W304</f>
        <v>0</v>
      </c>
      <c r="Y304" s="330"/>
      <c r="Z304" s="348">
        <f>V304*Y304</f>
        <v>0</v>
      </c>
      <c r="AB304" s="328">
        <f>X304-O304</f>
        <v>-4.8</v>
      </c>
      <c r="AC304" s="328">
        <f>Z304-S304</f>
        <v>0</v>
      </c>
    </row>
    <row r="305" spans="1:29" ht="15" thickTop="1">
      <c r="A305" s="318"/>
      <c r="B305" s="319"/>
      <c r="C305" s="318"/>
      <c r="D305" s="318"/>
      <c r="E305" s="319"/>
      <c r="F305" s="319"/>
      <c r="G305" s="318" t="s">
        <v>795</v>
      </c>
      <c r="H305" s="318">
        <v>4.49</v>
      </c>
      <c r="I305" s="318">
        <v>1</v>
      </c>
      <c r="J305" s="318">
        <f>IF(N305&gt;0,1,0)</f>
        <v>1</v>
      </c>
      <c r="K305" s="318">
        <f>H305*J305</f>
        <v>4.49</v>
      </c>
      <c r="L305" s="318"/>
      <c r="M305" s="318"/>
      <c r="N305" s="318">
        <v>1</v>
      </c>
      <c r="O305" s="619">
        <f t="shared" si="102"/>
        <v>4.49</v>
      </c>
      <c r="P305" s="750">
        <v>1</v>
      </c>
      <c r="Q305" s="750"/>
      <c r="R305" s="337">
        <v>1</v>
      </c>
      <c r="S305" s="348">
        <f t="shared" si="107"/>
        <v>4.49</v>
      </c>
      <c r="T305" s="319"/>
      <c r="V305" s="328">
        <v>4.49</v>
      </c>
      <c r="W305" s="320">
        <v>1</v>
      </c>
      <c r="X305" s="348">
        <f>V305*W305</f>
        <v>4.49</v>
      </c>
      <c r="Y305" s="330"/>
      <c r="Z305" s="348">
        <f>V305*Y305</f>
        <v>0</v>
      </c>
      <c r="AB305" s="328">
        <f>X305-O305</f>
        <v>0</v>
      </c>
      <c r="AC305" s="328">
        <f>Z305-S305</f>
        <v>-4.49</v>
      </c>
    </row>
    <row r="306" spans="1:29">
      <c r="A306" s="318"/>
      <c r="B306" s="319"/>
      <c r="C306" s="318"/>
      <c r="D306" s="318"/>
      <c r="E306" s="319"/>
      <c r="F306" s="319"/>
      <c r="G306" s="318" t="s">
        <v>796</v>
      </c>
      <c r="H306" s="318">
        <v>4.49</v>
      </c>
      <c r="I306" s="318">
        <v>1</v>
      </c>
      <c r="J306" s="318">
        <f>IF(N306&gt;0,1,0)</f>
        <v>1</v>
      </c>
      <c r="K306" s="318">
        <f>H306*J306</f>
        <v>4.49</v>
      </c>
      <c r="L306" s="318"/>
      <c r="M306" s="318"/>
      <c r="N306" s="318">
        <v>1</v>
      </c>
      <c r="O306" s="619">
        <f t="shared" si="102"/>
        <v>4.49</v>
      </c>
      <c r="P306" s="750">
        <v>1</v>
      </c>
      <c r="Q306" s="750"/>
      <c r="R306" s="337">
        <v>1</v>
      </c>
      <c r="S306" s="348">
        <f t="shared" si="107"/>
        <v>4.49</v>
      </c>
      <c r="T306" s="319"/>
      <c r="V306" s="328">
        <v>4.49</v>
      </c>
      <c r="W306" s="320">
        <v>1</v>
      </c>
      <c r="X306" s="348">
        <f>V306*W306</f>
        <v>4.49</v>
      </c>
      <c r="Y306" s="330"/>
      <c r="Z306" s="348">
        <f>V306*Y306</f>
        <v>0</v>
      </c>
      <c r="AB306" s="328">
        <f>X306-O306</f>
        <v>0</v>
      </c>
      <c r="AC306" s="328">
        <f>Z306-S306</f>
        <v>-4.49</v>
      </c>
    </row>
    <row r="307" spans="1:29">
      <c r="A307" s="318"/>
      <c r="B307" s="319"/>
      <c r="C307" s="318"/>
      <c r="D307" s="318"/>
      <c r="E307" s="319"/>
      <c r="F307" s="319"/>
      <c r="G307" s="318" t="s">
        <v>797</v>
      </c>
      <c r="H307" s="318">
        <v>2.87</v>
      </c>
      <c r="I307" s="318">
        <v>1</v>
      </c>
      <c r="J307" s="318">
        <f>IF(N307&gt;0,1,0)</f>
        <v>1</v>
      </c>
      <c r="K307" s="318">
        <f>H307*J307</f>
        <v>2.87</v>
      </c>
      <c r="L307" s="318">
        <v>1386</v>
      </c>
      <c r="M307" s="318" t="s">
        <v>246</v>
      </c>
      <c r="N307" s="318">
        <v>1</v>
      </c>
      <c r="O307" s="619">
        <f t="shared" si="102"/>
        <v>2.87</v>
      </c>
      <c r="P307" s="750">
        <v>1</v>
      </c>
      <c r="Q307" s="750"/>
      <c r="R307" s="337">
        <v>1</v>
      </c>
      <c r="S307" s="348">
        <f t="shared" si="107"/>
        <v>2.87</v>
      </c>
      <c r="T307" s="319"/>
      <c r="V307" s="328">
        <f>1.14-0.6+2.355</f>
        <v>2.895</v>
      </c>
      <c r="W307" s="320">
        <v>1</v>
      </c>
      <c r="X307" s="348">
        <f>V307*W307</f>
        <v>2.895</v>
      </c>
      <c r="Y307" s="330">
        <v>1</v>
      </c>
      <c r="Z307" s="348">
        <f>V307*Y307</f>
        <v>2.895</v>
      </c>
      <c r="AB307" s="328">
        <f>X307-O307</f>
        <v>2.4999999999999911E-2</v>
      </c>
      <c r="AC307" s="328">
        <f>Z307-S307</f>
        <v>2.4999999999999911E-2</v>
      </c>
    </row>
    <row r="308" spans="1:29">
      <c r="A308" s="318"/>
      <c r="B308" s="319"/>
      <c r="C308" s="318"/>
      <c r="D308" s="318"/>
      <c r="E308" s="319"/>
      <c r="F308" s="319"/>
      <c r="G308" s="318"/>
      <c r="H308" s="318"/>
      <c r="I308" s="318"/>
      <c r="J308" s="382" t="s">
        <v>389</v>
      </c>
      <c r="K308" s="321">
        <f>SUM(K277:K307)</f>
        <v>104.47</v>
      </c>
      <c r="L308" s="318"/>
      <c r="M308" s="318"/>
      <c r="N308" s="382" t="s">
        <v>389</v>
      </c>
      <c r="O308" s="748">
        <f>SUM(O277:O307)</f>
        <v>104.47</v>
      </c>
      <c r="P308" s="751" t="s">
        <v>389</v>
      </c>
      <c r="Q308" s="751"/>
      <c r="R308" s="382"/>
      <c r="S308" s="321">
        <f>SUM(S277:S307)</f>
        <v>94.87</v>
      </c>
      <c r="T308" s="319"/>
      <c r="V308" s="328"/>
      <c r="W308" s="321" t="s">
        <v>389</v>
      </c>
      <c r="X308" s="338">
        <f>SUM(X277:X307)</f>
        <v>99.314999999999998</v>
      </c>
      <c r="Y308" s="321" t="s">
        <v>389</v>
      </c>
      <c r="Z308" s="338">
        <f>SUM(Z277:Z307)</f>
        <v>90.335000000000008</v>
      </c>
      <c r="AB308" s="328"/>
      <c r="AC308" s="328"/>
    </row>
    <row r="309" spans="1:29" ht="6.75" customHeight="1">
      <c r="A309" s="316"/>
      <c r="B309" s="317"/>
      <c r="C309" s="316"/>
      <c r="D309" s="316"/>
      <c r="E309" s="317"/>
      <c r="F309" s="317"/>
      <c r="G309" s="316"/>
      <c r="H309" s="316"/>
      <c r="I309" s="316"/>
      <c r="J309" s="316"/>
      <c r="K309" s="316"/>
      <c r="L309" s="316"/>
      <c r="M309" s="316"/>
      <c r="N309" s="316"/>
      <c r="O309" s="749"/>
      <c r="P309" s="633"/>
      <c r="Q309" s="633"/>
      <c r="R309" s="949"/>
      <c r="S309" s="339"/>
      <c r="T309" s="317"/>
      <c r="V309" s="332"/>
      <c r="W309" s="316"/>
      <c r="X309" s="339"/>
      <c r="Y309" s="316"/>
      <c r="Z309" s="339"/>
      <c r="AB309" s="332"/>
      <c r="AC309" s="332"/>
    </row>
    <row r="310" spans="1:29">
      <c r="A310" s="318">
        <v>8</v>
      </c>
      <c r="B310" s="319" t="s">
        <v>383</v>
      </c>
      <c r="C310" s="318">
        <v>600</v>
      </c>
      <c r="D310" s="318">
        <v>13</v>
      </c>
      <c r="E310" s="319">
        <v>1</v>
      </c>
      <c r="F310" s="319"/>
      <c r="G310" s="318" t="s">
        <v>798</v>
      </c>
      <c r="H310" s="318">
        <v>2.06</v>
      </c>
      <c r="I310" s="318">
        <v>1</v>
      </c>
      <c r="J310" s="318">
        <f t="shared" ref="J310:J316" si="109">IF(N310&gt;0,1,0)</f>
        <v>1</v>
      </c>
      <c r="K310" s="318">
        <f t="shared" ref="K310:K317" si="110">H310*J310</f>
        <v>2.06</v>
      </c>
      <c r="L310" s="318"/>
      <c r="M310" s="318"/>
      <c r="N310" s="318">
        <v>1</v>
      </c>
      <c r="O310" s="619">
        <f t="shared" ref="O310:O343" si="111">H310*N310</f>
        <v>2.06</v>
      </c>
      <c r="P310" s="750">
        <v>1</v>
      </c>
      <c r="Q310" s="750"/>
      <c r="R310" s="337">
        <v>1</v>
      </c>
      <c r="S310" s="348">
        <f>H310*R310</f>
        <v>2.06</v>
      </c>
      <c r="T310" s="319"/>
      <c r="V310" s="328">
        <v>2.0499999999999998</v>
      </c>
      <c r="W310" s="320">
        <v>1</v>
      </c>
      <c r="X310" s="348">
        <f t="shared" ref="X310:X317" si="112">V310*W310</f>
        <v>2.0499999999999998</v>
      </c>
      <c r="Y310" s="330">
        <v>1</v>
      </c>
      <c r="Z310" s="348">
        <f t="shared" ref="Z310:Z317" si="113">V310*Y310</f>
        <v>2.0499999999999998</v>
      </c>
      <c r="AB310" s="328">
        <f t="shared" ref="AB310:AB317" si="114">X310-O310</f>
        <v>-1.0000000000000231E-2</v>
      </c>
      <c r="AC310" s="328">
        <f t="shared" ref="AC310:AC317" si="115">Z310-S310</f>
        <v>-1.0000000000000231E-2</v>
      </c>
    </row>
    <row r="311" spans="1:29">
      <c r="A311" s="318"/>
      <c r="B311" s="319"/>
      <c r="C311" s="318"/>
      <c r="D311" s="318"/>
      <c r="E311" s="319"/>
      <c r="F311" s="319"/>
      <c r="G311" s="318" t="s">
        <v>799</v>
      </c>
      <c r="H311" s="318">
        <v>3.81</v>
      </c>
      <c r="I311" s="318">
        <v>1</v>
      </c>
      <c r="J311" s="318">
        <f t="shared" si="109"/>
        <v>1</v>
      </c>
      <c r="K311" s="318">
        <f t="shared" si="110"/>
        <v>3.81</v>
      </c>
      <c r="L311" s="318" t="s">
        <v>238</v>
      </c>
      <c r="M311" s="318" t="s">
        <v>239</v>
      </c>
      <c r="N311" s="318">
        <v>1</v>
      </c>
      <c r="O311" s="619">
        <f t="shared" si="111"/>
        <v>3.81</v>
      </c>
      <c r="P311" s="750">
        <v>1</v>
      </c>
      <c r="Q311" s="750"/>
      <c r="R311" s="337">
        <v>1</v>
      </c>
      <c r="S311" s="348">
        <f>H311*R311</f>
        <v>3.81</v>
      </c>
      <c r="T311" s="319"/>
      <c r="V311" s="328">
        <v>3.802</v>
      </c>
      <c r="W311" s="320">
        <v>1</v>
      </c>
      <c r="X311" s="348">
        <f t="shared" si="112"/>
        <v>3.802</v>
      </c>
      <c r="Y311" s="330">
        <v>1</v>
      </c>
      <c r="Z311" s="348">
        <f t="shared" si="113"/>
        <v>3.802</v>
      </c>
      <c r="AB311" s="328">
        <f t="shared" si="114"/>
        <v>-8.0000000000000071E-3</v>
      </c>
      <c r="AC311" s="328">
        <f t="shared" si="115"/>
        <v>-8.0000000000000071E-3</v>
      </c>
    </row>
    <row r="312" spans="1:29">
      <c r="A312" s="318"/>
      <c r="B312" s="319"/>
      <c r="C312" s="318"/>
      <c r="D312" s="318"/>
      <c r="E312" s="319"/>
      <c r="F312" s="319"/>
      <c r="G312" s="318" t="s">
        <v>800</v>
      </c>
      <c r="H312" s="318">
        <v>3.81</v>
      </c>
      <c r="I312" s="318">
        <v>1</v>
      </c>
      <c r="J312" s="318">
        <f t="shared" si="109"/>
        <v>1</v>
      </c>
      <c r="K312" s="318">
        <f t="shared" si="110"/>
        <v>3.81</v>
      </c>
      <c r="L312" s="318">
        <v>1311</v>
      </c>
      <c r="M312" s="318" t="s">
        <v>237</v>
      </c>
      <c r="N312" s="318">
        <v>1</v>
      </c>
      <c r="O312" s="619">
        <f t="shared" si="111"/>
        <v>3.81</v>
      </c>
      <c r="P312" s="750">
        <v>1</v>
      </c>
      <c r="Q312" s="750"/>
      <c r="R312" s="337">
        <v>1</v>
      </c>
      <c r="S312" s="348">
        <f t="shared" ref="S312:S343" si="116">H312*R312</f>
        <v>3.81</v>
      </c>
      <c r="T312" s="319"/>
      <c r="V312" s="328">
        <v>3.802</v>
      </c>
      <c r="W312" s="320">
        <v>1</v>
      </c>
      <c r="X312" s="348">
        <f t="shared" si="112"/>
        <v>3.802</v>
      </c>
      <c r="Y312" s="330">
        <v>1</v>
      </c>
      <c r="Z312" s="348">
        <f t="shared" si="113"/>
        <v>3.802</v>
      </c>
      <c r="AB312" s="328">
        <f t="shared" si="114"/>
        <v>-8.0000000000000071E-3</v>
      </c>
      <c r="AC312" s="328">
        <f t="shared" si="115"/>
        <v>-8.0000000000000071E-3</v>
      </c>
    </row>
    <row r="313" spans="1:29">
      <c r="A313" s="318"/>
      <c r="B313" s="319"/>
      <c r="C313" s="318"/>
      <c r="D313" s="318"/>
      <c r="E313" s="319"/>
      <c r="F313" s="336" t="s">
        <v>558</v>
      </c>
      <c r="G313" s="318" t="s">
        <v>801</v>
      </c>
      <c r="H313" s="318">
        <v>4.1500000000000004</v>
      </c>
      <c r="I313" s="318">
        <v>1</v>
      </c>
      <c r="J313" s="318">
        <f t="shared" si="109"/>
        <v>1</v>
      </c>
      <c r="K313" s="318">
        <f t="shared" si="110"/>
        <v>4.1500000000000004</v>
      </c>
      <c r="L313" s="318" t="s">
        <v>274</v>
      </c>
      <c r="M313" s="318" t="s">
        <v>275</v>
      </c>
      <c r="N313" s="318">
        <v>1</v>
      </c>
      <c r="O313" s="619">
        <f t="shared" si="111"/>
        <v>4.1500000000000004</v>
      </c>
      <c r="P313" s="750">
        <v>1</v>
      </c>
      <c r="Q313" s="750"/>
      <c r="R313" s="337">
        <v>1</v>
      </c>
      <c r="S313" s="348">
        <f t="shared" si="116"/>
        <v>4.1500000000000004</v>
      </c>
      <c r="T313" s="319"/>
      <c r="V313" s="328">
        <f>1.187+2.951</f>
        <v>4.1379999999999999</v>
      </c>
      <c r="W313" s="320">
        <v>1</v>
      </c>
      <c r="X313" s="348">
        <f t="shared" si="112"/>
        <v>4.1379999999999999</v>
      </c>
      <c r="Y313" s="330">
        <v>1</v>
      </c>
      <c r="Z313" s="348">
        <f t="shared" si="113"/>
        <v>4.1379999999999999</v>
      </c>
      <c r="AB313" s="328">
        <f t="shared" si="114"/>
        <v>-1.2000000000000455E-2</v>
      </c>
      <c r="AC313" s="328">
        <f t="shared" si="115"/>
        <v>-1.2000000000000455E-2</v>
      </c>
    </row>
    <row r="314" spans="1:29">
      <c r="A314" s="318"/>
      <c r="B314" s="319"/>
      <c r="C314" s="318"/>
      <c r="D314" s="318"/>
      <c r="E314" s="319"/>
      <c r="F314" s="336" t="s">
        <v>558</v>
      </c>
      <c r="G314" s="318" t="s">
        <v>802</v>
      </c>
      <c r="H314" s="318">
        <v>2.96</v>
      </c>
      <c r="I314" s="318">
        <v>1</v>
      </c>
      <c r="J314" s="318">
        <f t="shared" si="109"/>
        <v>1</v>
      </c>
      <c r="K314" s="318">
        <f t="shared" si="110"/>
        <v>2.96</v>
      </c>
      <c r="L314" s="318" t="s">
        <v>270</v>
      </c>
      <c r="M314" s="318" t="s">
        <v>271</v>
      </c>
      <c r="N314" s="318">
        <v>1</v>
      </c>
      <c r="O314" s="619">
        <f t="shared" si="111"/>
        <v>2.96</v>
      </c>
      <c r="P314" s="750">
        <v>1</v>
      </c>
      <c r="Q314" s="750"/>
      <c r="R314" s="337">
        <v>1</v>
      </c>
      <c r="S314" s="348">
        <f t="shared" si="116"/>
        <v>2.96</v>
      </c>
      <c r="T314" s="319"/>
      <c r="V314" s="328">
        <f>1.187+2.951</f>
        <v>4.1379999999999999</v>
      </c>
      <c r="W314" s="320">
        <v>1</v>
      </c>
      <c r="X314" s="348">
        <f t="shared" si="112"/>
        <v>4.1379999999999999</v>
      </c>
      <c r="Y314" s="330">
        <v>1</v>
      </c>
      <c r="Z314" s="348">
        <f t="shared" si="113"/>
        <v>4.1379999999999999</v>
      </c>
      <c r="AB314" s="328">
        <f t="shared" si="114"/>
        <v>1.1779999999999999</v>
      </c>
      <c r="AC314" s="328">
        <f t="shared" si="115"/>
        <v>1.1779999999999999</v>
      </c>
    </row>
    <row r="315" spans="1:29">
      <c r="A315" s="318"/>
      <c r="B315" s="319"/>
      <c r="C315" s="318"/>
      <c r="D315" s="318"/>
      <c r="E315" s="319"/>
      <c r="F315" s="319"/>
      <c r="G315" s="318" t="s">
        <v>803</v>
      </c>
      <c r="H315" s="318">
        <v>3.67</v>
      </c>
      <c r="I315" s="318">
        <v>1</v>
      </c>
      <c r="J315" s="318">
        <f t="shared" si="109"/>
        <v>1</v>
      </c>
      <c r="K315" s="318">
        <f t="shared" si="110"/>
        <v>3.67</v>
      </c>
      <c r="L315" s="318">
        <v>1390</v>
      </c>
      <c r="M315" s="318" t="s">
        <v>251</v>
      </c>
      <c r="N315" s="318">
        <v>1</v>
      </c>
      <c r="O315" s="619">
        <f t="shared" si="111"/>
        <v>3.67</v>
      </c>
      <c r="P315" s="750">
        <v>1</v>
      </c>
      <c r="Q315" s="750"/>
      <c r="R315" s="337">
        <v>1</v>
      </c>
      <c r="S315" s="348">
        <f t="shared" si="116"/>
        <v>3.67</v>
      </c>
      <c r="T315" s="319"/>
      <c r="V315" s="328">
        <v>3.6589999999999998</v>
      </c>
      <c r="W315" s="320">
        <v>1</v>
      </c>
      <c r="X315" s="348">
        <f t="shared" si="112"/>
        <v>3.6589999999999998</v>
      </c>
      <c r="Y315" s="330">
        <v>1</v>
      </c>
      <c r="Z315" s="348">
        <f t="shared" si="113"/>
        <v>3.6589999999999998</v>
      </c>
      <c r="AB315" s="328">
        <f t="shared" si="114"/>
        <v>-1.1000000000000121E-2</v>
      </c>
      <c r="AC315" s="328">
        <f t="shared" si="115"/>
        <v>-1.1000000000000121E-2</v>
      </c>
    </row>
    <row r="316" spans="1:29">
      <c r="A316" s="318"/>
      <c r="B316" s="319"/>
      <c r="C316" s="318"/>
      <c r="D316" s="318"/>
      <c r="E316" s="319"/>
      <c r="F316" s="319"/>
      <c r="G316" s="318" t="s">
        <v>804</v>
      </c>
      <c r="H316" s="318">
        <v>4.49</v>
      </c>
      <c r="I316" s="318">
        <v>1</v>
      </c>
      <c r="J316" s="318">
        <f t="shared" si="109"/>
        <v>1</v>
      </c>
      <c r="K316" s="318">
        <f t="shared" si="110"/>
        <v>4.49</v>
      </c>
      <c r="L316" s="318" t="s">
        <v>252</v>
      </c>
      <c r="M316" s="318" t="s">
        <v>253</v>
      </c>
      <c r="N316" s="318">
        <v>1</v>
      </c>
      <c r="O316" s="619">
        <f t="shared" si="111"/>
        <v>4.49</v>
      </c>
      <c r="P316" s="750">
        <v>1</v>
      </c>
      <c r="Q316" s="750"/>
      <c r="R316" s="337">
        <v>1</v>
      </c>
      <c r="S316" s="348">
        <f t="shared" si="116"/>
        <v>4.49</v>
      </c>
      <c r="T316" s="319"/>
      <c r="V316" s="328">
        <v>4.49</v>
      </c>
      <c r="W316" s="320">
        <v>1</v>
      </c>
      <c r="X316" s="348">
        <f t="shared" si="112"/>
        <v>4.49</v>
      </c>
      <c r="Y316" s="330">
        <v>1</v>
      </c>
      <c r="Z316" s="348">
        <f t="shared" si="113"/>
        <v>4.49</v>
      </c>
      <c r="AB316" s="328">
        <f t="shared" si="114"/>
        <v>0</v>
      </c>
      <c r="AC316" s="328">
        <f t="shared" si="115"/>
        <v>0</v>
      </c>
    </row>
    <row r="317" spans="1:29" ht="20.399999999999999">
      <c r="A317" s="318"/>
      <c r="B317" s="319"/>
      <c r="C317" s="318"/>
      <c r="D317" s="318"/>
      <c r="E317" s="319"/>
      <c r="F317" s="336" t="s">
        <v>604</v>
      </c>
      <c r="G317" s="318" t="s">
        <v>805</v>
      </c>
      <c r="H317" s="318">
        <v>4.8</v>
      </c>
      <c r="I317" s="318">
        <v>1</v>
      </c>
      <c r="J317" s="318">
        <v>1</v>
      </c>
      <c r="K317" s="318">
        <f t="shared" si="110"/>
        <v>4.8</v>
      </c>
      <c r="L317" s="350" t="s">
        <v>3376</v>
      </c>
      <c r="M317" s="350" t="s">
        <v>3407</v>
      </c>
      <c r="N317" s="318">
        <v>1</v>
      </c>
      <c r="O317" s="619">
        <f t="shared" si="111"/>
        <v>4.8</v>
      </c>
      <c r="P317" s="750">
        <v>1</v>
      </c>
      <c r="Q317" s="750"/>
      <c r="R317" s="337">
        <v>1</v>
      </c>
      <c r="S317" s="348">
        <f t="shared" si="116"/>
        <v>4.8</v>
      </c>
      <c r="T317" s="319" t="s">
        <v>3430</v>
      </c>
      <c r="V317" s="328">
        <f t="shared" ref="V317:V326" si="117">4.49</f>
        <v>4.49</v>
      </c>
      <c r="W317" s="320"/>
      <c r="X317" s="348">
        <f t="shared" si="112"/>
        <v>0</v>
      </c>
      <c r="Y317" s="330"/>
      <c r="Z317" s="348">
        <f t="shared" si="113"/>
        <v>0</v>
      </c>
      <c r="AB317" s="328">
        <f t="shared" si="114"/>
        <v>-4.8</v>
      </c>
      <c r="AC317" s="328">
        <f t="shared" si="115"/>
        <v>-4.8</v>
      </c>
    </row>
    <row r="318" spans="1:29" collapsed="1">
      <c r="A318" s="584"/>
      <c r="B318" s="585"/>
      <c r="C318" s="584"/>
      <c r="D318" s="584"/>
      <c r="E318" s="585"/>
      <c r="F318" s="585" t="s">
        <v>384</v>
      </c>
      <c r="G318" s="584" t="s">
        <v>495</v>
      </c>
      <c r="H318" s="584"/>
      <c r="I318" s="584"/>
      <c r="J318" s="584"/>
      <c r="K318" s="584"/>
      <c r="L318" s="584"/>
      <c r="M318" s="584"/>
      <c r="N318" s="584"/>
      <c r="O318" s="631" t="s">
        <v>2321</v>
      </c>
      <c r="P318" s="750"/>
      <c r="Q318" s="750"/>
      <c r="R318" s="337"/>
      <c r="S318" s="348">
        <f t="shared" si="116"/>
        <v>0</v>
      </c>
      <c r="T318" s="1024" t="s">
        <v>561</v>
      </c>
      <c r="V318" s="328"/>
      <c r="W318" s="318"/>
      <c r="X318" s="384" t="s">
        <v>2321</v>
      </c>
      <c r="Y318" s="337"/>
      <c r="Z318" s="350" t="s">
        <v>2321</v>
      </c>
      <c r="AB318" s="328"/>
      <c r="AC318" s="328"/>
    </row>
    <row r="319" spans="1:29">
      <c r="A319" s="584"/>
      <c r="B319" s="585"/>
      <c r="C319" s="584"/>
      <c r="D319" s="584"/>
      <c r="E319" s="585"/>
      <c r="F319" s="585" t="s">
        <v>384</v>
      </c>
      <c r="G319" s="584" t="s">
        <v>496</v>
      </c>
      <c r="H319" s="584"/>
      <c r="I319" s="584"/>
      <c r="J319" s="584"/>
      <c r="K319" s="584"/>
      <c r="L319" s="584"/>
      <c r="M319" s="584"/>
      <c r="N319" s="584"/>
      <c r="O319" s="631" t="s">
        <v>2321</v>
      </c>
      <c r="P319" s="750"/>
      <c r="Q319" s="750"/>
      <c r="R319" s="337"/>
      <c r="S319" s="348">
        <f t="shared" si="116"/>
        <v>0</v>
      </c>
      <c r="T319" s="1025"/>
      <c r="V319" s="328"/>
      <c r="W319" s="318"/>
      <c r="X319" s="384" t="s">
        <v>2321</v>
      </c>
      <c r="Y319" s="337"/>
      <c r="Z319" s="350" t="s">
        <v>2321</v>
      </c>
      <c r="AB319" s="328"/>
      <c r="AC319" s="328"/>
    </row>
    <row r="320" spans="1:29">
      <c r="A320" s="584"/>
      <c r="B320" s="585"/>
      <c r="C320" s="584"/>
      <c r="D320" s="584"/>
      <c r="E320" s="585"/>
      <c r="F320" s="585" t="s">
        <v>384</v>
      </c>
      <c r="G320" s="584" t="s">
        <v>497</v>
      </c>
      <c r="H320" s="584"/>
      <c r="I320" s="584"/>
      <c r="J320" s="584"/>
      <c r="K320" s="584"/>
      <c r="L320" s="584"/>
      <c r="M320" s="584"/>
      <c r="N320" s="584"/>
      <c r="O320" s="631" t="s">
        <v>2321</v>
      </c>
      <c r="P320" s="750"/>
      <c r="Q320" s="750"/>
      <c r="R320" s="337"/>
      <c r="S320" s="348">
        <f t="shared" si="116"/>
        <v>0</v>
      </c>
      <c r="T320" s="1025"/>
      <c r="V320" s="328"/>
      <c r="W320" s="318"/>
      <c r="X320" s="384" t="s">
        <v>2321</v>
      </c>
      <c r="Y320" s="337"/>
      <c r="Z320" s="350" t="s">
        <v>2321</v>
      </c>
      <c r="AB320" s="328"/>
      <c r="AC320" s="328"/>
    </row>
    <row r="321" spans="1:29">
      <c r="A321" s="584"/>
      <c r="B321" s="585"/>
      <c r="C321" s="584"/>
      <c r="D321" s="584"/>
      <c r="E321" s="585"/>
      <c r="F321" s="585" t="s">
        <v>384</v>
      </c>
      <c r="G321" s="584" t="s">
        <v>498</v>
      </c>
      <c r="H321" s="584"/>
      <c r="I321" s="584"/>
      <c r="J321" s="584"/>
      <c r="K321" s="584"/>
      <c r="L321" s="584"/>
      <c r="M321" s="584"/>
      <c r="N321" s="584"/>
      <c r="O321" s="631" t="s">
        <v>2321</v>
      </c>
      <c r="P321" s="750"/>
      <c r="Q321" s="750"/>
      <c r="R321" s="337"/>
      <c r="S321" s="348">
        <f t="shared" si="116"/>
        <v>0</v>
      </c>
      <c r="T321" s="1026"/>
      <c r="V321" s="328"/>
      <c r="W321" s="318"/>
      <c r="X321" s="384" t="s">
        <v>2321</v>
      </c>
      <c r="Y321" s="337"/>
      <c r="Z321" s="350" t="s">
        <v>2321</v>
      </c>
      <c r="AB321" s="328"/>
      <c r="AC321" s="328"/>
    </row>
    <row r="322" spans="1:29" ht="20.399999999999999">
      <c r="A322" s="318"/>
      <c r="B322" s="319"/>
      <c r="C322" s="318"/>
      <c r="D322" s="318"/>
      <c r="E322" s="319"/>
      <c r="F322" s="336" t="s">
        <v>604</v>
      </c>
      <c r="G322" s="318" t="s">
        <v>806</v>
      </c>
      <c r="H322" s="318">
        <v>4.8</v>
      </c>
      <c r="I322" s="318">
        <v>1</v>
      </c>
      <c r="J322" s="318">
        <v>1</v>
      </c>
      <c r="K322" s="318">
        <f t="shared" ref="K322:K343" si="118">H322*J322</f>
        <v>4.8</v>
      </c>
      <c r="L322" s="352" t="s">
        <v>3375</v>
      </c>
      <c r="M322" s="350" t="s">
        <v>3404</v>
      </c>
      <c r="N322" s="318">
        <v>1</v>
      </c>
      <c r="O322" s="619">
        <f t="shared" si="111"/>
        <v>4.8</v>
      </c>
      <c r="P322" s="750">
        <v>1</v>
      </c>
      <c r="Q322" s="750"/>
      <c r="R322" s="337">
        <v>1</v>
      </c>
      <c r="S322" s="348">
        <f t="shared" si="116"/>
        <v>4.8</v>
      </c>
      <c r="T322" s="319" t="s">
        <v>3430</v>
      </c>
      <c r="V322" s="328">
        <f t="shared" si="117"/>
        <v>4.49</v>
      </c>
      <c r="W322" s="320"/>
      <c r="X322" s="348">
        <f t="shared" ref="X322:X343" si="119">V322*W322</f>
        <v>0</v>
      </c>
      <c r="Y322" s="330"/>
      <c r="Z322" s="348">
        <f t="shared" ref="Z322:Z343" si="120">V322*Y322</f>
        <v>0</v>
      </c>
      <c r="AB322" s="328">
        <f t="shared" ref="AB322:AB343" si="121">X322-O322</f>
        <v>-4.8</v>
      </c>
      <c r="AC322" s="328">
        <f t="shared" ref="AC322:AC343" si="122">Z322-S322</f>
        <v>-4.8</v>
      </c>
    </row>
    <row r="323" spans="1:29">
      <c r="A323" s="318"/>
      <c r="B323" s="319"/>
      <c r="C323" s="318"/>
      <c r="D323" s="318"/>
      <c r="E323" s="319"/>
      <c r="F323" s="336"/>
      <c r="G323" s="318" t="s">
        <v>807</v>
      </c>
      <c r="H323" s="318">
        <v>4.49</v>
      </c>
      <c r="I323" s="318">
        <v>1</v>
      </c>
      <c r="J323" s="318">
        <f t="shared" ref="J323:J343" si="123">IF(N323&gt;0,1,0)</f>
        <v>1</v>
      </c>
      <c r="K323" s="318">
        <f t="shared" si="118"/>
        <v>4.49</v>
      </c>
      <c r="L323" s="318"/>
      <c r="M323" s="318"/>
      <c r="N323" s="318">
        <v>1</v>
      </c>
      <c r="O323" s="619">
        <f t="shared" si="111"/>
        <v>4.49</v>
      </c>
      <c r="P323" s="750">
        <v>1</v>
      </c>
      <c r="Q323" s="750"/>
      <c r="R323" s="337">
        <v>1</v>
      </c>
      <c r="S323" s="348">
        <f t="shared" si="116"/>
        <v>4.49</v>
      </c>
      <c r="T323" s="319"/>
      <c r="V323" s="328">
        <f t="shared" si="117"/>
        <v>4.49</v>
      </c>
      <c r="W323" s="320">
        <v>1</v>
      </c>
      <c r="X323" s="348">
        <f t="shared" si="119"/>
        <v>4.49</v>
      </c>
      <c r="Y323" s="330"/>
      <c r="Z323" s="348">
        <f t="shared" si="120"/>
        <v>0</v>
      </c>
      <c r="AB323" s="328">
        <f t="shared" si="121"/>
        <v>0</v>
      </c>
      <c r="AC323" s="328">
        <f t="shared" si="122"/>
        <v>-4.49</v>
      </c>
    </row>
    <row r="324" spans="1:29">
      <c r="A324" s="318"/>
      <c r="B324" s="319"/>
      <c r="C324" s="318"/>
      <c r="D324" s="318"/>
      <c r="E324" s="319"/>
      <c r="F324" s="319"/>
      <c r="G324" s="318" t="s">
        <v>808</v>
      </c>
      <c r="H324" s="318">
        <v>4.49</v>
      </c>
      <c r="I324" s="318">
        <v>1</v>
      </c>
      <c r="J324" s="318">
        <f t="shared" si="123"/>
        <v>1</v>
      </c>
      <c r="K324" s="318">
        <f t="shared" si="118"/>
        <v>4.49</v>
      </c>
      <c r="L324" s="318"/>
      <c r="M324" s="318"/>
      <c r="N324" s="318">
        <v>1</v>
      </c>
      <c r="O324" s="619">
        <f t="shared" si="111"/>
        <v>4.49</v>
      </c>
      <c r="P324" s="750">
        <v>1</v>
      </c>
      <c r="Q324" s="750"/>
      <c r="R324" s="337">
        <v>1</v>
      </c>
      <c r="S324" s="348">
        <f t="shared" si="116"/>
        <v>4.49</v>
      </c>
      <c r="T324" s="319"/>
      <c r="V324" s="328">
        <f t="shared" si="117"/>
        <v>4.49</v>
      </c>
      <c r="W324" s="320">
        <v>1</v>
      </c>
      <c r="X324" s="348">
        <f t="shared" si="119"/>
        <v>4.49</v>
      </c>
      <c r="Y324" s="330">
        <v>1</v>
      </c>
      <c r="Z324" s="348">
        <f t="shared" si="120"/>
        <v>4.49</v>
      </c>
      <c r="AB324" s="328">
        <f t="shared" si="121"/>
        <v>0</v>
      </c>
      <c r="AC324" s="328">
        <f t="shared" si="122"/>
        <v>0</v>
      </c>
    </row>
    <row r="325" spans="1:29">
      <c r="A325" s="318"/>
      <c r="B325" s="319"/>
      <c r="C325" s="318"/>
      <c r="D325" s="318"/>
      <c r="E325" s="319"/>
      <c r="F325" s="319"/>
      <c r="G325" s="318" t="s">
        <v>809</v>
      </c>
      <c r="H325" s="318">
        <v>4.49</v>
      </c>
      <c r="I325" s="318">
        <v>1</v>
      </c>
      <c r="J325" s="318">
        <f t="shared" si="123"/>
        <v>1</v>
      </c>
      <c r="K325" s="318">
        <f t="shared" si="118"/>
        <v>4.49</v>
      </c>
      <c r="L325" s="318">
        <v>1238</v>
      </c>
      <c r="M325" s="318" t="s">
        <v>209</v>
      </c>
      <c r="N325" s="318">
        <v>1</v>
      </c>
      <c r="O325" s="619">
        <f t="shared" si="111"/>
        <v>4.49</v>
      </c>
      <c r="P325" s="750">
        <v>1</v>
      </c>
      <c r="Q325" s="750"/>
      <c r="R325" s="337">
        <v>1</v>
      </c>
      <c r="S325" s="348">
        <f t="shared" si="116"/>
        <v>4.49</v>
      </c>
      <c r="T325" s="319"/>
      <c r="V325" s="328">
        <f t="shared" si="117"/>
        <v>4.49</v>
      </c>
      <c r="W325" s="320">
        <v>1</v>
      </c>
      <c r="X325" s="348">
        <f t="shared" si="119"/>
        <v>4.49</v>
      </c>
      <c r="Y325" s="330">
        <v>1</v>
      </c>
      <c r="Z325" s="348">
        <f t="shared" si="120"/>
        <v>4.49</v>
      </c>
      <c r="AB325" s="328">
        <f t="shared" si="121"/>
        <v>0</v>
      </c>
      <c r="AC325" s="328">
        <f t="shared" si="122"/>
        <v>0</v>
      </c>
    </row>
    <row r="326" spans="1:29">
      <c r="A326" s="318"/>
      <c r="B326" s="319"/>
      <c r="C326" s="318"/>
      <c r="D326" s="318"/>
      <c r="E326" s="319"/>
      <c r="F326" s="319"/>
      <c r="G326" s="318" t="s">
        <v>810</v>
      </c>
      <c r="H326" s="318">
        <v>4.49</v>
      </c>
      <c r="I326" s="318">
        <v>1</v>
      </c>
      <c r="J326" s="318">
        <f t="shared" si="123"/>
        <v>1</v>
      </c>
      <c r="K326" s="318">
        <f t="shared" si="118"/>
        <v>4.49</v>
      </c>
      <c r="L326" s="318"/>
      <c r="M326" s="318"/>
      <c r="N326" s="318">
        <v>1</v>
      </c>
      <c r="O326" s="619">
        <f t="shared" si="111"/>
        <v>4.49</v>
      </c>
      <c r="P326" s="750">
        <v>1</v>
      </c>
      <c r="Q326" s="750"/>
      <c r="R326" s="337">
        <v>1</v>
      </c>
      <c r="S326" s="348">
        <f t="shared" si="116"/>
        <v>4.49</v>
      </c>
      <c r="T326" s="319"/>
      <c r="V326" s="328">
        <f t="shared" si="117"/>
        <v>4.49</v>
      </c>
      <c r="W326" s="320">
        <v>1</v>
      </c>
      <c r="X326" s="348">
        <f t="shared" si="119"/>
        <v>4.49</v>
      </c>
      <c r="Y326" s="330">
        <v>1</v>
      </c>
      <c r="Z326" s="348">
        <f t="shared" si="120"/>
        <v>4.49</v>
      </c>
      <c r="AB326" s="328">
        <f t="shared" si="121"/>
        <v>0</v>
      </c>
      <c r="AC326" s="328">
        <f t="shared" si="122"/>
        <v>0</v>
      </c>
    </row>
    <row r="327" spans="1:29">
      <c r="A327" s="318"/>
      <c r="B327" s="319"/>
      <c r="C327" s="318"/>
      <c r="D327" s="318"/>
      <c r="E327" s="319"/>
      <c r="F327" s="336" t="s">
        <v>696</v>
      </c>
      <c r="G327" s="318" t="s">
        <v>811</v>
      </c>
      <c r="H327" s="318">
        <v>4.9800000000000004</v>
      </c>
      <c r="I327" s="318">
        <v>1</v>
      </c>
      <c r="J327" s="318">
        <f t="shared" si="123"/>
        <v>1</v>
      </c>
      <c r="K327" s="318">
        <f t="shared" si="118"/>
        <v>4.9800000000000004</v>
      </c>
      <c r="L327" s="318">
        <v>1423</v>
      </c>
      <c r="M327" s="318">
        <v>106</v>
      </c>
      <c r="N327" s="318">
        <v>1</v>
      </c>
      <c r="O327" s="619">
        <f t="shared" si="111"/>
        <v>4.9800000000000004</v>
      </c>
      <c r="P327" s="750">
        <v>1</v>
      </c>
      <c r="Q327" s="750"/>
      <c r="R327" s="337">
        <v>1</v>
      </c>
      <c r="S327" s="348">
        <f t="shared" si="116"/>
        <v>4.9800000000000004</v>
      </c>
      <c r="T327" s="319"/>
      <c r="V327" s="328">
        <f>1.8+3.805-0.6</f>
        <v>5.0050000000000008</v>
      </c>
      <c r="W327" s="320">
        <v>1</v>
      </c>
      <c r="X327" s="348">
        <f t="shared" si="119"/>
        <v>5.0050000000000008</v>
      </c>
      <c r="Y327" s="330">
        <v>1</v>
      </c>
      <c r="Z327" s="348">
        <f t="shared" si="120"/>
        <v>5.0050000000000008</v>
      </c>
      <c r="AB327" s="328">
        <f t="shared" si="121"/>
        <v>2.5000000000000355E-2</v>
      </c>
      <c r="AC327" s="328">
        <f t="shared" si="122"/>
        <v>2.5000000000000355E-2</v>
      </c>
    </row>
    <row r="328" spans="1:29">
      <c r="A328" s="318"/>
      <c r="B328" s="319"/>
      <c r="C328" s="318"/>
      <c r="D328" s="318"/>
      <c r="E328" s="319"/>
      <c r="F328" s="336"/>
      <c r="G328" s="318" t="s">
        <v>812</v>
      </c>
      <c r="H328" s="319">
        <v>4.3499999999999996</v>
      </c>
      <c r="I328" s="318">
        <v>1</v>
      </c>
      <c r="J328" s="318">
        <f t="shared" si="123"/>
        <v>1</v>
      </c>
      <c r="K328" s="318">
        <f t="shared" si="118"/>
        <v>4.3499999999999996</v>
      </c>
      <c r="L328" s="318">
        <v>1238</v>
      </c>
      <c r="M328" s="318" t="s">
        <v>209</v>
      </c>
      <c r="N328" s="318">
        <v>1</v>
      </c>
      <c r="O328" s="619">
        <f t="shared" si="111"/>
        <v>4.3499999999999996</v>
      </c>
      <c r="P328" s="750">
        <v>1</v>
      </c>
      <c r="Q328" s="750"/>
      <c r="R328" s="337">
        <v>1</v>
      </c>
      <c r="S328" s="348">
        <f t="shared" si="116"/>
        <v>4.3499999999999996</v>
      </c>
      <c r="T328" s="319"/>
      <c r="V328" s="333">
        <v>4.34</v>
      </c>
      <c r="W328" s="320">
        <v>1</v>
      </c>
      <c r="X328" s="348">
        <f t="shared" si="119"/>
        <v>4.34</v>
      </c>
      <c r="Y328" s="330">
        <v>1</v>
      </c>
      <c r="Z328" s="348">
        <f t="shared" si="120"/>
        <v>4.34</v>
      </c>
      <c r="AB328" s="333">
        <f t="shared" si="121"/>
        <v>-9.9999999999997868E-3</v>
      </c>
      <c r="AC328" s="333">
        <f t="shared" si="122"/>
        <v>-9.9999999999997868E-3</v>
      </c>
    </row>
    <row r="329" spans="1:29">
      <c r="A329" s="318"/>
      <c r="B329" s="319"/>
      <c r="C329" s="318"/>
      <c r="D329" s="318"/>
      <c r="E329" s="319"/>
      <c r="F329" s="336"/>
      <c r="G329" s="318" t="s">
        <v>813</v>
      </c>
      <c r="H329" s="319">
        <v>4.3499999999999996</v>
      </c>
      <c r="I329" s="318">
        <v>1</v>
      </c>
      <c r="J329" s="318">
        <f t="shared" si="123"/>
        <v>1</v>
      </c>
      <c r="K329" s="318">
        <f t="shared" si="118"/>
        <v>4.3499999999999996</v>
      </c>
      <c r="L329" s="318"/>
      <c r="M329" s="318"/>
      <c r="N329" s="318">
        <v>1</v>
      </c>
      <c r="O329" s="619">
        <f t="shared" si="111"/>
        <v>4.3499999999999996</v>
      </c>
      <c r="P329" s="750">
        <v>1</v>
      </c>
      <c r="Q329" s="750"/>
      <c r="R329" s="337">
        <v>1</v>
      </c>
      <c r="S329" s="348">
        <f t="shared" si="116"/>
        <v>4.3499999999999996</v>
      </c>
      <c r="T329" s="319"/>
      <c r="V329" s="333">
        <v>4.34</v>
      </c>
      <c r="W329" s="320">
        <v>1</v>
      </c>
      <c r="X329" s="348">
        <f t="shared" si="119"/>
        <v>4.34</v>
      </c>
      <c r="Y329" s="330">
        <v>1</v>
      </c>
      <c r="Z329" s="348">
        <f t="shared" si="120"/>
        <v>4.34</v>
      </c>
      <c r="AB329" s="333">
        <f t="shared" si="121"/>
        <v>-9.9999999999997868E-3</v>
      </c>
      <c r="AC329" s="333">
        <f t="shared" si="122"/>
        <v>-9.9999999999997868E-3</v>
      </c>
    </row>
    <row r="330" spans="1:29">
      <c r="A330" s="318"/>
      <c r="B330" s="319"/>
      <c r="C330" s="318"/>
      <c r="D330" s="318"/>
      <c r="E330" s="319"/>
      <c r="F330" s="319"/>
      <c r="G330" s="318" t="s">
        <v>814</v>
      </c>
      <c r="H330" s="319">
        <v>4.3499999999999996</v>
      </c>
      <c r="I330" s="318">
        <v>1</v>
      </c>
      <c r="J330" s="318">
        <f t="shared" si="123"/>
        <v>1</v>
      </c>
      <c r="K330" s="318">
        <f t="shared" si="118"/>
        <v>4.3499999999999996</v>
      </c>
      <c r="L330" s="318"/>
      <c r="M330" s="318"/>
      <c r="N330" s="318">
        <v>1</v>
      </c>
      <c r="O330" s="619">
        <f t="shared" si="111"/>
        <v>4.3499999999999996</v>
      </c>
      <c r="P330" s="750">
        <v>1</v>
      </c>
      <c r="Q330" s="750"/>
      <c r="R330" s="337">
        <v>1</v>
      </c>
      <c r="S330" s="348">
        <f t="shared" si="116"/>
        <v>4.3499999999999996</v>
      </c>
      <c r="T330" s="319"/>
      <c r="V330" s="333">
        <v>4.34</v>
      </c>
      <c r="W330" s="320">
        <v>1</v>
      </c>
      <c r="X330" s="348">
        <f t="shared" si="119"/>
        <v>4.34</v>
      </c>
      <c r="Y330" s="330">
        <v>1</v>
      </c>
      <c r="Z330" s="348">
        <f t="shared" si="120"/>
        <v>4.34</v>
      </c>
      <c r="AB330" s="333">
        <f t="shared" si="121"/>
        <v>-9.9999999999997868E-3</v>
      </c>
      <c r="AC330" s="333">
        <f t="shared" si="122"/>
        <v>-9.9999999999997868E-3</v>
      </c>
    </row>
    <row r="331" spans="1:29">
      <c r="A331" s="318"/>
      <c r="B331" s="319"/>
      <c r="C331" s="318"/>
      <c r="D331" s="318"/>
      <c r="E331" s="319"/>
      <c r="F331" s="319"/>
      <c r="G331" s="318" t="s">
        <v>815</v>
      </c>
      <c r="H331" s="319">
        <v>4.3499999999999996</v>
      </c>
      <c r="I331" s="318">
        <v>1</v>
      </c>
      <c r="J331" s="318">
        <f t="shared" si="123"/>
        <v>1</v>
      </c>
      <c r="K331" s="318">
        <f t="shared" si="118"/>
        <v>4.3499999999999996</v>
      </c>
      <c r="L331" s="318"/>
      <c r="M331" s="318"/>
      <c r="N331" s="318">
        <v>1</v>
      </c>
      <c r="O331" s="619">
        <f t="shared" si="111"/>
        <v>4.3499999999999996</v>
      </c>
      <c r="P331" s="750">
        <v>1</v>
      </c>
      <c r="Q331" s="750"/>
      <c r="R331" s="337">
        <v>1</v>
      </c>
      <c r="S331" s="348">
        <f t="shared" si="116"/>
        <v>4.3499999999999996</v>
      </c>
      <c r="T331" s="319"/>
      <c r="V331" s="333">
        <v>4.34</v>
      </c>
      <c r="W331" s="320">
        <v>1</v>
      </c>
      <c r="X331" s="348">
        <f t="shared" si="119"/>
        <v>4.34</v>
      </c>
      <c r="Y331" s="330">
        <v>1</v>
      </c>
      <c r="Z331" s="348">
        <f t="shared" si="120"/>
        <v>4.34</v>
      </c>
      <c r="AB331" s="333">
        <f t="shared" si="121"/>
        <v>-9.9999999999997868E-3</v>
      </c>
      <c r="AC331" s="333">
        <f t="shared" si="122"/>
        <v>-9.9999999999997868E-3</v>
      </c>
    </row>
    <row r="332" spans="1:29">
      <c r="A332" s="318"/>
      <c r="B332" s="319"/>
      <c r="C332" s="318"/>
      <c r="D332" s="318"/>
      <c r="E332" s="319"/>
      <c r="F332" s="336" t="s">
        <v>696</v>
      </c>
      <c r="G332" s="318" t="s">
        <v>816</v>
      </c>
      <c r="H332" s="318">
        <v>5.17</v>
      </c>
      <c r="I332" s="318">
        <v>1</v>
      </c>
      <c r="J332" s="318">
        <f t="shared" si="123"/>
        <v>1</v>
      </c>
      <c r="K332" s="318">
        <f t="shared" si="118"/>
        <v>5.17</v>
      </c>
      <c r="L332" s="318" t="s">
        <v>272</v>
      </c>
      <c r="M332" s="318" t="s">
        <v>273</v>
      </c>
      <c r="N332" s="318">
        <v>1</v>
      </c>
      <c r="O332" s="619">
        <f t="shared" si="111"/>
        <v>5.17</v>
      </c>
      <c r="P332" s="750">
        <v>1</v>
      </c>
      <c r="Q332" s="750"/>
      <c r="R332" s="337">
        <v>1</v>
      </c>
      <c r="S332" s="348">
        <f t="shared" si="116"/>
        <v>5.17</v>
      </c>
      <c r="T332" s="319"/>
      <c r="V332" s="328">
        <f>3.995+1.8-0.6</f>
        <v>5.1950000000000003</v>
      </c>
      <c r="W332" s="320">
        <v>1</v>
      </c>
      <c r="X332" s="348">
        <f t="shared" si="119"/>
        <v>5.1950000000000003</v>
      </c>
      <c r="Y332" s="330">
        <v>1</v>
      </c>
      <c r="Z332" s="348">
        <f t="shared" si="120"/>
        <v>5.1950000000000003</v>
      </c>
      <c r="AB332" s="328">
        <f t="shared" si="121"/>
        <v>2.5000000000000355E-2</v>
      </c>
      <c r="AC332" s="328">
        <f t="shared" si="122"/>
        <v>2.5000000000000355E-2</v>
      </c>
    </row>
    <row r="333" spans="1:29" ht="14.4" customHeight="1">
      <c r="A333" s="318"/>
      <c r="B333" s="319"/>
      <c r="C333" s="318"/>
      <c r="D333" s="318"/>
      <c r="E333" s="319"/>
      <c r="F333" s="319"/>
      <c r="G333" s="318" t="s">
        <v>817</v>
      </c>
      <c r="H333" s="318">
        <v>4.49</v>
      </c>
      <c r="I333" s="318">
        <v>1</v>
      </c>
      <c r="J333" s="318">
        <f t="shared" si="123"/>
        <v>1</v>
      </c>
      <c r="K333" s="318">
        <f t="shared" si="118"/>
        <v>4.49</v>
      </c>
      <c r="L333" s="318"/>
      <c r="M333" s="318"/>
      <c r="N333" s="318">
        <v>1</v>
      </c>
      <c r="O333" s="619">
        <f t="shared" si="111"/>
        <v>4.49</v>
      </c>
      <c r="P333" s="750">
        <v>1</v>
      </c>
      <c r="Q333" s="750"/>
      <c r="R333" s="337">
        <v>1</v>
      </c>
      <c r="S333" s="348">
        <f t="shared" si="116"/>
        <v>4.49</v>
      </c>
      <c r="T333" s="319"/>
      <c r="V333" s="328">
        <v>4.49</v>
      </c>
      <c r="W333" s="320">
        <v>1</v>
      </c>
      <c r="X333" s="348">
        <f t="shared" si="119"/>
        <v>4.49</v>
      </c>
      <c r="Y333" s="330">
        <v>1</v>
      </c>
      <c r="Z333" s="348">
        <f t="shared" si="120"/>
        <v>4.49</v>
      </c>
      <c r="AB333" s="328">
        <f t="shared" si="121"/>
        <v>0</v>
      </c>
      <c r="AC333" s="328">
        <f t="shared" si="122"/>
        <v>0</v>
      </c>
    </row>
    <row r="334" spans="1:29">
      <c r="A334" s="318"/>
      <c r="B334" s="319"/>
      <c r="C334" s="318"/>
      <c r="D334" s="318"/>
      <c r="E334" s="319"/>
      <c r="F334" s="319"/>
      <c r="G334" s="318" t="s">
        <v>818</v>
      </c>
      <c r="H334" s="318">
        <v>4.49</v>
      </c>
      <c r="I334" s="318">
        <v>1</v>
      </c>
      <c r="J334" s="318">
        <f t="shared" si="123"/>
        <v>1</v>
      </c>
      <c r="K334" s="318">
        <f t="shared" si="118"/>
        <v>4.49</v>
      </c>
      <c r="L334" s="318">
        <v>1238</v>
      </c>
      <c r="M334" s="318" t="s">
        <v>209</v>
      </c>
      <c r="N334" s="318">
        <v>1</v>
      </c>
      <c r="O334" s="619">
        <f t="shared" si="111"/>
        <v>4.49</v>
      </c>
      <c r="P334" s="750">
        <v>1</v>
      </c>
      <c r="Q334" s="750"/>
      <c r="R334" s="337">
        <v>1</v>
      </c>
      <c r="S334" s="348">
        <f t="shared" si="116"/>
        <v>4.49</v>
      </c>
      <c r="T334" s="319"/>
      <c r="V334" s="328">
        <v>4.49</v>
      </c>
      <c r="W334" s="320">
        <v>1</v>
      </c>
      <c r="X334" s="348">
        <f t="shared" si="119"/>
        <v>4.49</v>
      </c>
      <c r="Y334" s="330">
        <v>1</v>
      </c>
      <c r="Z334" s="348">
        <f t="shared" si="120"/>
        <v>4.49</v>
      </c>
      <c r="AB334" s="328">
        <f t="shared" si="121"/>
        <v>0</v>
      </c>
      <c r="AC334" s="328">
        <f t="shared" si="122"/>
        <v>0</v>
      </c>
    </row>
    <row r="335" spans="1:29">
      <c r="A335" s="318"/>
      <c r="B335" s="319"/>
      <c r="C335" s="318"/>
      <c r="D335" s="318"/>
      <c r="E335" s="319"/>
      <c r="F335" s="319"/>
      <c r="G335" s="318" t="s">
        <v>819</v>
      </c>
      <c r="H335" s="318">
        <v>4.49</v>
      </c>
      <c r="I335" s="318">
        <v>1</v>
      </c>
      <c r="J335" s="318">
        <f t="shared" si="123"/>
        <v>1</v>
      </c>
      <c r="K335" s="318">
        <f t="shared" si="118"/>
        <v>4.49</v>
      </c>
      <c r="L335" s="318">
        <v>1241</v>
      </c>
      <c r="M335" s="318" t="s">
        <v>211</v>
      </c>
      <c r="N335" s="318">
        <v>1</v>
      </c>
      <c r="O335" s="619">
        <f t="shared" si="111"/>
        <v>4.49</v>
      </c>
      <c r="P335" s="750">
        <v>1</v>
      </c>
      <c r="Q335" s="750"/>
      <c r="R335" s="337">
        <v>1</v>
      </c>
      <c r="S335" s="348">
        <f t="shared" si="116"/>
        <v>4.49</v>
      </c>
      <c r="T335" s="319"/>
      <c r="V335" s="328">
        <v>4.49</v>
      </c>
      <c r="W335" s="320">
        <v>1</v>
      </c>
      <c r="X335" s="348">
        <f t="shared" si="119"/>
        <v>4.49</v>
      </c>
      <c r="Y335" s="330">
        <v>1</v>
      </c>
      <c r="Z335" s="348">
        <f t="shared" si="120"/>
        <v>4.49</v>
      </c>
      <c r="AB335" s="328">
        <f t="shared" si="121"/>
        <v>0</v>
      </c>
      <c r="AC335" s="328">
        <f t="shared" si="122"/>
        <v>0</v>
      </c>
    </row>
    <row r="336" spans="1:29">
      <c r="A336" s="318"/>
      <c r="B336" s="319"/>
      <c r="C336" s="318"/>
      <c r="D336" s="318"/>
      <c r="E336" s="319"/>
      <c r="F336" s="319"/>
      <c r="G336" s="318" t="s">
        <v>820</v>
      </c>
      <c r="H336" s="318">
        <v>4.49</v>
      </c>
      <c r="I336" s="318">
        <v>1</v>
      </c>
      <c r="J336" s="318">
        <f t="shared" si="123"/>
        <v>1</v>
      </c>
      <c r="K336" s="318">
        <f t="shared" si="118"/>
        <v>4.49</v>
      </c>
      <c r="L336" s="318">
        <v>1241</v>
      </c>
      <c r="M336" s="318" t="s">
        <v>211</v>
      </c>
      <c r="N336" s="318">
        <v>1</v>
      </c>
      <c r="O336" s="619">
        <f t="shared" si="111"/>
        <v>4.49</v>
      </c>
      <c r="P336" s="750">
        <v>1</v>
      </c>
      <c r="Q336" s="750"/>
      <c r="R336" s="337">
        <v>1</v>
      </c>
      <c r="S336" s="348">
        <f t="shared" si="116"/>
        <v>4.49</v>
      </c>
      <c r="T336" s="319"/>
      <c r="V336" s="328">
        <v>4.49</v>
      </c>
      <c r="W336" s="320">
        <v>1</v>
      </c>
      <c r="X336" s="348">
        <f t="shared" si="119"/>
        <v>4.49</v>
      </c>
      <c r="Y336" s="330">
        <v>1</v>
      </c>
      <c r="Z336" s="348">
        <f t="shared" si="120"/>
        <v>4.49</v>
      </c>
      <c r="AB336" s="328">
        <f t="shared" si="121"/>
        <v>0</v>
      </c>
      <c r="AC336" s="328">
        <f t="shared" si="122"/>
        <v>0</v>
      </c>
    </row>
    <row r="337" spans="1:29">
      <c r="A337" s="318"/>
      <c r="B337" s="319"/>
      <c r="C337" s="318"/>
      <c r="D337" s="318"/>
      <c r="E337" s="319"/>
      <c r="F337" s="336"/>
      <c r="G337" s="318" t="s">
        <v>821</v>
      </c>
      <c r="H337" s="318">
        <v>4.49</v>
      </c>
      <c r="I337" s="318">
        <v>1</v>
      </c>
      <c r="J337" s="318">
        <f t="shared" si="123"/>
        <v>1</v>
      </c>
      <c r="K337" s="318">
        <f t="shared" si="118"/>
        <v>4.49</v>
      </c>
      <c r="L337" s="318">
        <v>1241</v>
      </c>
      <c r="M337" s="318" t="s">
        <v>211</v>
      </c>
      <c r="N337" s="318">
        <v>1</v>
      </c>
      <c r="O337" s="619">
        <f t="shared" si="111"/>
        <v>4.49</v>
      </c>
      <c r="P337" s="750">
        <v>1</v>
      </c>
      <c r="Q337" s="750"/>
      <c r="R337" s="337">
        <v>1</v>
      </c>
      <c r="S337" s="348">
        <f t="shared" si="116"/>
        <v>4.49</v>
      </c>
      <c r="T337" s="319"/>
      <c r="V337" s="328">
        <v>4.49</v>
      </c>
      <c r="W337" s="320">
        <v>1</v>
      </c>
      <c r="X337" s="348">
        <f t="shared" si="119"/>
        <v>4.49</v>
      </c>
      <c r="Y337" s="330">
        <v>1</v>
      </c>
      <c r="Z337" s="348">
        <f t="shared" si="120"/>
        <v>4.49</v>
      </c>
      <c r="AB337" s="328">
        <f t="shared" si="121"/>
        <v>0</v>
      </c>
      <c r="AC337" s="328">
        <f t="shared" si="122"/>
        <v>0</v>
      </c>
    </row>
    <row r="338" spans="1:29">
      <c r="A338" s="318"/>
      <c r="B338" s="319"/>
      <c r="C338" s="318"/>
      <c r="D338" s="318"/>
      <c r="E338" s="319"/>
      <c r="F338" s="319"/>
      <c r="G338" s="318" t="s">
        <v>822</v>
      </c>
      <c r="H338" s="318">
        <v>4.49</v>
      </c>
      <c r="I338" s="318">
        <v>1</v>
      </c>
      <c r="J338" s="318">
        <f t="shared" si="123"/>
        <v>1</v>
      </c>
      <c r="K338" s="318">
        <f t="shared" si="118"/>
        <v>4.49</v>
      </c>
      <c r="L338" s="318">
        <v>1241</v>
      </c>
      <c r="M338" s="318" t="s">
        <v>211</v>
      </c>
      <c r="N338" s="318">
        <v>1</v>
      </c>
      <c r="O338" s="619">
        <f t="shared" si="111"/>
        <v>4.49</v>
      </c>
      <c r="P338" s="750">
        <v>1</v>
      </c>
      <c r="Q338" s="750"/>
      <c r="R338" s="337">
        <v>1</v>
      </c>
      <c r="S338" s="348">
        <f t="shared" si="116"/>
        <v>4.49</v>
      </c>
      <c r="T338" s="319"/>
      <c r="V338" s="328">
        <v>4.49</v>
      </c>
      <c r="W338" s="320">
        <v>1</v>
      </c>
      <c r="X338" s="348">
        <f t="shared" si="119"/>
        <v>4.49</v>
      </c>
      <c r="Y338" s="330">
        <v>1</v>
      </c>
      <c r="Z338" s="348">
        <f t="shared" si="120"/>
        <v>4.49</v>
      </c>
      <c r="AB338" s="328">
        <f t="shared" si="121"/>
        <v>0</v>
      </c>
      <c r="AC338" s="328">
        <f t="shared" si="122"/>
        <v>0</v>
      </c>
    </row>
    <row r="339" spans="1:29">
      <c r="A339" s="318"/>
      <c r="B339" s="319"/>
      <c r="C339" s="318"/>
      <c r="D339" s="318"/>
      <c r="E339" s="319"/>
      <c r="F339" s="319"/>
      <c r="G339" s="318" t="s">
        <v>823</v>
      </c>
      <c r="H339" s="318">
        <v>4.49</v>
      </c>
      <c r="I339" s="318">
        <v>1</v>
      </c>
      <c r="J339" s="318">
        <f t="shared" si="123"/>
        <v>1</v>
      </c>
      <c r="K339" s="318">
        <f t="shared" si="118"/>
        <v>4.49</v>
      </c>
      <c r="L339" s="318">
        <v>1241</v>
      </c>
      <c r="M339" s="318" t="s">
        <v>211</v>
      </c>
      <c r="N339" s="318">
        <v>1</v>
      </c>
      <c r="O339" s="619">
        <f t="shared" si="111"/>
        <v>4.49</v>
      </c>
      <c r="P339" s="750">
        <v>1</v>
      </c>
      <c r="Q339" s="750"/>
      <c r="R339" s="337">
        <v>1</v>
      </c>
      <c r="S339" s="348">
        <f t="shared" si="116"/>
        <v>4.49</v>
      </c>
      <c r="T339" s="319"/>
      <c r="V339" s="328">
        <v>4.49</v>
      </c>
      <c r="W339" s="320">
        <v>1</v>
      </c>
      <c r="X339" s="348">
        <f t="shared" si="119"/>
        <v>4.49</v>
      </c>
      <c r="Y339" s="330">
        <v>1</v>
      </c>
      <c r="Z339" s="348">
        <f t="shared" si="120"/>
        <v>4.49</v>
      </c>
      <c r="AB339" s="328">
        <f t="shared" si="121"/>
        <v>0</v>
      </c>
      <c r="AC339" s="328">
        <f t="shared" si="122"/>
        <v>0</v>
      </c>
    </row>
    <row r="340" spans="1:29">
      <c r="A340" s="318"/>
      <c r="B340" s="319"/>
      <c r="C340" s="318"/>
      <c r="D340" s="318"/>
      <c r="E340" s="319"/>
      <c r="F340" s="319"/>
      <c r="G340" s="318" t="s">
        <v>824</v>
      </c>
      <c r="H340" s="318">
        <v>4.49</v>
      </c>
      <c r="I340" s="318">
        <v>1</v>
      </c>
      <c r="J340" s="318">
        <f t="shared" si="123"/>
        <v>1</v>
      </c>
      <c r="K340" s="318">
        <f t="shared" si="118"/>
        <v>4.49</v>
      </c>
      <c r="L340" s="318">
        <v>1238</v>
      </c>
      <c r="M340" s="318" t="s">
        <v>209</v>
      </c>
      <c r="N340" s="318">
        <v>1</v>
      </c>
      <c r="O340" s="619">
        <f t="shared" si="111"/>
        <v>4.49</v>
      </c>
      <c r="P340" s="750">
        <v>1</v>
      </c>
      <c r="Q340" s="750"/>
      <c r="R340" s="337">
        <v>1</v>
      </c>
      <c r="S340" s="348">
        <f t="shared" si="116"/>
        <v>4.49</v>
      </c>
      <c r="T340" s="319"/>
      <c r="V340" s="328">
        <v>4.49</v>
      </c>
      <c r="W340" s="320">
        <v>1</v>
      </c>
      <c r="X340" s="348">
        <f t="shared" si="119"/>
        <v>4.49</v>
      </c>
      <c r="Y340" s="330">
        <v>1</v>
      </c>
      <c r="Z340" s="348">
        <f t="shared" si="120"/>
        <v>4.49</v>
      </c>
      <c r="AB340" s="328">
        <f t="shared" si="121"/>
        <v>0</v>
      </c>
      <c r="AC340" s="328">
        <f t="shared" si="122"/>
        <v>0</v>
      </c>
    </row>
    <row r="341" spans="1:29">
      <c r="A341" s="318"/>
      <c r="B341" s="319"/>
      <c r="C341" s="318"/>
      <c r="D341" s="318"/>
      <c r="E341" s="319"/>
      <c r="F341" s="319"/>
      <c r="G341" s="318" t="s">
        <v>825</v>
      </c>
      <c r="H341" s="318">
        <v>4.49</v>
      </c>
      <c r="I341" s="318">
        <v>1</v>
      </c>
      <c r="J341" s="318">
        <f t="shared" si="123"/>
        <v>1</v>
      </c>
      <c r="K341" s="318">
        <f t="shared" si="118"/>
        <v>4.49</v>
      </c>
      <c r="L341" s="318"/>
      <c r="M341" s="318"/>
      <c r="N341" s="318">
        <v>1</v>
      </c>
      <c r="O341" s="619">
        <f t="shared" si="111"/>
        <v>4.49</v>
      </c>
      <c r="P341" s="750">
        <v>1</v>
      </c>
      <c r="Q341" s="750"/>
      <c r="R341" s="337">
        <v>1</v>
      </c>
      <c r="S341" s="348">
        <f t="shared" si="116"/>
        <v>4.49</v>
      </c>
      <c r="T341" s="319"/>
      <c r="V341" s="328">
        <v>4.49</v>
      </c>
      <c r="W341" s="320">
        <v>1</v>
      </c>
      <c r="X341" s="348">
        <f t="shared" si="119"/>
        <v>4.49</v>
      </c>
      <c r="Y341" s="330">
        <v>1</v>
      </c>
      <c r="Z341" s="348">
        <f t="shared" si="120"/>
        <v>4.49</v>
      </c>
      <c r="AB341" s="328">
        <f t="shared" si="121"/>
        <v>0</v>
      </c>
      <c r="AC341" s="328">
        <f t="shared" si="122"/>
        <v>0</v>
      </c>
    </row>
    <row r="342" spans="1:29">
      <c r="A342" s="318"/>
      <c r="B342" s="319"/>
      <c r="C342" s="318"/>
      <c r="D342" s="318"/>
      <c r="E342" s="319"/>
      <c r="F342" s="319"/>
      <c r="G342" s="318" t="s">
        <v>826</v>
      </c>
      <c r="H342" s="318">
        <v>2.59</v>
      </c>
      <c r="I342" s="318">
        <v>1</v>
      </c>
      <c r="J342" s="318">
        <f t="shared" si="123"/>
        <v>1</v>
      </c>
      <c r="K342" s="318">
        <f t="shared" si="118"/>
        <v>2.59</v>
      </c>
      <c r="L342" s="318">
        <v>1289</v>
      </c>
      <c r="M342" s="318" t="s">
        <v>231</v>
      </c>
      <c r="N342" s="318">
        <v>1</v>
      </c>
      <c r="O342" s="619">
        <f t="shared" si="111"/>
        <v>2.59</v>
      </c>
      <c r="P342" s="750">
        <v>1</v>
      </c>
      <c r="Q342" s="750"/>
      <c r="R342" s="337">
        <v>1</v>
      </c>
      <c r="S342" s="348">
        <f t="shared" si="116"/>
        <v>2.59</v>
      </c>
      <c r="T342" s="319"/>
      <c r="V342" s="328">
        <v>2.5830000000000002</v>
      </c>
      <c r="W342" s="320">
        <v>1</v>
      </c>
      <c r="X342" s="348">
        <f t="shared" si="119"/>
        <v>2.5830000000000002</v>
      </c>
      <c r="Y342" s="330">
        <v>1</v>
      </c>
      <c r="Z342" s="348">
        <f t="shared" si="120"/>
        <v>2.5830000000000002</v>
      </c>
      <c r="AB342" s="328">
        <f t="shared" si="121"/>
        <v>-6.9999999999996732E-3</v>
      </c>
      <c r="AC342" s="328">
        <f t="shared" si="122"/>
        <v>-6.9999999999996732E-3</v>
      </c>
    </row>
    <row r="343" spans="1:29">
      <c r="A343" s="318"/>
      <c r="B343" s="319"/>
      <c r="C343" s="318"/>
      <c r="D343" s="318"/>
      <c r="E343" s="319"/>
      <c r="F343" s="336" t="s">
        <v>721</v>
      </c>
      <c r="G343" s="318" t="s">
        <v>827</v>
      </c>
      <c r="H343" s="318">
        <v>4.24</v>
      </c>
      <c r="I343" s="318">
        <v>1</v>
      </c>
      <c r="J343" s="318">
        <f t="shared" si="123"/>
        <v>1</v>
      </c>
      <c r="K343" s="318">
        <f t="shared" si="118"/>
        <v>4.24</v>
      </c>
      <c r="L343" s="318">
        <v>1390</v>
      </c>
      <c r="M343" s="318" t="s">
        <v>251</v>
      </c>
      <c r="N343" s="318">
        <v>1</v>
      </c>
      <c r="O343" s="619">
        <f t="shared" si="111"/>
        <v>4.24</v>
      </c>
      <c r="P343" s="750">
        <v>1</v>
      </c>
      <c r="Q343" s="750"/>
      <c r="R343" s="337">
        <v>1</v>
      </c>
      <c r="S343" s="348">
        <f t="shared" si="116"/>
        <v>4.24</v>
      </c>
      <c r="T343" s="319"/>
      <c r="V343" s="328">
        <f>2.583+2.355</f>
        <v>4.9380000000000006</v>
      </c>
      <c r="W343" s="320">
        <v>1</v>
      </c>
      <c r="X343" s="348">
        <f t="shared" si="119"/>
        <v>4.9380000000000006</v>
      </c>
      <c r="Y343" s="330">
        <v>1</v>
      </c>
      <c r="Z343" s="348">
        <f t="shared" si="120"/>
        <v>4.9380000000000006</v>
      </c>
      <c r="AB343" s="328">
        <f t="shared" si="121"/>
        <v>0.6980000000000004</v>
      </c>
      <c r="AC343" s="328">
        <f t="shared" si="122"/>
        <v>0.6980000000000004</v>
      </c>
    </row>
    <row r="344" spans="1:29">
      <c r="A344" s="318"/>
      <c r="B344" s="319"/>
      <c r="C344" s="318"/>
      <c r="D344" s="318"/>
      <c r="E344" s="319"/>
      <c r="F344" s="319"/>
      <c r="G344" s="318"/>
      <c r="H344" s="318"/>
      <c r="I344" s="318"/>
      <c r="J344" s="382" t="s">
        <v>389</v>
      </c>
      <c r="K344" s="321">
        <f>SUM(K310:K343)</f>
        <v>127.29999999999995</v>
      </c>
      <c r="L344" s="318"/>
      <c r="M344" s="318"/>
      <c r="N344" s="382" t="s">
        <v>389</v>
      </c>
      <c r="O344" s="748">
        <f>SUM(O310:O343)</f>
        <v>127.29999999999995</v>
      </c>
      <c r="P344" s="751" t="s">
        <v>389</v>
      </c>
      <c r="Q344" s="751"/>
      <c r="R344" s="382"/>
      <c r="S344" s="321">
        <f>SUM(S310:S343)</f>
        <v>127.29999999999995</v>
      </c>
      <c r="T344" s="319"/>
      <c r="V344" s="328"/>
      <c r="W344" s="321" t="s">
        <v>389</v>
      </c>
      <c r="X344" s="338">
        <f>SUM(X310:X343)</f>
        <v>119.52999999999997</v>
      </c>
      <c r="Y344" s="321" t="s">
        <v>389</v>
      </c>
      <c r="Z344" s="321">
        <f>SUM(Z310:Z343)</f>
        <v>115.03999999999996</v>
      </c>
      <c r="AB344" s="328"/>
      <c r="AC344" s="328"/>
    </row>
    <row r="345" spans="1:29" ht="6.75" customHeight="1">
      <c r="A345" s="316"/>
      <c r="B345" s="317"/>
      <c r="C345" s="316"/>
      <c r="D345" s="316"/>
      <c r="E345" s="317"/>
      <c r="F345" s="317"/>
      <c r="G345" s="316"/>
      <c r="H345" s="316"/>
      <c r="I345" s="316"/>
      <c r="J345" s="316"/>
      <c r="K345" s="316"/>
      <c r="L345" s="316"/>
      <c r="M345" s="316"/>
      <c r="N345" s="316"/>
      <c r="O345" s="749"/>
      <c r="P345" s="633"/>
      <c r="Q345" s="633"/>
      <c r="R345" s="949"/>
      <c r="S345" s="339"/>
      <c r="T345" s="317"/>
      <c r="V345" s="332"/>
      <c r="W345" s="316"/>
      <c r="X345" s="339"/>
      <c r="Y345" s="316"/>
      <c r="Z345" s="339"/>
      <c r="AB345" s="332"/>
      <c r="AC345" s="332"/>
    </row>
    <row r="346" spans="1:29">
      <c r="A346" s="318">
        <v>9</v>
      </c>
      <c r="B346" s="319" t="s">
        <v>383</v>
      </c>
      <c r="C346" s="318">
        <v>600</v>
      </c>
      <c r="D346" s="318">
        <v>14</v>
      </c>
      <c r="E346" s="319">
        <v>1</v>
      </c>
      <c r="F346" s="319"/>
      <c r="G346" s="318" t="s">
        <v>828</v>
      </c>
      <c r="H346" s="318">
        <v>2.8</v>
      </c>
      <c r="I346" s="318">
        <v>1</v>
      </c>
      <c r="J346" s="318">
        <f t="shared" ref="J346:J367" si="124">IF(N346&gt;0,1,0)</f>
        <v>1</v>
      </c>
      <c r="K346" s="318">
        <f t="shared" ref="K346:K368" si="125">H346*J346</f>
        <v>2.8</v>
      </c>
      <c r="L346" s="318" t="s">
        <v>298</v>
      </c>
      <c r="M346" s="318" t="s">
        <v>306</v>
      </c>
      <c r="N346" s="318">
        <v>1</v>
      </c>
      <c r="O346" s="619">
        <f t="shared" ref="O346:O368" si="126">H346*N346</f>
        <v>2.8</v>
      </c>
      <c r="P346" s="750">
        <v>1</v>
      </c>
      <c r="Q346" s="750"/>
      <c r="R346" s="337">
        <v>1</v>
      </c>
      <c r="S346" s="348">
        <f>H346*R346</f>
        <v>2.8</v>
      </c>
      <c r="T346" s="319"/>
      <c r="V346" s="328">
        <f>2.793</f>
        <v>2.7930000000000001</v>
      </c>
      <c r="W346" s="320">
        <v>1</v>
      </c>
      <c r="X346" s="348">
        <f t="shared" ref="X346:X368" si="127">V346*W346</f>
        <v>2.7930000000000001</v>
      </c>
      <c r="Y346" s="330">
        <f>1/3</f>
        <v>0.33333333333333331</v>
      </c>
      <c r="Z346" s="455">
        <f t="shared" ref="Z346:Z368" si="128">V346*Y346</f>
        <v>0.93100000000000005</v>
      </c>
      <c r="AB346" s="328">
        <f t="shared" ref="AB346:AB368" si="129">X346-O346</f>
        <v>-6.9999999999996732E-3</v>
      </c>
      <c r="AC346" s="328">
        <f t="shared" ref="AC346:AC368" si="130">Z346-S346</f>
        <v>-1.8689999999999998</v>
      </c>
    </row>
    <row r="347" spans="1:29">
      <c r="A347" s="318"/>
      <c r="B347" s="319"/>
      <c r="C347" s="318"/>
      <c r="D347" s="318"/>
      <c r="E347" s="319"/>
      <c r="F347" s="319"/>
      <c r="G347" s="318" t="s">
        <v>829</v>
      </c>
      <c r="H347" s="318">
        <v>3.03</v>
      </c>
      <c r="I347" s="318">
        <v>1</v>
      </c>
      <c r="J347" s="318">
        <f t="shared" si="124"/>
        <v>1</v>
      </c>
      <c r="K347" s="318">
        <f t="shared" si="125"/>
        <v>3.03</v>
      </c>
      <c r="L347" s="318" t="s">
        <v>276</v>
      </c>
      <c r="M347" s="318" t="s">
        <v>277</v>
      </c>
      <c r="N347" s="318">
        <v>1</v>
      </c>
      <c r="O347" s="619">
        <f t="shared" si="126"/>
        <v>3.03</v>
      </c>
      <c r="P347" s="750">
        <v>1</v>
      </c>
      <c r="Q347" s="750"/>
      <c r="R347" s="337">
        <v>1</v>
      </c>
      <c r="S347" s="348">
        <f>H347*R347</f>
        <v>3.03</v>
      </c>
      <c r="T347" s="319"/>
      <c r="V347" s="328">
        <f>2.444+1.205-0.6</f>
        <v>3.0489999999999999</v>
      </c>
      <c r="W347" s="320">
        <v>1</v>
      </c>
      <c r="X347" s="348">
        <f t="shared" si="127"/>
        <v>3.0489999999999999</v>
      </c>
      <c r="Y347" s="330">
        <v>1</v>
      </c>
      <c r="Z347" s="348">
        <f t="shared" si="128"/>
        <v>3.0489999999999999</v>
      </c>
      <c r="AB347" s="328">
        <f t="shared" si="129"/>
        <v>1.9000000000000128E-2</v>
      </c>
      <c r="AC347" s="328">
        <f t="shared" si="130"/>
        <v>1.9000000000000128E-2</v>
      </c>
    </row>
    <row r="348" spans="1:29">
      <c r="A348" s="318"/>
      <c r="B348" s="319"/>
      <c r="C348" s="318"/>
      <c r="D348" s="318"/>
      <c r="E348" s="319"/>
      <c r="F348" s="319"/>
      <c r="G348" s="318" t="s">
        <v>830</v>
      </c>
      <c r="H348" s="318">
        <v>4.49</v>
      </c>
      <c r="I348" s="318">
        <v>1</v>
      </c>
      <c r="J348" s="318">
        <f t="shared" si="124"/>
        <v>1</v>
      </c>
      <c r="K348" s="318">
        <f t="shared" si="125"/>
        <v>4.49</v>
      </c>
      <c r="L348" s="318">
        <v>1248</v>
      </c>
      <c r="M348" s="318" t="s">
        <v>213</v>
      </c>
      <c r="N348" s="318">
        <v>1</v>
      </c>
      <c r="O348" s="619">
        <f t="shared" si="126"/>
        <v>4.49</v>
      </c>
      <c r="P348" s="750">
        <v>1</v>
      </c>
      <c r="Q348" s="750"/>
      <c r="R348" s="337">
        <v>1</v>
      </c>
      <c r="S348" s="348">
        <f t="shared" ref="S348:S376" si="131">H348*R348</f>
        <v>4.49</v>
      </c>
      <c r="T348" s="319"/>
      <c r="V348" s="328">
        <f t="shared" ref="V348:V356" si="132">4.49</f>
        <v>4.49</v>
      </c>
      <c r="W348" s="320">
        <v>1</v>
      </c>
      <c r="X348" s="348">
        <f t="shared" si="127"/>
        <v>4.49</v>
      </c>
      <c r="Y348" s="330">
        <v>1</v>
      </c>
      <c r="Z348" s="348">
        <f t="shared" si="128"/>
        <v>4.49</v>
      </c>
      <c r="AB348" s="328">
        <f t="shared" si="129"/>
        <v>0</v>
      </c>
      <c r="AC348" s="328">
        <f t="shared" si="130"/>
        <v>0</v>
      </c>
    </row>
    <row r="349" spans="1:29">
      <c r="A349" s="318"/>
      <c r="B349" s="319"/>
      <c r="C349" s="318"/>
      <c r="D349" s="318"/>
      <c r="E349" s="319"/>
      <c r="F349" s="319"/>
      <c r="G349" s="318" t="s">
        <v>831</v>
      </c>
      <c r="H349" s="318">
        <v>4.49</v>
      </c>
      <c r="I349" s="318">
        <v>1</v>
      </c>
      <c r="J349" s="318">
        <f t="shared" si="124"/>
        <v>1</v>
      </c>
      <c r="K349" s="318">
        <f t="shared" si="125"/>
        <v>4.49</v>
      </c>
      <c r="L349" s="318">
        <v>1244</v>
      </c>
      <c r="M349" s="318" t="s">
        <v>212</v>
      </c>
      <c r="N349" s="318">
        <v>1</v>
      </c>
      <c r="O349" s="619">
        <f t="shared" si="126"/>
        <v>4.49</v>
      </c>
      <c r="P349" s="750">
        <v>1</v>
      </c>
      <c r="Q349" s="750"/>
      <c r="R349" s="337">
        <v>1</v>
      </c>
      <c r="S349" s="348">
        <f t="shared" si="131"/>
        <v>4.49</v>
      </c>
      <c r="T349" s="319"/>
      <c r="V349" s="328">
        <f t="shared" si="132"/>
        <v>4.49</v>
      </c>
      <c r="W349" s="320">
        <v>1</v>
      </c>
      <c r="X349" s="348">
        <f t="shared" si="127"/>
        <v>4.49</v>
      </c>
      <c r="Y349" s="330">
        <v>1</v>
      </c>
      <c r="Z349" s="348">
        <f t="shared" si="128"/>
        <v>4.49</v>
      </c>
      <c r="AB349" s="328">
        <f t="shared" si="129"/>
        <v>0</v>
      </c>
      <c r="AC349" s="328">
        <f t="shared" si="130"/>
        <v>0</v>
      </c>
    </row>
    <row r="350" spans="1:29">
      <c r="A350" s="318"/>
      <c r="B350" s="319"/>
      <c r="C350" s="318"/>
      <c r="D350" s="318"/>
      <c r="E350" s="319"/>
      <c r="F350" s="319"/>
      <c r="G350" s="318" t="s">
        <v>832</v>
      </c>
      <c r="H350" s="318">
        <v>4.49</v>
      </c>
      <c r="I350" s="318">
        <v>1</v>
      </c>
      <c r="J350" s="318">
        <f t="shared" si="124"/>
        <v>1</v>
      </c>
      <c r="K350" s="318">
        <f t="shared" si="125"/>
        <v>4.49</v>
      </c>
      <c r="L350" s="318">
        <v>1244</v>
      </c>
      <c r="M350" s="318" t="s">
        <v>212</v>
      </c>
      <c r="N350" s="318">
        <v>1</v>
      </c>
      <c r="O350" s="619">
        <f t="shared" si="126"/>
        <v>4.49</v>
      </c>
      <c r="P350" s="750">
        <v>1</v>
      </c>
      <c r="Q350" s="750"/>
      <c r="R350" s="337">
        <v>1</v>
      </c>
      <c r="S350" s="348">
        <f t="shared" si="131"/>
        <v>4.49</v>
      </c>
      <c r="T350" s="319"/>
      <c r="V350" s="328">
        <f t="shared" si="132"/>
        <v>4.49</v>
      </c>
      <c r="W350" s="320">
        <v>1</v>
      </c>
      <c r="X350" s="348">
        <f t="shared" si="127"/>
        <v>4.49</v>
      </c>
      <c r="Y350" s="330">
        <v>1</v>
      </c>
      <c r="Z350" s="348">
        <f t="shared" si="128"/>
        <v>4.49</v>
      </c>
      <c r="AB350" s="328">
        <f t="shared" si="129"/>
        <v>0</v>
      </c>
      <c r="AC350" s="328">
        <f t="shared" si="130"/>
        <v>0</v>
      </c>
    </row>
    <row r="351" spans="1:29">
      <c r="A351" s="318"/>
      <c r="B351" s="319"/>
      <c r="C351" s="318"/>
      <c r="D351" s="318"/>
      <c r="E351" s="319"/>
      <c r="F351" s="319"/>
      <c r="G351" s="318" t="s">
        <v>833</v>
      </c>
      <c r="H351" s="318">
        <v>4.49</v>
      </c>
      <c r="I351" s="318">
        <v>1</v>
      </c>
      <c r="J351" s="318">
        <f t="shared" si="124"/>
        <v>1</v>
      </c>
      <c r="K351" s="318">
        <f t="shared" si="125"/>
        <v>4.49</v>
      </c>
      <c r="L351" s="318">
        <v>1248</v>
      </c>
      <c r="M351" s="318" t="s">
        <v>213</v>
      </c>
      <c r="N351" s="318">
        <v>1</v>
      </c>
      <c r="O351" s="619">
        <f t="shared" si="126"/>
        <v>4.49</v>
      </c>
      <c r="P351" s="750">
        <v>1</v>
      </c>
      <c r="Q351" s="750"/>
      <c r="R351" s="337">
        <v>1</v>
      </c>
      <c r="S351" s="348">
        <f t="shared" si="131"/>
        <v>4.49</v>
      </c>
      <c r="T351" s="319"/>
      <c r="V351" s="328">
        <f t="shared" si="132"/>
        <v>4.49</v>
      </c>
      <c r="W351" s="320">
        <v>1</v>
      </c>
      <c r="X351" s="348">
        <f t="shared" si="127"/>
        <v>4.49</v>
      </c>
      <c r="Y351" s="330">
        <v>1</v>
      </c>
      <c r="Z351" s="348">
        <f t="shared" si="128"/>
        <v>4.49</v>
      </c>
      <c r="AB351" s="328">
        <f t="shared" si="129"/>
        <v>0</v>
      </c>
      <c r="AC351" s="328">
        <f t="shared" si="130"/>
        <v>0</v>
      </c>
    </row>
    <row r="352" spans="1:29">
      <c r="A352" s="318"/>
      <c r="B352" s="319"/>
      <c r="C352" s="318"/>
      <c r="D352" s="318"/>
      <c r="E352" s="319"/>
      <c r="F352" s="319"/>
      <c r="G352" s="318" t="s">
        <v>834</v>
      </c>
      <c r="H352" s="318">
        <v>4.49</v>
      </c>
      <c r="I352" s="318">
        <v>1</v>
      </c>
      <c r="J352" s="318">
        <f t="shared" si="124"/>
        <v>1</v>
      </c>
      <c r="K352" s="318">
        <f t="shared" si="125"/>
        <v>4.49</v>
      </c>
      <c r="L352" s="318">
        <v>1248</v>
      </c>
      <c r="M352" s="318" t="s">
        <v>213</v>
      </c>
      <c r="N352" s="318">
        <v>1</v>
      </c>
      <c r="O352" s="619">
        <f t="shared" si="126"/>
        <v>4.49</v>
      </c>
      <c r="P352" s="750">
        <v>1</v>
      </c>
      <c r="Q352" s="750"/>
      <c r="R352" s="337">
        <v>1</v>
      </c>
      <c r="S352" s="348">
        <f t="shared" si="131"/>
        <v>4.49</v>
      </c>
      <c r="T352" s="319"/>
      <c r="V352" s="328">
        <f t="shared" si="132"/>
        <v>4.49</v>
      </c>
      <c r="W352" s="320">
        <v>1</v>
      </c>
      <c r="X352" s="348">
        <f t="shared" si="127"/>
        <v>4.49</v>
      </c>
      <c r="Y352" s="330">
        <v>1</v>
      </c>
      <c r="Z352" s="348">
        <f t="shared" si="128"/>
        <v>4.49</v>
      </c>
      <c r="AB352" s="328">
        <f t="shared" si="129"/>
        <v>0</v>
      </c>
      <c r="AC352" s="328">
        <f t="shared" si="130"/>
        <v>0</v>
      </c>
    </row>
    <row r="353" spans="1:29">
      <c r="A353" s="318"/>
      <c r="B353" s="319"/>
      <c r="C353" s="318"/>
      <c r="D353" s="318"/>
      <c r="E353" s="319"/>
      <c r="F353" s="319"/>
      <c r="G353" s="318" t="s">
        <v>835</v>
      </c>
      <c r="H353" s="318">
        <v>4.49</v>
      </c>
      <c r="I353" s="318">
        <v>1</v>
      </c>
      <c r="J353" s="318">
        <f t="shared" si="124"/>
        <v>1</v>
      </c>
      <c r="K353" s="318">
        <f t="shared" si="125"/>
        <v>4.49</v>
      </c>
      <c r="L353" s="318">
        <v>1248</v>
      </c>
      <c r="M353" s="318" t="s">
        <v>213</v>
      </c>
      <c r="N353" s="318">
        <v>1</v>
      </c>
      <c r="O353" s="619">
        <f t="shared" si="126"/>
        <v>4.49</v>
      </c>
      <c r="P353" s="750">
        <v>1</v>
      </c>
      <c r="Q353" s="750"/>
      <c r="R353" s="337">
        <v>1</v>
      </c>
      <c r="S353" s="348">
        <f t="shared" si="131"/>
        <v>4.49</v>
      </c>
      <c r="T353" s="319"/>
      <c r="V353" s="328">
        <f t="shared" si="132"/>
        <v>4.49</v>
      </c>
      <c r="W353" s="320">
        <v>1</v>
      </c>
      <c r="X353" s="348">
        <f t="shared" si="127"/>
        <v>4.49</v>
      </c>
      <c r="Y353" s="330">
        <v>1</v>
      </c>
      <c r="Z353" s="348">
        <f t="shared" si="128"/>
        <v>4.49</v>
      </c>
      <c r="AB353" s="328">
        <f t="shared" si="129"/>
        <v>0</v>
      </c>
      <c r="AC353" s="328">
        <f t="shared" si="130"/>
        <v>0</v>
      </c>
    </row>
    <row r="354" spans="1:29">
      <c r="A354" s="318"/>
      <c r="B354" s="319"/>
      <c r="C354" s="318"/>
      <c r="D354" s="318"/>
      <c r="E354" s="319"/>
      <c r="F354" s="319"/>
      <c r="G354" s="318" t="s">
        <v>836</v>
      </c>
      <c r="H354" s="318">
        <v>4.49</v>
      </c>
      <c r="I354" s="318">
        <v>1</v>
      </c>
      <c r="J354" s="318">
        <f t="shared" si="124"/>
        <v>1</v>
      </c>
      <c r="K354" s="318">
        <f t="shared" si="125"/>
        <v>4.49</v>
      </c>
      <c r="L354" s="318">
        <v>1244</v>
      </c>
      <c r="M354" s="318" t="s">
        <v>212</v>
      </c>
      <c r="N354" s="318">
        <v>1</v>
      </c>
      <c r="O354" s="619">
        <f t="shared" si="126"/>
        <v>4.49</v>
      </c>
      <c r="P354" s="750">
        <v>1</v>
      </c>
      <c r="Q354" s="750"/>
      <c r="R354" s="337">
        <v>1</v>
      </c>
      <c r="S354" s="348">
        <f t="shared" si="131"/>
        <v>4.49</v>
      </c>
      <c r="T354" s="319"/>
      <c r="V354" s="328">
        <f t="shared" si="132"/>
        <v>4.49</v>
      </c>
      <c r="W354" s="320">
        <v>1</v>
      </c>
      <c r="X354" s="348">
        <f t="shared" si="127"/>
        <v>4.49</v>
      </c>
      <c r="Y354" s="330">
        <v>1</v>
      </c>
      <c r="Z354" s="348">
        <f t="shared" si="128"/>
        <v>4.49</v>
      </c>
      <c r="AB354" s="328">
        <f t="shared" si="129"/>
        <v>0</v>
      </c>
      <c r="AC354" s="328">
        <f t="shared" si="130"/>
        <v>0</v>
      </c>
    </row>
    <row r="355" spans="1:29">
      <c r="A355" s="318"/>
      <c r="B355" s="319"/>
      <c r="C355" s="318"/>
      <c r="D355" s="318"/>
      <c r="E355" s="319"/>
      <c r="F355" s="319"/>
      <c r="G355" s="318" t="s">
        <v>837</v>
      </c>
      <c r="H355" s="318">
        <v>4.49</v>
      </c>
      <c r="I355" s="318">
        <v>1</v>
      </c>
      <c r="J355" s="318">
        <f t="shared" si="124"/>
        <v>1</v>
      </c>
      <c r="K355" s="318">
        <f t="shared" si="125"/>
        <v>4.49</v>
      </c>
      <c r="L355" s="318">
        <v>1244</v>
      </c>
      <c r="M355" s="318" t="s">
        <v>212</v>
      </c>
      <c r="N355" s="318">
        <v>1</v>
      </c>
      <c r="O355" s="619">
        <f t="shared" si="126"/>
        <v>4.49</v>
      </c>
      <c r="P355" s="750">
        <v>1</v>
      </c>
      <c r="Q355" s="750"/>
      <c r="R355" s="337">
        <v>1</v>
      </c>
      <c r="S355" s="348">
        <f t="shared" si="131"/>
        <v>4.49</v>
      </c>
      <c r="T355" s="319"/>
      <c r="V355" s="328">
        <f t="shared" si="132"/>
        <v>4.49</v>
      </c>
      <c r="W355" s="320">
        <v>1</v>
      </c>
      <c r="X355" s="348">
        <f t="shared" si="127"/>
        <v>4.49</v>
      </c>
      <c r="Y355" s="330">
        <v>1</v>
      </c>
      <c r="Z355" s="348">
        <f t="shared" si="128"/>
        <v>4.49</v>
      </c>
      <c r="AB355" s="328">
        <f t="shared" si="129"/>
        <v>0</v>
      </c>
      <c r="AC355" s="328">
        <f t="shared" si="130"/>
        <v>0</v>
      </c>
    </row>
    <row r="356" spans="1:29">
      <c r="A356" s="318"/>
      <c r="B356" s="319"/>
      <c r="C356" s="318"/>
      <c r="D356" s="318"/>
      <c r="E356" s="319"/>
      <c r="F356" s="319"/>
      <c r="G356" s="318" t="s">
        <v>838</v>
      </c>
      <c r="H356" s="318">
        <v>4.49</v>
      </c>
      <c r="I356" s="318">
        <v>1</v>
      </c>
      <c r="J356" s="318">
        <f t="shared" si="124"/>
        <v>1</v>
      </c>
      <c r="K356" s="318">
        <f t="shared" si="125"/>
        <v>4.49</v>
      </c>
      <c r="L356" s="318">
        <v>1416</v>
      </c>
      <c r="M356" s="318">
        <v>104</v>
      </c>
      <c r="N356" s="318">
        <v>1</v>
      </c>
      <c r="O356" s="619">
        <f t="shared" si="126"/>
        <v>4.49</v>
      </c>
      <c r="P356" s="750">
        <v>1</v>
      </c>
      <c r="Q356" s="750"/>
      <c r="R356" s="337">
        <v>1</v>
      </c>
      <c r="S356" s="348">
        <f t="shared" si="131"/>
        <v>4.49</v>
      </c>
      <c r="T356" s="319"/>
      <c r="V356" s="328">
        <f t="shared" si="132"/>
        <v>4.49</v>
      </c>
      <c r="W356" s="320">
        <v>1</v>
      </c>
      <c r="X356" s="348">
        <f t="shared" si="127"/>
        <v>4.49</v>
      </c>
      <c r="Y356" s="330">
        <v>1</v>
      </c>
      <c r="Z356" s="348">
        <f t="shared" si="128"/>
        <v>4.49</v>
      </c>
      <c r="AB356" s="328">
        <f t="shared" si="129"/>
        <v>0</v>
      </c>
      <c r="AC356" s="328">
        <f t="shared" si="130"/>
        <v>0</v>
      </c>
    </row>
    <row r="357" spans="1:29">
      <c r="A357" s="318"/>
      <c r="B357" s="319"/>
      <c r="C357" s="318"/>
      <c r="D357" s="318"/>
      <c r="E357" s="319"/>
      <c r="F357" s="319"/>
      <c r="G357" s="318" t="s">
        <v>839</v>
      </c>
      <c r="H357" s="318">
        <v>3.1</v>
      </c>
      <c r="I357" s="318">
        <v>1</v>
      </c>
      <c r="J357" s="318">
        <f t="shared" si="124"/>
        <v>1</v>
      </c>
      <c r="K357" s="318">
        <f t="shared" si="125"/>
        <v>3.1</v>
      </c>
      <c r="L357" s="318">
        <v>1416</v>
      </c>
      <c r="M357" s="318">
        <v>104</v>
      </c>
      <c r="N357" s="318">
        <v>1</v>
      </c>
      <c r="O357" s="619">
        <f t="shared" si="126"/>
        <v>3.1</v>
      </c>
      <c r="P357" s="750">
        <v>1</v>
      </c>
      <c r="Q357" s="750"/>
      <c r="R357" s="337">
        <v>1</v>
      </c>
      <c r="S357" s="348">
        <f t="shared" si="131"/>
        <v>3.1</v>
      </c>
      <c r="T357" s="319"/>
      <c r="V357" s="328">
        <f>3.5</f>
        <v>3.5</v>
      </c>
      <c r="W357" s="320">
        <v>1</v>
      </c>
      <c r="X357" s="348">
        <f t="shared" si="127"/>
        <v>3.5</v>
      </c>
      <c r="Y357" s="330">
        <v>1</v>
      </c>
      <c r="Z357" s="348">
        <f t="shared" si="128"/>
        <v>3.5</v>
      </c>
      <c r="AB357" s="328">
        <f t="shared" si="129"/>
        <v>0.39999999999999991</v>
      </c>
      <c r="AC357" s="328">
        <f t="shared" si="130"/>
        <v>0.39999999999999991</v>
      </c>
    </row>
    <row r="358" spans="1:29">
      <c r="A358" s="318"/>
      <c r="B358" s="319"/>
      <c r="C358" s="318"/>
      <c r="D358" s="318"/>
      <c r="E358" s="319"/>
      <c r="F358" s="336" t="s">
        <v>558</v>
      </c>
      <c r="G358" s="318" t="s">
        <v>840</v>
      </c>
      <c r="H358" s="319">
        <v>3.25</v>
      </c>
      <c r="I358" s="318">
        <v>1</v>
      </c>
      <c r="J358" s="318">
        <f t="shared" si="124"/>
        <v>1</v>
      </c>
      <c r="K358" s="318">
        <f t="shared" si="125"/>
        <v>3.25</v>
      </c>
      <c r="L358" s="318" t="s">
        <v>295</v>
      </c>
      <c r="M358" s="318" t="s">
        <v>271</v>
      </c>
      <c r="N358" s="318">
        <v>1</v>
      </c>
      <c r="O358" s="619">
        <f t="shared" si="126"/>
        <v>3.25</v>
      </c>
      <c r="P358" s="750">
        <v>1</v>
      </c>
      <c r="Q358" s="750"/>
      <c r="R358" s="337">
        <v>1</v>
      </c>
      <c r="S358" s="348">
        <f t="shared" si="131"/>
        <v>3.25</v>
      </c>
      <c r="T358" s="319"/>
      <c r="V358" s="333">
        <f>0.091+3.149</f>
        <v>3.24</v>
      </c>
      <c r="W358" s="320">
        <v>1</v>
      </c>
      <c r="X358" s="455">
        <f t="shared" si="127"/>
        <v>3.24</v>
      </c>
      <c r="Y358" s="330">
        <v>1</v>
      </c>
      <c r="Z358" s="454">
        <f t="shared" si="128"/>
        <v>3.24</v>
      </c>
      <c r="AB358" s="333">
        <f t="shared" si="129"/>
        <v>-9.9999999999997868E-3</v>
      </c>
      <c r="AC358" s="333">
        <f t="shared" si="130"/>
        <v>-9.9999999999997868E-3</v>
      </c>
    </row>
    <row r="359" spans="1:29">
      <c r="A359" s="318"/>
      <c r="B359" s="319"/>
      <c r="C359" s="318"/>
      <c r="D359" s="318"/>
      <c r="E359" s="319"/>
      <c r="F359" s="336" t="s">
        <v>558</v>
      </c>
      <c r="G359" s="318" t="s">
        <v>841</v>
      </c>
      <c r="H359" s="319">
        <v>4.0199999999999996</v>
      </c>
      <c r="I359" s="318">
        <v>1</v>
      </c>
      <c r="J359" s="318">
        <f t="shared" si="124"/>
        <v>1</v>
      </c>
      <c r="K359" s="318">
        <f t="shared" si="125"/>
        <v>4.0199999999999996</v>
      </c>
      <c r="L359" s="318" t="s">
        <v>269</v>
      </c>
      <c r="M359" s="318" t="s">
        <v>268</v>
      </c>
      <c r="N359" s="318">
        <v>1</v>
      </c>
      <c r="O359" s="619">
        <f t="shared" si="126"/>
        <v>4.0199999999999996</v>
      </c>
      <c r="P359" s="750">
        <v>1</v>
      </c>
      <c r="Q359" s="750"/>
      <c r="R359" s="337">
        <v>1</v>
      </c>
      <c r="S359" s="348">
        <f t="shared" si="131"/>
        <v>4.0199999999999996</v>
      </c>
      <c r="T359" s="319"/>
      <c r="V359" s="333">
        <f>3.149+0.856</f>
        <v>4.0049999999999999</v>
      </c>
      <c r="W359" s="458">
        <f>2/3</f>
        <v>0.66666666666666663</v>
      </c>
      <c r="X359" s="455">
        <f t="shared" si="127"/>
        <v>2.67</v>
      </c>
      <c r="Y359" s="330">
        <f>2/3</f>
        <v>0.66666666666666663</v>
      </c>
      <c r="Z359" s="454">
        <f t="shared" si="128"/>
        <v>2.67</v>
      </c>
      <c r="AB359" s="333">
        <f t="shared" si="129"/>
        <v>-1.3499999999999996</v>
      </c>
      <c r="AC359" s="333">
        <f t="shared" si="130"/>
        <v>-1.3499999999999996</v>
      </c>
    </row>
    <row r="360" spans="1:29">
      <c r="A360" s="318"/>
      <c r="B360" s="319"/>
      <c r="C360" s="318"/>
      <c r="D360" s="318"/>
      <c r="E360" s="319"/>
      <c r="F360" s="319"/>
      <c r="G360" s="318" t="s">
        <v>842</v>
      </c>
      <c r="H360" s="318">
        <v>3.81</v>
      </c>
      <c r="I360" s="318">
        <v>1</v>
      </c>
      <c r="J360" s="318">
        <f t="shared" si="124"/>
        <v>1</v>
      </c>
      <c r="K360" s="318">
        <f t="shared" si="125"/>
        <v>3.81</v>
      </c>
      <c r="L360" s="318" t="s">
        <v>238</v>
      </c>
      <c r="M360" s="318" t="s">
        <v>239</v>
      </c>
      <c r="N360" s="318">
        <v>1</v>
      </c>
      <c r="O360" s="619">
        <f t="shared" si="126"/>
        <v>3.81</v>
      </c>
      <c r="P360" s="750">
        <v>1</v>
      </c>
      <c r="Q360" s="750"/>
      <c r="R360" s="337">
        <v>1</v>
      </c>
      <c r="S360" s="348">
        <f t="shared" si="131"/>
        <v>3.81</v>
      </c>
      <c r="T360" s="319"/>
      <c r="V360" s="328">
        <v>3.802</v>
      </c>
      <c r="W360" s="320">
        <v>1</v>
      </c>
      <c r="X360" s="348">
        <f t="shared" si="127"/>
        <v>3.802</v>
      </c>
      <c r="Y360" s="330">
        <v>1</v>
      </c>
      <c r="Z360" s="348">
        <f t="shared" si="128"/>
        <v>3.802</v>
      </c>
      <c r="AB360" s="328">
        <f t="shared" si="129"/>
        <v>-8.0000000000000071E-3</v>
      </c>
      <c r="AC360" s="328">
        <f t="shared" si="130"/>
        <v>-8.0000000000000071E-3</v>
      </c>
    </row>
    <row r="361" spans="1:29">
      <c r="A361" s="318"/>
      <c r="B361" s="319"/>
      <c r="C361" s="318"/>
      <c r="D361" s="318"/>
      <c r="E361" s="319"/>
      <c r="F361" s="319"/>
      <c r="G361" s="318" t="s">
        <v>843</v>
      </c>
      <c r="H361" s="318">
        <v>3.81</v>
      </c>
      <c r="I361" s="318">
        <v>1</v>
      </c>
      <c r="J361" s="318">
        <f t="shared" si="124"/>
        <v>1</v>
      </c>
      <c r="K361" s="318">
        <f t="shared" si="125"/>
        <v>3.81</v>
      </c>
      <c r="L361" s="318">
        <v>1322</v>
      </c>
      <c r="M361" s="318" t="s">
        <v>241</v>
      </c>
      <c r="N361" s="318">
        <v>1</v>
      </c>
      <c r="O361" s="619">
        <f t="shared" si="126"/>
        <v>3.81</v>
      </c>
      <c r="P361" s="750">
        <v>1</v>
      </c>
      <c r="Q361" s="750"/>
      <c r="R361" s="337">
        <v>1</v>
      </c>
      <c r="S361" s="348">
        <f t="shared" si="131"/>
        <v>3.81</v>
      </c>
      <c r="T361" s="319"/>
      <c r="V361" s="328">
        <v>3.802</v>
      </c>
      <c r="W361" s="320">
        <v>1</v>
      </c>
      <c r="X361" s="348">
        <f t="shared" si="127"/>
        <v>3.802</v>
      </c>
      <c r="Y361" s="330">
        <v>1</v>
      </c>
      <c r="Z361" s="348">
        <f t="shared" si="128"/>
        <v>3.802</v>
      </c>
      <c r="AB361" s="328">
        <f t="shared" si="129"/>
        <v>-8.0000000000000071E-3</v>
      </c>
      <c r="AC361" s="328">
        <f t="shared" si="130"/>
        <v>-8.0000000000000071E-3</v>
      </c>
    </row>
    <row r="362" spans="1:29">
      <c r="A362" s="318"/>
      <c r="B362" s="319"/>
      <c r="C362" s="318"/>
      <c r="D362" s="318"/>
      <c r="E362" s="319"/>
      <c r="F362" s="319"/>
      <c r="G362" s="318" t="s">
        <v>844</v>
      </c>
      <c r="H362" s="318">
        <v>3.81</v>
      </c>
      <c r="I362" s="318">
        <v>1</v>
      </c>
      <c r="J362" s="318">
        <f t="shared" si="124"/>
        <v>1</v>
      </c>
      <c r="K362" s="318">
        <f t="shared" si="125"/>
        <v>3.81</v>
      </c>
      <c r="L362" s="318">
        <v>1322</v>
      </c>
      <c r="M362" s="318" t="s">
        <v>241</v>
      </c>
      <c r="N362" s="318">
        <v>1</v>
      </c>
      <c r="O362" s="619">
        <f t="shared" si="126"/>
        <v>3.81</v>
      </c>
      <c r="P362" s="750">
        <v>1</v>
      </c>
      <c r="Q362" s="750"/>
      <c r="R362" s="337">
        <v>1</v>
      </c>
      <c r="S362" s="348">
        <f t="shared" si="131"/>
        <v>3.81</v>
      </c>
      <c r="T362" s="319"/>
      <c r="V362" s="328">
        <v>3.802</v>
      </c>
      <c r="W362" s="320">
        <v>1</v>
      </c>
      <c r="X362" s="348">
        <f t="shared" si="127"/>
        <v>3.802</v>
      </c>
      <c r="Y362" s="330">
        <v>1</v>
      </c>
      <c r="Z362" s="348">
        <f t="shared" si="128"/>
        <v>3.802</v>
      </c>
      <c r="AB362" s="328">
        <f t="shared" si="129"/>
        <v>-8.0000000000000071E-3</v>
      </c>
      <c r="AC362" s="328">
        <f t="shared" si="130"/>
        <v>-8.0000000000000071E-3</v>
      </c>
    </row>
    <row r="363" spans="1:29">
      <c r="A363" s="318"/>
      <c r="B363" s="319"/>
      <c r="C363" s="318"/>
      <c r="D363" s="318"/>
      <c r="E363" s="319"/>
      <c r="F363" s="319"/>
      <c r="G363" s="318" t="s">
        <v>845</v>
      </c>
      <c r="H363" s="318">
        <v>3.81</v>
      </c>
      <c r="I363" s="318">
        <v>1</v>
      </c>
      <c r="J363" s="318">
        <f t="shared" si="124"/>
        <v>1</v>
      </c>
      <c r="K363" s="318">
        <f t="shared" si="125"/>
        <v>3.81</v>
      </c>
      <c r="L363" s="318">
        <v>1322</v>
      </c>
      <c r="M363" s="318" t="s">
        <v>241</v>
      </c>
      <c r="N363" s="318">
        <v>1</v>
      </c>
      <c r="O363" s="619">
        <f t="shared" si="126"/>
        <v>3.81</v>
      </c>
      <c r="P363" s="750">
        <v>1</v>
      </c>
      <c r="Q363" s="750"/>
      <c r="R363" s="337">
        <v>1</v>
      </c>
      <c r="S363" s="348">
        <f t="shared" si="131"/>
        <v>3.81</v>
      </c>
      <c r="T363" s="319"/>
      <c r="V363" s="328">
        <v>3.802</v>
      </c>
      <c r="W363" s="320">
        <v>1</v>
      </c>
      <c r="X363" s="348">
        <f t="shared" si="127"/>
        <v>3.802</v>
      </c>
      <c r="Y363" s="330">
        <v>1</v>
      </c>
      <c r="Z363" s="348">
        <f t="shared" si="128"/>
        <v>3.802</v>
      </c>
      <c r="AB363" s="328">
        <f t="shared" si="129"/>
        <v>-8.0000000000000071E-3</v>
      </c>
      <c r="AC363" s="328">
        <f t="shared" si="130"/>
        <v>-8.0000000000000071E-3</v>
      </c>
    </row>
    <row r="364" spans="1:29">
      <c r="A364" s="318"/>
      <c r="B364" s="319"/>
      <c r="C364" s="318"/>
      <c r="D364" s="318"/>
      <c r="E364" s="319"/>
      <c r="F364" s="336" t="s">
        <v>558</v>
      </c>
      <c r="G364" s="318" t="s">
        <v>846</v>
      </c>
      <c r="H364" s="319">
        <v>4.0199999999999996</v>
      </c>
      <c r="I364" s="318">
        <v>1</v>
      </c>
      <c r="J364" s="318">
        <f t="shared" si="124"/>
        <v>1</v>
      </c>
      <c r="K364" s="318">
        <f t="shared" si="125"/>
        <v>4.0199999999999996</v>
      </c>
      <c r="L364" s="318" t="s">
        <v>296</v>
      </c>
      <c r="M364" s="318" t="s">
        <v>305</v>
      </c>
      <c r="N364" s="318">
        <v>1</v>
      </c>
      <c r="O364" s="619">
        <f t="shared" si="126"/>
        <v>4.0199999999999996</v>
      </c>
      <c r="P364" s="750">
        <v>1</v>
      </c>
      <c r="Q364" s="750"/>
      <c r="R364" s="337">
        <v>1</v>
      </c>
      <c r="S364" s="348">
        <f t="shared" si="131"/>
        <v>4.0199999999999996</v>
      </c>
      <c r="T364" s="319"/>
      <c r="V364" s="333">
        <f>3.149+0.856</f>
        <v>4.0049999999999999</v>
      </c>
      <c r="W364" s="458">
        <f>2/3</f>
        <v>0.66666666666666663</v>
      </c>
      <c r="X364" s="348">
        <f t="shared" si="127"/>
        <v>2.67</v>
      </c>
      <c r="Y364" s="330">
        <f>2/3</f>
        <v>0.66666666666666663</v>
      </c>
      <c r="Z364" s="348">
        <f t="shared" si="128"/>
        <v>2.67</v>
      </c>
      <c r="AB364" s="333">
        <f t="shared" si="129"/>
        <v>-1.3499999999999996</v>
      </c>
      <c r="AC364" s="333">
        <f t="shared" si="130"/>
        <v>-1.3499999999999996</v>
      </c>
    </row>
    <row r="365" spans="1:29">
      <c r="A365" s="318"/>
      <c r="B365" s="319"/>
      <c r="C365" s="318"/>
      <c r="D365" s="318"/>
      <c r="E365" s="319"/>
      <c r="F365" s="336" t="s">
        <v>558</v>
      </c>
      <c r="G365" s="318" t="s">
        <v>847</v>
      </c>
      <c r="H365" s="319">
        <v>3.25</v>
      </c>
      <c r="I365" s="318">
        <v>1</v>
      </c>
      <c r="J365" s="318">
        <f t="shared" si="124"/>
        <v>1</v>
      </c>
      <c r="K365" s="318">
        <f t="shared" si="125"/>
        <v>3.25</v>
      </c>
      <c r="L365" s="318" t="s">
        <v>297</v>
      </c>
      <c r="M365" s="318">
        <v>104</v>
      </c>
      <c r="N365" s="318">
        <v>1</v>
      </c>
      <c r="O365" s="619">
        <f t="shared" si="126"/>
        <v>3.25</v>
      </c>
      <c r="P365" s="750">
        <v>1</v>
      </c>
      <c r="Q365" s="750"/>
      <c r="R365" s="337">
        <v>1</v>
      </c>
      <c r="S365" s="348">
        <f t="shared" si="131"/>
        <v>3.25</v>
      </c>
      <c r="T365" s="319"/>
      <c r="V365" s="333">
        <f>0.091+3.149</f>
        <v>3.24</v>
      </c>
      <c r="W365" s="458">
        <f>2/3</f>
        <v>0.66666666666666663</v>
      </c>
      <c r="X365" s="348">
        <f t="shared" si="127"/>
        <v>2.16</v>
      </c>
      <c r="Y365" s="330">
        <f>2/3</f>
        <v>0.66666666666666663</v>
      </c>
      <c r="Z365" s="348">
        <f t="shared" si="128"/>
        <v>2.16</v>
      </c>
      <c r="AB365" s="333">
        <f t="shared" si="129"/>
        <v>-1.0899999999999999</v>
      </c>
      <c r="AC365" s="333">
        <f t="shared" si="130"/>
        <v>-1.0899999999999999</v>
      </c>
    </row>
    <row r="366" spans="1:29">
      <c r="A366" s="318"/>
      <c r="B366" s="319"/>
      <c r="C366" s="318"/>
      <c r="D366" s="318"/>
      <c r="E366" s="319"/>
      <c r="F366" s="319"/>
      <c r="G366" s="318" t="s">
        <v>848</v>
      </c>
      <c r="H366" s="318">
        <v>3.51</v>
      </c>
      <c r="I366" s="318">
        <v>1</v>
      </c>
      <c r="J366" s="318">
        <f t="shared" si="124"/>
        <v>1</v>
      </c>
      <c r="K366" s="318">
        <f t="shared" si="125"/>
        <v>3.51</v>
      </c>
      <c r="L366" s="318">
        <v>1423</v>
      </c>
      <c r="M366" s="318">
        <v>106</v>
      </c>
      <c r="N366" s="318">
        <v>1</v>
      </c>
      <c r="O366" s="619">
        <f t="shared" si="126"/>
        <v>3.51</v>
      </c>
      <c r="P366" s="750">
        <v>1</v>
      </c>
      <c r="Q366" s="750"/>
      <c r="R366" s="337">
        <v>1</v>
      </c>
      <c r="S366" s="348">
        <f t="shared" si="131"/>
        <v>3.51</v>
      </c>
      <c r="T366" s="319"/>
      <c r="V366" s="328">
        <f>3.5</f>
        <v>3.5</v>
      </c>
      <c r="W366" s="320">
        <v>1</v>
      </c>
      <c r="X366" s="348">
        <f t="shared" si="127"/>
        <v>3.5</v>
      </c>
      <c r="Y366" s="330">
        <v>1</v>
      </c>
      <c r="Z366" s="348">
        <f t="shared" si="128"/>
        <v>3.5</v>
      </c>
      <c r="AB366" s="328">
        <f t="shared" si="129"/>
        <v>-9.9999999999997868E-3</v>
      </c>
      <c r="AC366" s="328">
        <f t="shared" si="130"/>
        <v>-9.9999999999997868E-3</v>
      </c>
    </row>
    <row r="367" spans="1:29">
      <c r="A367" s="318"/>
      <c r="B367" s="319"/>
      <c r="C367" s="318"/>
      <c r="D367" s="318"/>
      <c r="E367" s="319"/>
      <c r="F367" s="319"/>
      <c r="G367" s="318" t="s">
        <v>849</v>
      </c>
      <c r="H367" s="318">
        <v>4.49</v>
      </c>
      <c r="I367" s="318">
        <v>1</v>
      </c>
      <c r="J367" s="318">
        <f t="shared" si="124"/>
        <v>1</v>
      </c>
      <c r="K367" s="318">
        <f t="shared" si="125"/>
        <v>4.49</v>
      </c>
      <c r="L367" s="318">
        <v>1428</v>
      </c>
      <c r="M367" s="318">
        <v>106</v>
      </c>
      <c r="N367" s="318">
        <v>1</v>
      </c>
      <c r="O367" s="619">
        <f t="shared" si="126"/>
        <v>4.49</v>
      </c>
      <c r="P367" s="750">
        <v>1</v>
      </c>
      <c r="Q367" s="750"/>
      <c r="R367" s="337">
        <v>1</v>
      </c>
      <c r="S367" s="348">
        <f t="shared" si="131"/>
        <v>4.49</v>
      </c>
      <c r="T367" s="319"/>
      <c r="V367" s="328">
        <f>4.49</f>
        <v>4.49</v>
      </c>
      <c r="W367" s="320">
        <v>1</v>
      </c>
      <c r="X367" s="348">
        <f t="shared" si="127"/>
        <v>4.49</v>
      </c>
      <c r="Y367" s="330">
        <v>1</v>
      </c>
      <c r="Z367" s="348">
        <f t="shared" si="128"/>
        <v>4.49</v>
      </c>
      <c r="AB367" s="328">
        <f t="shared" si="129"/>
        <v>0</v>
      </c>
      <c r="AC367" s="328">
        <f t="shared" si="130"/>
        <v>0</v>
      </c>
    </row>
    <row r="368" spans="1:29" ht="20.399999999999999">
      <c r="A368" s="318"/>
      <c r="B368" s="319"/>
      <c r="C368" s="318"/>
      <c r="D368" s="318"/>
      <c r="E368" s="319"/>
      <c r="F368" s="336" t="s">
        <v>604</v>
      </c>
      <c r="G368" s="318" t="s">
        <v>850</v>
      </c>
      <c r="H368" s="318">
        <v>4.8</v>
      </c>
      <c r="I368" s="318">
        <v>1</v>
      </c>
      <c r="J368" s="318">
        <v>1</v>
      </c>
      <c r="K368" s="318">
        <f t="shared" si="125"/>
        <v>4.8</v>
      </c>
      <c r="L368" s="352" t="s">
        <v>3377</v>
      </c>
      <c r="M368" s="350" t="s">
        <v>3404</v>
      </c>
      <c r="N368" s="318">
        <v>1</v>
      </c>
      <c r="O368" s="619">
        <f t="shared" si="126"/>
        <v>4.8</v>
      </c>
      <c r="P368" s="750">
        <v>1</v>
      </c>
      <c r="Q368" s="750"/>
      <c r="R368" s="337">
        <v>1</v>
      </c>
      <c r="S368" s="348">
        <f t="shared" si="131"/>
        <v>4.8</v>
      </c>
      <c r="T368" s="319" t="s">
        <v>3433</v>
      </c>
      <c r="V368" s="328">
        <v>4.49</v>
      </c>
      <c r="W368" s="320"/>
      <c r="X368" s="348">
        <f t="shared" si="127"/>
        <v>0</v>
      </c>
      <c r="Y368" s="330"/>
      <c r="Z368" s="348">
        <f t="shared" si="128"/>
        <v>0</v>
      </c>
      <c r="AB368" s="328">
        <f t="shared" si="129"/>
        <v>-4.8</v>
      </c>
      <c r="AC368" s="328">
        <f t="shared" si="130"/>
        <v>-4.8</v>
      </c>
    </row>
    <row r="369" spans="1:29" collapsed="1">
      <c r="A369" s="584"/>
      <c r="B369" s="585"/>
      <c r="C369" s="584"/>
      <c r="D369" s="584"/>
      <c r="E369" s="585"/>
      <c r="F369" s="585" t="s">
        <v>384</v>
      </c>
      <c r="G369" s="584" t="s">
        <v>499</v>
      </c>
      <c r="H369" s="584"/>
      <c r="I369" s="584"/>
      <c r="J369" s="584"/>
      <c r="K369" s="584"/>
      <c r="L369" s="584"/>
      <c r="M369" s="584"/>
      <c r="N369" s="584"/>
      <c r="O369" s="631" t="s">
        <v>2321</v>
      </c>
      <c r="P369" s="750"/>
      <c r="Q369" s="750"/>
      <c r="R369" s="337"/>
      <c r="S369" s="348">
        <f t="shared" si="131"/>
        <v>0</v>
      </c>
      <c r="T369" s="1024" t="s">
        <v>561</v>
      </c>
      <c r="V369" s="328"/>
      <c r="W369" s="318"/>
      <c r="X369" s="384" t="s">
        <v>2321</v>
      </c>
      <c r="Y369" s="337"/>
      <c r="Z369" s="350" t="s">
        <v>2321</v>
      </c>
      <c r="AB369" s="328"/>
      <c r="AC369" s="328"/>
    </row>
    <row r="370" spans="1:29">
      <c r="A370" s="584"/>
      <c r="B370" s="585"/>
      <c r="C370" s="584"/>
      <c r="D370" s="584"/>
      <c r="E370" s="585"/>
      <c r="F370" s="585" t="s">
        <v>384</v>
      </c>
      <c r="G370" s="584" t="s">
        <v>500</v>
      </c>
      <c r="H370" s="584"/>
      <c r="I370" s="584"/>
      <c r="J370" s="584"/>
      <c r="K370" s="584"/>
      <c r="L370" s="584"/>
      <c r="M370" s="584"/>
      <c r="N370" s="584"/>
      <c r="O370" s="631" t="s">
        <v>2321</v>
      </c>
      <c r="P370" s="750"/>
      <c r="Q370" s="750"/>
      <c r="R370" s="337"/>
      <c r="S370" s="348">
        <f t="shared" si="131"/>
        <v>0</v>
      </c>
      <c r="T370" s="1025"/>
      <c r="V370" s="328"/>
      <c r="W370" s="318"/>
      <c r="X370" s="384" t="s">
        <v>2321</v>
      </c>
      <c r="Y370" s="337"/>
      <c r="Z370" s="350" t="s">
        <v>2321</v>
      </c>
      <c r="AB370" s="328"/>
      <c r="AC370" s="328"/>
    </row>
    <row r="371" spans="1:29">
      <c r="A371" s="584"/>
      <c r="B371" s="585"/>
      <c r="C371" s="584"/>
      <c r="D371" s="584"/>
      <c r="E371" s="585"/>
      <c r="F371" s="585" t="s">
        <v>384</v>
      </c>
      <c r="G371" s="584" t="s">
        <v>501</v>
      </c>
      <c r="H371" s="584"/>
      <c r="I371" s="584"/>
      <c r="J371" s="584"/>
      <c r="K371" s="584"/>
      <c r="L371" s="584"/>
      <c r="M371" s="584"/>
      <c r="N371" s="584"/>
      <c r="O371" s="631" t="s">
        <v>2321</v>
      </c>
      <c r="P371" s="750"/>
      <c r="Q371" s="750"/>
      <c r="R371" s="337"/>
      <c r="S371" s="348">
        <f t="shared" si="131"/>
        <v>0</v>
      </c>
      <c r="T371" s="1025"/>
      <c r="V371" s="328"/>
      <c r="W371" s="318"/>
      <c r="X371" s="384" t="s">
        <v>2321</v>
      </c>
      <c r="Y371" s="337"/>
      <c r="Z371" s="350" t="s">
        <v>2321</v>
      </c>
      <c r="AB371" s="328"/>
      <c r="AC371" s="328"/>
    </row>
    <row r="372" spans="1:29">
      <c r="A372" s="584"/>
      <c r="B372" s="585"/>
      <c r="C372" s="584"/>
      <c r="D372" s="584"/>
      <c r="E372" s="585"/>
      <c r="F372" s="585" t="s">
        <v>384</v>
      </c>
      <c r="G372" s="584" t="s">
        <v>502</v>
      </c>
      <c r="H372" s="584"/>
      <c r="I372" s="584"/>
      <c r="J372" s="584"/>
      <c r="K372" s="584"/>
      <c r="L372" s="584"/>
      <c r="M372" s="584"/>
      <c r="N372" s="584"/>
      <c r="O372" s="631" t="s">
        <v>2321</v>
      </c>
      <c r="P372" s="750"/>
      <c r="Q372" s="750"/>
      <c r="R372" s="337"/>
      <c r="S372" s="348">
        <f t="shared" si="131"/>
        <v>0</v>
      </c>
      <c r="T372" s="1026"/>
      <c r="V372" s="328"/>
      <c r="W372" s="318"/>
      <c r="X372" s="384" t="s">
        <v>2321</v>
      </c>
      <c r="Y372" s="337"/>
      <c r="Z372" s="350" t="s">
        <v>2321</v>
      </c>
      <c r="AB372" s="328"/>
      <c r="AC372" s="328"/>
    </row>
    <row r="373" spans="1:29" ht="20.399999999999999">
      <c r="A373" s="318"/>
      <c r="B373" s="319"/>
      <c r="C373" s="318"/>
      <c r="D373" s="318"/>
      <c r="E373" s="319"/>
      <c r="F373" s="336" t="s">
        <v>604</v>
      </c>
      <c r="G373" s="318" t="s">
        <v>851</v>
      </c>
      <c r="H373" s="318">
        <v>4.8</v>
      </c>
      <c r="I373" s="318">
        <v>1</v>
      </c>
      <c r="J373" s="318">
        <v>1</v>
      </c>
      <c r="K373" s="318">
        <f>H373*J373</f>
        <v>4.8</v>
      </c>
      <c r="L373" s="350" t="s">
        <v>3378</v>
      </c>
      <c r="M373" s="350" t="s">
        <v>3404</v>
      </c>
      <c r="N373" s="318">
        <v>1</v>
      </c>
      <c r="O373" s="619">
        <f>H373*N373</f>
        <v>4.8</v>
      </c>
      <c r="P373" s="750">
        <v>1</v>
      </c>
      <c r="Q373" s="750"/>
      <c r="R373" s="337">
        <v>1</v>
      </c>
      <c r="S373" s="348">
        <f t="shared" si="131"/>
        <v>4.8</v>
      </c>
      <c r="T373" s="319" t="s">
        <v>3433</v>
      </c>
      <c r="V373" s="328">
        <v>4.49</v>
      </c>
      <c r="W373" s="320"/>
      <c r="X373" s="348">
        <f>V373*W373</f>
        <v>0</v>
      </c>
      <c r="Y373" s="330"/>
      <c r="Z373" s="348">
        <f>V373*Y373</f>
        <v>0</v>
      </c>
      <c r="AB373" s="328">
        <f>X373-O373</f>
        <v>-4.8</v>
      </c>
      <c r="AC373" s="328">
        <f>Z373-S373</f>
        <v>-4.8</v>
      </c>
    </row>
    <row r="374" spans="1:29">
      <c r="A374" s="318"/>
      <c r="B374" s="319"/>
      <c r="C374" s="318"/>
      <c r="D374" s="318"/>
      <c r="E374" s="319"/>
      <c r="F374" s="319"/>
      <c r="G374" s="318" t="s">
        <v>852</v>
      </c>
      <c r="H374" s="318">
        <v>4.49</v>
      </c>
      <c r="I374" s="318">
        <v>1</v>
      </c>
      <c r="J374" s="318">
        <f>IF(N374&gt;0,1,0)</f>
        <v>1</v>
      </c>
      <c r="K374" s="318">
        <f>H374*J374</f>
        <v>4.49</v>
      </c>
      <c r="L374" s="318"/>
      <c r="M374" s="318"/>
      <c r="N374" s="318">
        <v>1</v>
      </c>
      <c r="O374" s="619">
        <f>H374*N374</f>
        <v>4.49</v>
      </c>
      <c r="P374" s="750">
        <v>1</v>
      </c>
      <c r="Q374" s="750"/>
      <c r="R374" s="337">
        <v>1</v>
      </c>
      <c r="S374" s="348">
        <f t="shared" si="131"/>
        <v>4.49</v>
      </c>
      <c r="T374" s="319"/>
      <c r="V374" s="328">
        <v>4.49</v>
      </c>
      <c r="W374" s="320">
        <v>1</v>
      </c>
      <c r="X374" s="348">
        <f>V374*W374</f>
        <v>4.49</v>
      </c>
      <c r="Y374" s="330"/>
      <c r="Z374" s="348">
        <f>V374*Y374</f>
        <v>0</v>
      </c>
      <c r="AB374" s="328">
        <f>X374-O374</f>
        <v>0</v>
      </c>
      <c r="AC374" s="328">
        <f>Z374-S374</f>
        <v>-4.49</v>
      </c>
    </row>
    <row r="375" spans="1:29">
      <c r="A375" s="318"/>
      <c r="B375" s="319"/>
      <c r="C375" s="318"/>
      <c r="D375" s="318"/>
      <c r="E375" s="319"/>
      <c r="F375" s="319"/>
      <c r="G375" s="318" t="s">
        <v>853</v>
      </c>
      <c r="H375" s="318">
        <v>4.49</v>
      </c>
      <c r="I375" s="318">
        <v>1</v>
      </c>
      <c r="J375" s="318">
        <f>IF(N375&gt;0,1,0)</f>
        <v>1</v>
      </c>
      <c r="K375" s="318">
        <f>H375*J375</f>
        <v>4.49</v>
      </c>
      <c r="L375" s="318"/>
      <c r="M375" s="318"/>
      <c r="N375" s="318">
        <v>1</v>
      </c>
      <c r="O375" s="619">
        <f>H375*N375</f>
        <v>4.49</v>
      </c>
      <c r="P375" s="750">
        <v>1</v>
      </c>
      <c r="Q375" s="750"/>
      <c r="R375" s="337">
        <v>1</v>
      </c>
      <c r="S375" s="348">
        <f t="shared" si="131"/>
        <v>4.49</v>
      </c>
      <c r="T375" s="319"/>
      <c r="V375" s="328">
        <v>4.49</v>
      </c>
      <c r="W375" s="320">
        <v>1</v>
      </c>
      <c r="X375" s="348">
        <f>V375*W375</f>
        <v>4.49</v>
      </c>
      <c r="Y375" s="330"/>
      <c r="Z375" s="348">
        <f>V375*Y375</f>
        <v>0</v>
      </c>
      <c r="AB375" s="328">
        <f>X375-O375</f>
        <v>0</v>
      </c>
      <c r="AC375" s="328">
        <f>Z375-S375</f>
        <v>-4.49</v>
      </c>
    </row>
    <row r="376" spans="1:29">
      <c r="A376" s="318"/>
      <c r="B376" s="319"/>
      <c r="C376" s="318"/>
      <c r="D376" s="318"/>
      <c r="E376" s="319"/>
      <c r="F376" s="319"/>
      <c r="G376" s="318" t="s">
        <v>854</v>
      </c>
      <c r="H376" s="318">
        <v>2.87</v>
      </c>
      <c r="I376" s="318">
        <v>1</v>
      </c>
      <c r="J376" s="318">
        <f>IF(N376&gt;0,1,0)</f>
        <v>1</v>
      </c>
      <c r="K376" s="318">
        <f>H376*J376</f>
        <v>2.87</v>
      </c>
      <c r="L376" s="318" t="s">
        <v>282</v>
      </c>
      <c r="M376" s="318" t="s">
        <v>283</v>
      </c>
      <c r="N376" s="318">
        <v>1</v>
      </c>
      <c r="O376" s="619">
        <f>H376*N376</f>
        <v>2.87</v>
      </c>
      <c r="P376" s="750">
        <v>1</v>
      </c>
      <c r="Q376" s="750"/>
      <c r="R376" s="337">
        <v>1</v>
      </c>
      <c r="S376" s="348">
        <f t="shared" si="131"/>
        <v>2.87</v>
      </c>
      <c r="T376" s="319"/>
      <c r="V376" s="328">
        <f>1.14-0.6+2.355</f>
        <v>2.895</v>
      </c>
      <c r="W376" s="320">
        <v>1</v>
      </c>
      <c r="X376" s="348">
        <f>V376*W376</f>
        <v>2.895</v>
      </c>
      <c r="Y376" s="330">
        <f>2/3</f>
        <v>0.66666666666666663</v>
      </c>
      <c r="Z376" s="348">
        <f>V376*Y376</f>
        <v>1.93</v>
      </c>
      <c r="AB376" s="328">
        <f>X376-O376</f>
        <v>2.4999999999999911E-2</v>
      </c>
      <c r="AC376" s="328">
        <f>Z376-S376</f>
        <v>-0.94000000000000017</v>
      </c>
    </row>
    <row r="377" spans="1:29">
      <c r="A377" s="318"/>
      <c r="B377" s="319"/>
      <c r="C377" s="318"/>
      <c r="D377" s="318"/>
      <c r="E377" s="319"/>
      <c r="F377" s="319"/>
      <c r="G377" s="318"/>
      <c r="H377" s="318"/>
      <c r="I377" s="318"/>
      <c r="J377" s="382" t="s">
        <v>389</v>
      </c>
      <c r="K377" s="321">
        <f>SUM(K346:K376)</f>
        <v>108.57000000000001</v>
      </c>
      <c r="L377" s="318"/>
      <c r="M377" s="318"/>
      <c r="N377" s="382" t="s">
        <v>389</v>
      </c>
      <c r="O377" s="748">
        <f>SUM(O346:O376)</f>
        <v>108.57000000000001</v>
      </c>
      <c r="P377" s="751" t="s">
        <v>389</v>
      </c>
      <c r="Q377" s="751"/>
      <c r="R377" s="382"/>
      <c r="S377" s="321">
        <f>SUM(S346:S376)</f>
        <v>108.57000000000001</v>
      </c>
      <c r="T377" s="319"/>
      <c r="V377" s="328"/>
      <c r="W377" s="321" t="s">
        <v>389</v>
      </c>
      <c r="X377" s="338">
        <f>SUM(X346:X376)</f>
        <v>95.564999999999998</v>
      </c>
      <c r="Y377" s="321" t="s">
        <v>389</v>
      </c>
      <c r="Z377" s="321">
        <f>SUM(Z346:Z376)</f>
        <v>83.758000000000024</v>
      </c>
      <c r="AB377" s="328"/>
      <c r="AC377" s="328"/>
    </row>
    <row r="378" spans="1:29" ht="6.75" customHeight="1">
      <c r="A378" s="316"/>
      <c r="B378" s="317"/>
      <c r="C378" s="316"/>
      <c r="D378" s="316"/>
      <c r="E378" s="317"/>
      <c r="F378" s="317"/>
      <c r="G378" s="316"/>
      <c r="H378" s="316"/>
      <c r="I378" s="316"/>
      <c r="J378" s="316"/>
      <c r="K378" s="316"/>
      <c r="L378" s="316"/>
      <c r="M378" s="316"/>
      <c r="N378" s="316"/>
      <c r="O378" s="749"/>
      <c r="P378" s="633"/>
      <c r="Q378" s="633"/>
      <c r="R378" s="949"/>
      <c r="S378" s="339"/>
      <c r="T378" s="317"/>
      <c r="V378" s="332"/>
      <c r="W378" s="316"/>
      <c r="X378" s="339"/>
      <c r="Y378" s="316"/>
      <c r="Z378" s="339"/>
      <c r="AB378" s="332"/>
      <c r="AC378" s="332"/>
    </row>
    <row r="379" spans="1:29">
      <c r="A379" s="318">
        <v>10</v>
      </c>
      <c r="B379" s="319" t="s">
        <v>383</v>
      </c>
      <c r="C379" s="318">
        <v>600</v>
      </c>
      <c r="D379" s="318">
        <v>15</v>
      </c>
      <c r="E379" s="319">
        <v>1</v>
      </c>
      <c r="F379" s="319"/>
      <c r="G379" s="318" t="s">
        <v>855</v>
      </c>
      <c r="H379" s="318">
        <v>2.06</v>
      </c>
      <c r="I379" s="318">
        <v>1</v>
      </c>
      <c r="J379" s="318">
        <f t="shared" ref="J379:J385" si="133">IF(N379&gt;0,1,0)</f>
        <v>1</v>
      </c>
      <c r="K379" s="318">
        <f t="shared" ref="K379:K386" si="134">H379*J379</f>
        <v>2.06</v>
      </c>
      <c r="L379" s="318"/>
      <c r="M379" s="318"/>
      <c r="N379" s="318">
        <v>1</v>
      </c>
      <c r="O379" s="619">
        <f t="shared" ref="O379:O386" si="135">H379*N379</f>
        <v>2.06</v>
      </c>
      <c r="P379" s="750">
        <v>1</v>
      </c>
      <c r="Q379" s="750"/>
      <c r="R379" s="337">
        <v>1</v>
      </c>
      <c r="S379" s="348">
        <f>H379*R379</f>
        <v>2.06</v>
      </c>
      <c r="T379" s="319"/>
      <c r="V379" s="328">
        <v>2.0499999999999998</v>
      </c>
      <c r="W379" s="320">
        <v>1</v>
      </c>
      <c r="X379" s="348">
        <f t="shared" ref="X379:X386" si="136">V379*W379</f>
        <v>2.0499999999999998</v>
      </c>
      <c r="Y379" s="330">
        <v>1</v>
      </c>
      <c r="Z379" s="348">
        <f t="shared" ref="Z379:Z386" si="137">V379*Y379</f>
        <v>2.0499999999999998</v>
      </c>
      <c r="AB379" s="328">
        <f t="shared" ref="AB379:AB386" si="138">X379-O379</f>
        <v>-1.0000000000000231E-2</v>
      </c>
      <c r="AC379" s="328">
        <f t="shared" ref="AC379:AC386" si="139">Z379-S379</f>
        <v>-1.0000000000000231E-2</v>
      </c>
    </row>
    <row r="380" spans="1:29">
      <c r="A380" s="318"/>
      <c r="B380" s="319"/>
      <c r="C380" s="318"/>
      <c r="D380" s="318"/>
      <c r="E380" s="319"/>
      <c r="F380" s="319"/>
      <c r="G380" s="318" t="s">
        <v>856</v>
      </c>
      <c r="H380" s="318">
        <v>3.81</v>
      </c>
      <c r="I380" s="318">
        <v>1</v>
      </c>
      <c r="J380" s="318">
        <f t="shared" si="133"/>
        <v>1</v>
      </c>
      <c r="K380" s="318">
        <f t="shared" si="134"/>
        <v>3.81</v>
      </c>
      <c r="L380" s="318">
        <v>1322</v>
      </c>
      <c r="M380" s="318" t="s">
        <v>241</v>
      </c>
      <c r="N380" s="318">
        <v>1</v>
      </c>
      <c r="O380" s="619">
        <f t="shared" si="135"/>
        <v>3.81</v>
      </c>
      <c r="P380" s="750">
        <v>1</v>
      </c>
      <c r="Q380" s="750"/>
      <c r="R380" s="337">
        <v>1</v>
      </c>
      <c r="S380" s="348">
        <f>H380*R380</f>
        <v>3.81</v>
      </c>
      <c r="T380" s="319"/>
      <c r="V380" s="328">
        <v>3.802</v>
      </c>
      <c r="W380" s="320">
        <v>1</v>
      </c>
      <c r="X380" s="348">
        <f t="shared" si="136"/>
        <v>3.802</v>
      </c>
      <c r="Y380" s="330">
        <v>1</v>
      </c>
      <c r="Z380" s="348">
        <f t="shared" si="137"/>
        <v>3.802</v>
      </c>
      <c r="AB380" s="328">
        <f t="shared" si="138"/>
        <v>-8.0000000000000071E-3</v>
      </c>
      <c r="AC380" s="328">
        <f t="shared" si="139"/>
        <v>-8.0000000000000071E-3</v>
      </c>
    </row>
    <row r="381" spans="1:29">
      <c r="A381" s="318"/>
      <c r="B381" s="319"/>
      <c r="C381" s="318"/>
      <c r="D381" s="318"/>
      <c r="E381" s="319"/>
      <c r="F381" s="319"/>
      <c r="G381" s="318" t="s">
        <v>857</v>
      </c>
      <c r="H381" s="318">
        <v>3.81</v>
      </c>
      <c r="I381" s="318">
        <v>1</v>
      </c>
      <c r="J381" s="318">
        <f t="shared" si="133"/>
        <v>1</v>
      </c>
      <c r="K381" s="318">
        <f t="shared" si="134"/>
        <v>3.81</v>
      </c>
      <c r="L381" s="318" t="s">
        <v>238</v>
      </c>
      <c r="M381" s="318" t="s">
        <v>239</v>
      </c>
      <c r="N381" s="318">
        <v>1</v>
      </c>
      <c r="O381" s="619">
        <f t="shared" si="135"/>
        <v>3.81</v>
      </c>
      <c r="P381" s="750">
        <v>1</v>
      </c>
      <c r="Q381" s="750"/>
      <c r="R381" s="337">
        <v>1</v>
      </c>
      <c r="S381" s="348">
        <f t="shared" ref="S381:S412" si="140">H381*R381</f>
        <v>3.81</v>
      </c>
      <c r="T381" s="319"/>
      <c r="V381" s="328">
        <v>3.802</v>
      </c>
      <c r="W381" s="320">
        <v>1</v>
      </c>
      <c r="X381" s="348">
        <f t="shared" si="136"/>
        <v>3.802</v>
      </c>
      <c r="Y381" s="330">
        <v>1</v>
      </c>
      <c r="Z381" s="348">
        <f t="shared" si="137"/>
        <v>3.802</v>
      </c>
      <c r="AB381" s="328">
        <f t="shared" si="138"/>
        <v>-8.0000000000000071E-3</v>
      </c>
      <c r="AC381" s="328">
        <f t="shared" si="139"/>
        <v>-8.0000000000000071E-3</v>
      </c>
    </row>
    <row r="382" spans="1:29">
      <c r="A382" s="318"/>
      <c r="B382" s="319"/>
      <c r="C382" s="318"/>
      <c r="D382" s="318"/>
      <c r="E382" s="319"/>
      <c r="F382" s="336" t="s">
        <v>558</v>
      </c>
      <c r="G382" s="318" t="s">
        <v>858</v>
      </c>
      <c r="H382" s="318">
        <v>4.1500000000000004</v>
      </c>
      <c r="I382" s="318">
        <v>1</v>
      </c>
      <c r="J382" s="318">
        <f t="shared" si="133"/>
        <v>1</v>
      </c>
      <c r="K382" s="318">
        <f t="shared" si="134"/>
        <v>4.1500000000000004</v>
      </c>
      <c r="L382" s="318" t="s">
        <v>280</v>
      </c>
      <c r="M382" s="318" t="s">
        <v>281</v>
      </c>
      <c r="N382" s="318">
        <v>1</v>
      </c>
      <c r="O382" s="619">
        <f t="shared" si="135"/>
        <v>4.1500000000000004</v>
      </c>
      <c r="P382" s="750">
        <v>1</v>
      </c>
      <c r="Q382" s="750"/>
      <c r="R382" s="337">
        <v>1</v>
      </c>
      <c r="S382" s="348">
        <f t="shared" si="140"/>
        <v>4.1500000000000004</v>
      </c>
      <c r="T382" s="319"/>
      <c r="V382" s="328">
        <f>1.187+2.951</f>
        <v>4.1379999999999999</v>
      </c>
      <c r="W382" s="320">
        <v>1</v>
      </c>
      <c r="X382" s="348">
        <f t="shared" si="136"/>
        <v>4.1379999999999999</v>
      </c>
      <c r="Y382" s="330">
        <v>1</v>
      </c>
      <c r="Z382" s="348">
        <f t="shared" si="137"/>
        <v>4.1379999999999999</v>
      </c>
      <c r="AB382" s="328">
        <f t="shared" si="138"/>
        <v>-1.2000000000000455E-2</v>
      </c>
      <c r="AC382" s="328">
        <f t="shared" si="139"/>
        <v>-1.2000000000000455E-2</v>
      </c>
    </row>
    <row r="383" spans="1:29">
      <c r="A383" s="318"/>
      <c r="B383" s="319"/>
      <c r="C383" s="318"/>
      <c r="D383" s="318"/>
      <c r="E383" s="319"/>
      <c r="F383" s="336" t="s">
        <v>558</v>
      </c>
      <c r="G383" s="318" t="s">
        <v>859</v>
      </c>
      <c r="H383" s="318">
        <v>2.96</v>
      </c>
      <c r="I383" s="318">
        <v>1</v>
      </c>
      <c r="J383" s="318">
        <f t="shared" si="133"/>
        <v>1</v>
      </c>
      <c r="K383" s="318">
        <f t="shared" si="134"/>
        <v>2.96</v>
      </c>
      <c r="L383" s="318" t="s">
        <v>280</v>
      </c>
      <c r="M383" s="318" t="s">
        <v>281</v>
      </c>
      <c r="N383" s="318">
        <v>1</v>
      </c>
      <c r="O383" s="619">
        <f t="shared" si="135"/>
        <v>2.96</v>
      </c>
      <c r="P383" s="750">
        <v>1</v>
      </c>
      <c r="Q383" s="750"/>
      <c r="R383" s="337">
        <v>1</v>
      </c>
      <c r="S383" s="348">
        <f t="shared" si="140"/>
        <v>2.96</v>
      </c>
      <c r="T383" s="319"/>
      <c r="V383" s="328">
        <f>1.187+2.951</f>
        <v>4.1379999999999999</v>
      </c>
      <c r="W383" s="320">
        <v>1</v>
      </c>
      <c r="X383" s="348">
        <f t="shared" si="136"/>
        <v>4.1379999999999999</v>
      </c>
      <c r="Y383" s="330">
        <v>1</v>
      </c>
      <c r="Z383" s="348">
        <f t="shared" si="137"/>
        <v>4.1379999999999999</v>
      </c>
      <c r="AB383" s="328">
        <f t="shared" si="138"/>
        <v>1.1779999999999999</v>
      </c>
      <c r="AC383" s="328">
        <f t="shared" si="139"/>
        <v>1.1779999999999999</v>
      </c>
    </row>
    <row r="384" spans="1:29">
      <c r="A384" s="318"/>
      <c r="B384" s="319"/>
      <c r="C384" s="318"/>
      <c r="D384" s="318"/>
      <c r="E384" s="319"/>
      <c r="F384" s="319"/>
      <c r="G384" s="318" t="s">
        <v>860</v>
      </c>
      <c r="H384" s="318">
        <v>3.67</v>
      </c>
      <c r="I384" s="318">
        <v>1</v>
      </c>
      <c r="J384" s="318">
        <f t="shared" si="133"/>
        <v>1</v>
      </c>
      <c r="K384" s="318">
        <f t="shared" si="134"/>
        <v>3.67</v>
      </c>
      <c r="L384" s="318">
        <v>1423</v>
      </c>
      <c r="M384" s="318">
        <v>106</v>
      </c>
      <c r="N384" s="318">
        <v>1</v>
      </c>
      <c r="O384" s="619">
        <f t="shared" si="135"/>
        <v>3.67</v>
      </c>
      <c r="P384" s="750">
        <v>1</v>
      </c>
      <c r="Q384" s="750"/>
      <c r="R384" s="337">
        <v>1</v>
      </c>
      <c r="S384" s="348">
        <f t="shared" si="140"/>
        <v>3.67</v>
      </c>
      <c r="T384" s="319"/>
      <c r="V384" s="328">
        <v>3.6589999999999998</v>
      </c>
      <c r="W384" s="320">
        <v>1</v>
      </c>
      <c r="X384" s="348">
        <f t="shared" si="136"/>
        <v>3.6589999999999998</v>
      </c>
      <c r="Y384" s="330">
        <v>1</v>
      </c>
      <c r="Z384" s="348">
        <f t="shared" si="137"/>
        <v>3.6589999999999998</v>
      </c>
      <c r="AB384" s="328">
        <f t="shared" si="138"/>
        <v>-1.1000000000000121E-2</v>
      </c>
      <c r="AC384" s="328">
        <f t="shared" si="139"/>
        <v>-1.1000000000000121E-2</v>
      </c>
    </row>
    <row r="385" spans="1:29">
      <c r="A385" s="318"/>
      <c r="B385" s="319"/>
      <c r="C385" s="318"/>
      <c r="D385" s="318"/>
      <c r="E385" s="319"/>
      <c r="F385" s="319"/>
      <c r="G385" s="318" t="s">
        <v>861</v>
      </c>
      <c r="H385" s="318">
        <v>4.49</v>
      </c>
      <c r="I385" s="318">
        <v>1</v>
      </c>
      <c r="J385" s="318">
        <f t="shared" si="133"/>
        <v>1</v>
      </c>
      <c r="K385" s="318">
        <f t="shared" si="134"/>
        <v>4.49</v>
      </c>
      <c r="L385" s="318">
        <v>1523</v>
      </c>
      <c r="M385" s="318">
        <v>128</v>
      </c>
      <c r="N385" s="318">
        <v>1</v>
      </c>
      <c r="O385" s="619">
        <f t="shared" si="135"/>
        <v>4.49</v>
      </c>
      <c r="P385" s="750">
        <v>1</v>
      </c>
      <c r="Q385" s="750"/>
      <c r="R385" s="337">
        <v>1</v>
      </c>
      <c r="S385" s="348">
        <f t="shared" si="140"/>
        <v>4.49</v>
      </c>
      <c r="T385" s="319"/>
      <c r="V385" s="328">
        <v>4.49</v>
      </c>
      <c r="W385" s="320">
        <v>1</v>
      </c>
      <c r="X385" s="348">
        <f t="shared" si="136"/>
        <v>4.49</v>
      </c>
      <c r="Y385" s="330">
        <v>1</v>
      </c>
      <c r="Z385" s="348">
        <f t="shared" si="137"/>
        <v>4.49</v>
      </c>
      <c r="AB385" s="328">
        <f t="shared" si="138"/>
        <v>0</v>
      </c>
      <c r="AC385" s="328">
        <f t="shared" si="139"/>
        <v>0</v>
      </c>
    </row>
    <row r="386" spans="1:29" ht="20.399999999999999">
      <c r="A386" s="318"/>
      <c r="B386" s="319"/>
      <c r="C386" s="318"/>
      <c r="D386" s="318"/>
      <c r="E386" s="319"/>
      <c r="F386" s="336" t="s">
        <v>604</v>
      </c>
      <c r="G386" s="318" t="s">
        <v>862</v>
      </c>
      <c r="H386" s="318">
        <v>4.8</v>
      </c>
      <c r="I386" s="318">
        <v>1</v>
      </c>
      <c r="J386" s="318">
        <v>1</v>
      </c>
      <c r="K386" s="318">
        <f t="shared" si="134"/>
        <v>4.8</v>
      </c>
      <c r="L386" s="350" t="s">
        <v>3371</v>
      </c>
      <c r="M386" s="350" t="s">
        <v>3404</v>
      </c>
      <c r="N386" s="318">
        <v>1</v>
      </c>
      <c r="O386" s="619">
        <f t="shared" si="135"/>
        <v>4.8</v>
      </c>
      <c r="P386" s="750">
        <v>1</v>
      </c>
      <c r="Q386" s="750"/>
      <c r="R386" s="337">
        <v>1</v>
      </c>
      <c r="S386" s="348">
        <f t="shared" si="140"/>
        <v>4.8</v>
      </c>
      <c r="T386" s="319" t="s">
        <v>3436</v>
      </c>
      <c r="V386" s="328">
        <f t="shared" ref="V386:V395" si="141">4.49</f>
        <v>4.49</v>
      </c>
      <c r="W386" s="320"/>
      <c r="X386" s="348">
        <f t="shared" si="136"/>
        <v>0</v>
      </c>
      <c r="Y386" s="330"/>
      <c r="Z386" s="348">
        <f t="shared" si="137"/>
        <v>0</v>
      </c>
      <c r="AB386" s="328">
        <f t="shared" si="138"/>
        <v>-4.8</v>
      </c>
      <c r="AC386" s="328">
        <f t="shared" si="139"/>
        <v>-4.8</v>
      </c>
    </row>
    <row r="387" spans="1:29" collapsed="1">
      <c r="A387" s="584"/>
      <c r="B387" s="585"/>
      <c r="C387" s="584"/>
      <c r="D387" s="584"/>
      <c r="E387" s="585"/>
      <c r="F387" s="585" t="s">
        <v>384</v>
      </c>
      <c r="G387" s="584" t="s">
        <v>503</v>
      </c>
      <c r="H387" s="584"/>
      <c r="I387" s="584"/>
      <c r="J387" s="584"/>
      <c r="K387" s="584"/>
      <c r="L387" s="584"/>
      <c r="M387" s="584"/>
      <c r="N387" s="584"/>
      <c r="O387" s="631" t="s">
        <v>2321</v>
      </c>
      <c r="P387" s="750"/>
      <c r="Q387" s="750"/>
      <c r="R387" s="337"/>
      <c r="S387" s="348">
        <f t="shared" si="140"/>
        <v>0</v>
      </c>
      <c r="T387" s="1024" t="s">
        <v>561</v>
      </c>
      <c r="V387" s="328"/>
      <c r="W387" s="318"/>
      <c r="X387" s="384" t="s">
        <v>2321</v>
      </c>
      <c r="Y387" s="337"/>
      <c r="Z387" s="350" t="s">
        <v>2321</v>
      </c>
      <c r="AB387" s="328"/>
      <c r="AC387" s="328"/>
    </row>
    <row r="388" spans="1:29">
      <c r="A388" s="584"/>
      <c r="B388" s="585"/>
      <c r="C388" s="584"/>
      <c r="D388" s="584"/>
      <c r="E388" s="585"/>
      <c r="F388" s="585" t="s">
        <v>384</v>
      </c>
      <c r="G388" s="584" t="s">
        <v>504</v>
      </c>
      <c r="H388" s="584"/>
      <c r="I388" s="584"/>
      <c r="J388" s="584"/>
      <c r="K388" s="584"/>
      <c r="L388" s="584"/>
      <c r="M388" s="584"/>
      <c r="N388" s="584"/>
      <c r="O388" s="631" t="s">
        <v>2321</v>
      </c>
      <c r="P388" s="750"/>
      <c r="Q388" s="750"/>
      <c r="R388" s="337"/>
      <c r="S388" s="348">
        <f t="shared" si="140"/>
        <v>0</v>
      </c>
      <c r="T388" s="1025"/>
      <c r="V388" s="328"/>
      <c r="W388" s="318"/>
      <c r="X388" s="384" t="s">
        <v>2321</v>
      </c>
      <c r="Y388" s="337"/>
      <c r="Z388" s="350" t="s">
        <v>2321</v>
      </c>
      <c r="AB388" s="328"/>
      <c r="AC388" s="328"/>
    </row>
    <row r="389" spans="1:29">
      <c r="A389" s="584"/>
      <c r="B389" s="585"/>
      <c r="C389" s="584"/>
      <c r="D389" s="584"/>
      <c r="E389" s="585"/>
      <c r="F389" s="585" t="s">
        <v>384</v>
      </c>
      <c r="G389" s="584" t="s">
        <v>505</v>
      </c>
      <c r="H389" s="584"/>
      <c r="I389" s="584"/>
      <c r="J389" s="584"/>
      <c r="K389" s="584"/>
      <c r="L389" s="584"/>
      <c r="M389" s="584"/>
      <c r="N389" s="584"/>
      <c r="O389" s="631" t="s">
        <v>2321</v>
      </c>
      <c r="P389" s="750"/>
      <c r="Q389" s="750"/>
      <c r="R389" s="337"/>
      <c r="S389" s="348">
        <f t="shared" si="140"/>
        <v>0</v>
      </c>
      <c r="T389" s="1025"/>
      <c r="V389" s="328"/>
      <c r="W389" s="318"/>
      <c r="X389" s="384" t="s">
        <v>2321</v>
      </c>
      <c r="Y389" s="337"/>
      <c r="Z389" s="350" t="s">
        <v>2321</v>
      </c>
      <c r="AB389" s="328"/>
      <c r="AC389" s="328"/>
    </row>
    <row r="390" spans="1:29">
      <c r="A390" s="584"/>
      <c r="B390" s="585"/>
      <c r="C390" s="584"/>
      <c r="D390" s="584"/>
      <c r="E390" s="585"/>
      <c r="F390" s="585" t="s">
        <v>384</v>
      </c>
      <c r="G390" s="584" t="s">
        <v>506</v>
      </c>
      <c r="H390" s="584"/>
      <c r="I390" s="584"/>
      <c r="J390" s="584"/>
      <c r="K390" s="584"/>
      <c r="L390" s="584"/>
      <c r="M390" s="584"/>
      <c r="N390" s="584"/>
      <c r="O390" s="631" t="s">
        <v>2321</v>
      </c>
      <c r="P390" s="750"/>
      <c r="Q390" s="750"/>
      <c r="R390" s="337"/>
      <c r="S390" s="348">
        <f t="shared" si="140"/>
        <v>0</v>
      </c>
      <c r="T390" s="1026"/>
      <c r="V390" s="328"/>
      <c r="W390" s="318"/>
      <c r="X390" s="384" t="s">
        <v>2321</v>
      </c>
      <c r="Y390" s="337"/>
      <c r="Z390" s="350" t="s">
        <v>2321</v>
      </c>
      <c r="AB390" s="328"/>
      <c r="AC390" s="328"/>
    </row>
    <row r="391" spans="1:29" ht="20.399999999999999">
      <c r="A391" s="318"/>
      <c r="B391" s="319"/>
      <c r="C391" s="318"/>
      <c r="D391" s="318"/>
      <c r="E391" s="319"/>
      <c r="F391" s="336" t="s">
        <v>604</v>
      </c>
      <c r="G391" s="318" t="s">
        <v>863</v>
      </c>
      <c r="H391" s="318">
        <v>4.8</v>
      </c>
      <c r="I391" s="318">
        <v>1</v>
      </c>
      <c r="J391" s="318">
        <v>1</v>
      </c>
      <c r="K391" s="318">
        <f t="shared" ref="K391:K412" si="142">H391*J391</f>
        <v>4.8</v>
      </c>
      <c r="L391" s="350" t="s">
        <v>3370</v>
      </c>
      <c r="M391" s="350" t="s">
        <v>3404</v>
      </c>
      <c r="N391" s="318">
        <v>1</v>
      </c>
      <c r="O391" s="619">
        <f t="shared" ref="O391:O412" si="143">H391*N391</f>
        <v>4.8</v>
      </c>
      <c r="P391" s="750">
        <v>1</v>
      </c>
      <c r="Q391" s="750"/>
      <c r="R391" s="337">
        <v>1</v>
      </c>
      <c r="S391" s="348">
        <f t="shared" si="140"/>
        <v>4.8</v>
      </c>
      <c r="T391" s="319" t="s">
        <v>3436</v>
      </c>
      <c r="V391" s="328">
        <f t="shared" si="141"/>
        <v>4.49</v>
      </c>
      <c r="W391" s="320"/>
      <c r="X391" s="348">
        <f t="shared" ref="X391:X412" si="144">V391*W391</f>
        <v>0</v>
      </c>
      <c r="Y391" s="330"/>
      <c r="Z391" s="348">
        <f t="shared" ref="Z391:Z412" si="145">V391*Y391</f>
        <v>0</v>
      </c>
      <c r="AB391" s="328">
        <f t="shared" ref="AB391:AB412" si="146">X391-O391</f>
        <v>-4.8</v>
      </c>
      <c r="AC391" s="328">
        <f t="shared" ref="AC391:AC412" si="147">Z391-S391</f>
        <v>-4.8</v>
      </c>
    </row>
    <row r="392" spans="1:29">
      <c r="A392" s="318"/>
      <c r="B392" s="319"/>
      <c r="C392" s="318"/>
      <c r="D392" s="318"/>
      <c r="E392" s="319"/>
      <c r="F392" s="336"/>
      <c r="G392" s="318" t="s">
        <v>864</v>
      </c>
      <c r="H392" s="318">
        <v>4.49</v>
      </c>
      <c r="I392" s="318">
        <v>1</v>
      </c>
      <c r="J392" s="318">
        <f t="shared" ref="J392:J412" si="148">IF(N392&gt;0,1,0)</f>
        <v>1</v>
      </c>
      <c r="K392" s="318">
        <f t="shared" si="142"/>
        <v>4.49</v>
      </c>
      <c r="L392" s="318">
        <v>1255</v>
      </c>
      <c r="M392" s="318" t="s">
        <v>216</v>
      </c>
      <c r="N392" s="318">
        <v>1</v>
      </c>
      <c r="O392" s="619">
        <f t="shared" si="143"/>
        <v>4.49</v>
      </c>
      <c r="P392" s="750">
        <v>1</v>
      </c>
      <c r="Q392" s="750"/>
      <c r="R392" s="337">
        <v>1</v>
      </c>
      <c r="S392" s="348">
        <f t="shared" si="140"/>
        <v>4.49</v>
      </c>
      <c r="T392" s="319"/>
      <c r="V392" s="328">
        <f t="shared" si="141"/>
        <v>4.49</v>
      </c>
      <c r="W392" s="320">
        <v>1</v>
      </c>
      <c r="X392" s="348">
        <f t="shared" si="144"/>
        <v>4.49</v>
      </c>
      <c r="Y392" s="330"/>
      <c r="Z392" s="348">
        <f t="shared" si="145"/>
        <v>0</v>
      </c>
      <c r="AB392" s="328">
        <f t="shared" si="146"/>
        <v>0</v>
      </c>
      <c r="AC392" s="328">
        <f t="shared" si="147"/>
        <v>-4.49</v>
      </c>
    </row>
    <row r="393" spans="1:29">
      <c r="A393" s="318"/>
      <c r="B393" s="319"/>
      <c r="C393" s="318"/>
      <c r="D393" s="318"/>
      <c r="E393" s="319"/>
      <c r="F393" s="319"/>
      <c r="G393" s="318" t="s">
        <v>865</v>
      </c>
      <c r="H393" s="318">
        <v>4.49</v>
      </c>
      <c r="I393" s="318">
        <v>1</v>
      </c>
      <c r="J393" s="318">
        <f t="shared" si="148"/>
        <v>1</v>
      </c>
      <c r="K393" s="318">
        <f t="shared" si="142"/>
        <v>4.49</v>
      </c>
      <c r="L393" s="318">
        <v>1255</v>
      </c>
      <c r="M393" s="318" t="s">
        <v>216</v>
      </c>
      <c r="N393" s="318">
        <v>1</v>
      </c>
      <c r="O393" s="619">
        <f t="shared" si="143"/>
        <v>4.49</v>
      </c>
      <c r="P393" s="750">
        <v>1</v>
      </c>
      <c r="Q393" s="750"/>
      <c r="R393" s="337">
        <v>1</v>
      </c>
      <c r="S393" s="348">
        <f t="shared" si="140"/>
        <v>4.49</v>
      </c>
      <c r="T393" s="319"/>
      <c r="V393" s="328">
        <f t="shared" si="141"/>
        <v>4.49</v>
      </c>
      <c r="W393" s="320">
        <v>1</v>
      </c>
      <c r="X393" s="348">
        <f t="shared" si="144"/>
        <v>4.49</v>
      </c>
      <c r="Y393" s="330"/>
      <c r="Z393" s="348">
        <f t="shared" si="145"/>
        <v>0</v>
      </c>
      <c r="AB393" s="328">
        <f t="shared" si="146"/>
        <v>0</v>
      </c>
      <c r="AC393" s="328">
        <f t="shared" si="147"/>
        <v>-4.49</v>
      </c>
    </row>
    <row r="394" spans="1:29">
      <c r="A394" s="318"/>
      <c r="B394" s="319"/>
      <c r="C394" s="318"/>
      <c r="D394" s="318"/>
      <c r="E394" s="319"/>
      <c r="F394" s="319"/>
      <c r="G394" s="318" t="s">
        <v>866</v>
      </c>
      <c r="H394" s="318">
        <v>4.49</v>
      </c>
      <c r="I394" s="318">
        <v>1</v>
      </c>
      <c r="J394" s="318">
        <f t="shared" si="148"/>
        <v>1</v>
      </c>
      <c r="K394" s="318">
        <f t="shared" si="142"/>
        <v>4.49</v>
      </c>
      <c r="L394" s="350" t="s">
        <v>2721</v>
      </c>
      <c r="M394" s="350" t="s">
        <v>2736</v>
      </c>
      <c r="N394" s="318">
        <v>1</v>
      </c>
      <c r="O394" s="619">
        <f t="shared" si="143"/>
        <v>4.49</v>
      </c>
      <c r="P394" s="750">
        <v>1</v>
      </c>
      <c r="Q394" s="750"/>
      <c r="R394" s="337">
        <v>1</v>
      </c>
      <c r="S394" s="348">
        <f t="shared" si="140"/>
        <v>4.49</v>
      </c>
      <c r="T394" s="319"/>
      <c r="V394" s="328">
        <f t="shared" si="141"/>
        <v>4.49</v>
      </c>
      <c r="W394" s="320">
        <v>1</v>
      </c>
      <c r="X394" s="348">
        <f t="shared" si="144"/>
        <v>4.49</v>
      </c>
      <c r="Y394" s="330">
        <v>1</v>
      </c>
      <c r="Z394" s="348">
        <f t="shared" si="145"/>
        <v>4.49</v>
      </c>
      <c r="AB394" s="328">
        <f t="shared" si="146"/>
        <v>0</v>
      </c>
      <c r="AC394" s="328">
        <f t="shared" si="147"/>
        <v>0</v>
      </c>
    </row>
    <row r="395" spans="1:29">
      <c r="A395" s="318"/>
      <c r="B395" s="319"/>
      <c r="C395" s="318"/>
      <c r="D395" s="318"/>
      <c r="E395" s="319"/>
      <c r="F395" s="319"/>
      <c r="G395" s="318" t="s">
        <v>867</v>
      </c>
      <c r="H395" s="318">
        <v>4.49</v>
      </c>
      <c r="I395" s="318">
        <v>1</v>
      </c>
      <c r="J395" s="318">
        <f t="shared" si="148"/>
        <v>1</v>
      </c>
      <c r="K395" s="318">
        <f t="shared" si="142"/>
        <v>4.49</v>
      </c>
      <c r="L395" s="318">
        <v>1248</v>
      </c>
      <c r="M395" s="318" t="s">
        <v>213</v>
      </c>
      <c r="N395" s="318">
        <v>1</v>
      </c>
      <c r="O395" s="619">
        <f t="shared" si="143"/>
        <v>4.49</v>
      </c>
      <c r="P395" s="750">
        <v>1</v>
      </c>
      <c r="Q395" s="750"/>
      <c r="R395" s="337">
        <v>1</v>
      </c>
      <c r="S395" s="348">
        <f t="shared" si="140"/>
        <v>4.49</v>
      </c>
      <c r="T395" s="319"/>
      <c r="V395" s="328">
        <f t="shared" si="141"/>
        <v>4.49</v>
      </c>
      <c r="W395" s="320">
        <v>1</v>
      </c>
      <c r="X395" s="348">
        <f t="shared" si="144"/>
        <v>4.49</v>
      </c>
      <c r="Y395" s="330">
        <v>1</v>
      </c>
      <c r="Z395" s="348">
        <f t="shared" si="145"/>
        <v>4.49</v>
      </c>
      <c r="AB395" s="328">
        <f t="shared" si="146"/>
        <v>0</v>
      </c>
      <c r="AC395" s="328">
        <f t="shared" si="147"/>
        <v>0</v>
      </c>
    </row>
    <row r="396" spans="1:29">
      <c r="A396" s="318"/>
      <c r="B396" s="319"/>
      <c r="C396" s="318"/>
      <c r="D396" s="318"/>
      <c r="E396" s="319"/>
      <c r="F396" s="336" t="s">
        <v>696</v>
      </c>
      <c r="G396" s="318" t="s">
        <v>868</v>
      </c>
      <c r="H396" s="318">
        <v>4.9800000000000004</v>
      </c>
      <c r="I396" s="318">
        <v>1</v>
      </c>
      <c r="J396" s="318">
        <f t="shared" si="148"/>
        <v>1</v>
      </c>
      <c r="K396" s="318">
        <f t="shared" si="142"/>
        <v>4.9800000000000004</v>
      </c>
      <c r="L396" s="318" t="s">
        <v>312</v>
      </c>
      <c r="M396" s="318" t="s">
        <v>313</v>
      </c>
      <c r="N396" s="318">
        <v>1</v>
      </c>
      <c r="O396" s="619">
        <f t="shared" si="143"/>
        <v>4.9800000000000004</v>
      </c>
      <c r="P396" s="750">
        <v>1</v>
      </c>
      <c r="Q396" s="750"/>
      <c r="R396" s="337">
        <v>1</v>
      </c>
      <c r="S396" s="348">
        <f t="shared" si="140"/>
        <v>4.9800000000000004</v>
      </c>
      <c r="T396" s="319"/>
      <c r="V396" s="328">
        <f>1.8+3.805-0.6</f>
        <v>5.0050000000000008</v>
      </c>
      <c r="W396" s="320">
        <v>1</v>
      </c>
      <c r="X396" s="348">
        <f t="shared" si="144"/>
        <v>5.0050000000000008</v>
      </c>
      <c r="Y396" s="330">
        <v>1</v>
      </c>
      <c r="Z396" s="348">
        <f t="shared" si="145"/>
        <v>5.0050000000000008</v>
      </c>
      <c r="AB396" s="328">
        <f t="shared" si="146"/>
        <v>2.5000000000000355E-2</v>
      </c>
      <c r="AC396" s="328">
        <f t="shared" si="147"/>
        <v>2.5000000000000355E-2</v>
      </c>
    </row>
    <row r="397" spans="1:29">
      <c r="A397" s="318"/>
      <c r="B397" s="319"/>
      <c r="C397" s="318"/>
      <c r="D397" s="318"/>
      <c r="E397" s="319"/>
      <c r="F397" s="336"/>
      <c r="G397" s="318" t="s">
        <v>869</v>
      </c>
      <c r="H397" s="319">
        <v>4.3499999999999996</v>
      </c>
      <c r="I397" s="318">
        <v>1</v>
      </c>
      <c r="J397" s="318">
        <f t="shared" si="148"/>
        <v>1</v>
      </c>
      <c r="K397" s="318">
        <f t="shared" si="142"/>
        <v>4.3499999999999996</v>
      </c>
      <c r="L397" s="318">
        <v>1255</v>
      </c>
      <c r="M397" s="318" t="s">
        <v>216</v>
      </c>
      <c r="N397" s="318">
        <v>1</v>
      </c>
      <c r="O397" s="619">
        <f t="shared" si="143"/>
        <v>4.3499999999999996</v>
      </c>
      <c r="P397" s="750">
        <v>1</v>
      </c>
      <c r="Q397" s="750"/>
      <c r="R397" s="337">
        <v>1</v>
      </c>
      <c r="S397" s="348">
        <f t="shared" si="140"/>
        <v>4.3499999999999996</v>
      </c>
      <c r="T397" s="319"/>
      <c r="V397" s="333">
        <v>4.34</v>
      </c>
      <c r="W397" s="320">
        <v>1</v>
      </c>
      <c r="X397" s="348">
        <f t="shared" si="144"/>
        <v>4.34</v>
      </c>
      <c r="Y397" s="330">
        <v>1</v>
      </c>
      <c r="Z397" s="348">
        <f t="shared" si="145"/>
        <v>4.34</v>
      </c>
      <c r="AB397" s="333">
        <f t="shared" si="146"/>
        <v>-9.9999999999997868E-3</v>
      </c>
      <c r="AC397" s="333">
        <f t="shared" si="147"/>
        <v>-9.9999999999997868E-3</v>
      </c>
    </row>
    <row r="398" spans="1:29">
      <c r="A398" s="318"/>
      <c r="B398" s="319"/>
      <c r="C398" s="318"/>
      <c r="D398" s="318"/>
      <c r="E398" s="319"/>
      <c r="F398" s="336"/>
      <c r="G398" s="318" t="s">
        <v>870</v>
      </c>
      <c r="H398" s="319">
        <v>4.3499999999999996</v>
      </c>
      <c r="I398" s="318">
        <v>1</v>
      </c>
      <c r="J398" s="318">
        <f t="shared" si="148"/>
        <v>1</v>
      </c>
      <c r="K398" s="318">
        <f t="shared" si="142"/>
        <v>4.3499999999999996</v>
      </c>
      <c r="L398" s="318">
        <v>1248</v>
      </c>
      <c r="M398" s="318" t="s">
        <v>213</v>
      </c>
      <c r="N398" s="318">
        <v>1</v>
      </c>
      <c r="O398" s="619">
        <f t="shared" si="143"/>
        <v>4.3499999999999996</v>
      </c>
      <c r="P398" s="750">
        <v>1</v>
      </c>
      <c r="Q398" s="750"/>
      <c r="R398" s="337">
        <v>1</v>
      </c>
      <c r="S398" s="348">
        <f t="shared" si="140"/>
        <v>4.3499999999999996</v>
      </c>
      <c r="T398" s="319"/>
      <c r="V398" s="333">
        <v>4.34</v>
      </c>
      <c r="W398" s="320">
        <v>1</v>
      </c>
      <c r="X398" s="348">
        <f t="shared" si="144"/>
        <v>4.34</v>
      </c>
      <c r="Y398" s="330">
        <v>1</v>
      </c>
      <c r="Z398" s="348">
        <f t="shared" si="145"/>
        <v>4.34</v>
      </c>
      <c r="AB398" s="333">
        <f t="shared" si="146"/>
        <v>-9.9999999999997868E-3</v>
      </c>
      <c r="AC398" s="333">
        <f t="shared" si="147"/>
        <v>-9.9999999999997868E-3</v>
      </c>
    </row>
    <row r="399" spans="1:29">
      <c r="A399" s="318"/>
      <c r="B399" s="319"/>
      <c r="C399" s="318"/>
      <c r="D399" s="318"/>
      <c r="E399" s="319"/>
      <c r="F399" s="319"/>
      <c r="G399" s="318" t="s">
        <v>871</v>
      </c>
      <c r="H399" s="319">
        <v>4.3499999999999996</v>
      </c>
      <c r="I399" s="318">
        <v>1</v>
      </c>
      <c r="J399" s="318">
        <f t="shared" si="148"/>
        <v>1</v>
      </c>
      <c r="K399" s="318">
        <f t="shared" si="142"/>
        <v>4.3499999999999996</v>
      </c>
      <c r="L399" s="318">
        <v>1248</v>
      </c>
      <c r="M399" s="318" t="s">
        <v>213</v>
      </c>
      <c r="N399" s="318">
        <v>1</v>
      </c>
      <c r="O399" s="619">
        <f t="shared" si="143"/>
        <v>4.3499999999999996</v>
      </c>
      <c r="P399" s="750">
        <v>1</v>
      </c>
      <c r="Q399" s="750"/>
      <c r="R399" s="337">
        <v>1</v>
      </c>
      <c r="S399" s="348">
        <f t="shared" si="140"/>
        <v>4.3499999999999996</v>
      </c>
      <c r="T399" s="319"/>
      <c r="V399" s="333">
        <v>4.34</v>
      </c>
      <c r="W399" s="320">
        <v>1</v>
      </c>
      <c r="X399" s="348">
        <f t="shared" si="144"/>
        <v>4.34</v>
      </c>
      <c r="Y399" s="330">
        <v>1</v>
      </c>
      <c r="Z399" s="348">
        <f t="shared" si="145"/>
        <v>4.34</v>
      </c>
      <c r="AB399" s="333">
        <f t="shared" si="146"/>
        <v>-9.9999999999997868E-3</v>
      </c>
      <c r="AC399" s="333">
        <f t="shared" si="147"/>
        <v>-9.9999999999997868E-3</v>
      </c>
    </row>
    <row r="400" spans="1:29">
      <c r="A400" s="318"/>
      <c r="B400" s="319"/>
      <c r="C400" s="318"/>
      <c r="D400" s="318"/>
      <c r="E400" s="319"/>
      <c r="F400" s="319"/>
      <c r="G400" s="318" t="s">
        <v>872</v>
      </c>
      <c r="H400" s="319">
        <v>4.3499999999999996</v>
      </c>
      <c r="I400" s="318">
        <v>1</v>
      </c>
      <c r="J400" s="318">
        <f t="shared" si="148"/>
        <v>1</v>
      </c>
      <c r="K400" s="318">
        <f t="shared" si="142"/>
        <v>4.3499999999999996</v>
      </c>
      <c r="L400" s="318">
        <v>1255</v>
      </c>
      <c r="M400" s="318" t="s">
        <v>216</v>
      </c>
      <c r="N400" s="318">
        <v>1</v>
      </c>
      <c r="O400" s="619">
        <f t="shared" si="143"/>
        <v>4.3499999999999996</v>
      </c>
      <c r="P400" s="750">
        <v>1</v>
      </c>
      <c r="Q400" s="750"/>
      <c r="R400" s="337">
        <v>1</v>
      </c>
      <c r="S400" s="348">
        <f t="shared" si="140"/>
        <v>4.3499999999999996</v>
      </c>
      <c r="T400" s="319"/>
      <c r="V400" s="333">
        <v>4.34</v>
      </c>
      <c r="W400" s="320">
        <v>1</v>
      </c>
      <c r="X400" s="348">
        <f t="shared" si="144"/>
        <v>4.34</v>
      </c>
      <c r="Y400" s="330">
        <v>1</v>
      </c>
      <c r="Z400" s="348">
        <f t="shared" si="145"/>
        <v>4.34</v>
      </c>
      <c r="AB400" s="333">
        <f t="shared" si="146"/>
        <v>-9.9999999999997868E-3</v>
      </c>
      <c r="AC400" s="333">
        <f t="shared" si="147"/>
        <v>-9.9999999999997868E-3</v>
      </c>
    </row>
    <row r="401" spans="1:29">
      <c r="A401" s="318"/>
      <c r="B401" s="319"/>
      <c r="C401" s="318"/>
      <c r="D401" s="318"/>
      <c r="E401" s="319"/>
      <c r="F401" s="336" t="s">
        <v>696</v>
      </c>
      <c r="G401" s="318" t="s">
        <v>873</v>
      </c>
      <c r="H401" s="318">
        <v>5.17</v>
      </c>
      <c r="I401" s="318">
        <v>1</v>
      </c>
      <c r="J401" s="318">
        <f t="shared" si="148"/>
        <v>1</v>
      </c>
      <c r="K401" s="318">
        <f t="shared" si="142"/>
        <v>5.17</v>
      </c>
      <c r="L401" s="318" t="s">
        <v>310</v>
      </c>
      <c r="M401" s="318" t="s">
        <v>311</v>
      </c>
      <c r="N401" s="318">
        <v>1</v>
      </c>
      <c r="O401" s="619">
        <f t="shared" si="143"/>
        <v>5.17</v>
      </c>
      <c r="P401" s="750">
        <v>1</v>
      </c>
      <c r="Q401" s="750"/>
      <c r="R401" s="337">
        <v>1</v>
      </c>
      <c r="S401" s="348">
        <f t="shared" si="140"/>
        <v>5.17</v>
      </c>
      <c r="T401" s="319"/>
      <c r="V401" s="328">
        <f>3.995+1.8-0.6</f>
        <v>5.1950000000000003</v>
      </c>
      <c r="W401" s="320">
        <v>1</v>
      </c>
      <c r="X401" s="348">
        <f t="shared" si="144"/>
        <v>5.1950000000000003</v>
      </c>
      <c r="Y401" s="330">
        <v>1</v>
      </c>
      <c r="Z401" s="348">
        <f t="shared" si="145"/>
        <v>5.1950000000000003</v>
      </c>
      <c r="AB401" s="328">
        <f t="shared" si="146"/>
        <v>2.5000000000000355E-2</v>
      </c>
      <c r="AC401" s="328">
        <f t="shared" si="147"/>
        <v>2.5000000000000355E-2</v>
      </c>
    </row>
    <row r="402" spans="1:29" ht="14.4" customHeight="1">
      <c r="A402" s="318"/>
      <c r="B402" s="319"/>
      <c r="C402" s="318"/>
      <c r="D402" s="318"/>
      <c r="E402" s="319"/>
      <c r="F402" s="319"/>
      <c r="G402" s="318" t="s">
        <v>874</v>
      </c>
      <c r="H402" s="318">
        <v>4.49</v>
      </c>
      <c r="I402" s="318">
        <v>1</v>
      </c>
      <c r="J402" s="318">
        <f t="shared" si="148"/>
        <v>1</v>
      </c>
      <c r="K402" s="318">
        <f t="shared" si="142"/>
        <v>4.49</v>
      </c>
      <c r="L402" s="318">
        <v>1255</v>
      </c>
      <c r="M402" s="318" t="s">
        <v>216</v>
      </c>
      <c r="N402" s="318">
        <v>1</v>
      </c>
      <c r="O402" s="619">
        <f t="shared" si="143"/>
        <v>4.49</v>
      </c>
      <c r="P402" s="750">
        <v>1</v>
      </c>
      <c r="Q402" s="750"/>
      <c r="R402" s="337">
        <v>1</v>
      </c>
      <c r="S402" s="348">
        <f t="shared" si="140"/>
        <v>4.49</v>
      </c>
      <c r="T402" s="319"/>
      <c r="V402" s="328">
        <v>4.49</v>
      </c>
      <c r="W402" s="320">
        <v>1</v>
      </c>
      <c r="X402" s="348">
        <f t="shared" si="144"/>
        <v>4.49</v>
      </c>
      <c r="Y402" s="330">
        <v>1</v>
      </c>
      <c r="Z402" s="348">
        <f t="shared" si="145"/>
        <v>4.49</v>
      </c>
      <c r="AB402" s="328">
        <f t="shared" si="146"/>
        <v>0</v>
      </c>
      <c r="AC402" s="328">
        <f t="shared" si="147"/>
        <v>0</v>
      </c>
    </row>
    <row r="403" spans="1:29">
      <c r="A403" s="318"/>
      <c r="B403" s="319"/>
      <c r="C403" s="318"/>
      <c r="D403" s="318"/>
      <c r="E403" s="319"/>
      <c r="F403" s="319"/>
      <c r="G403" s="318" t="s">
        <v>875</v>
      </c>
      <c r="H403" s="318">
        <v>4.49</v>
      </c>
      <c r="I403" s="318">
        <v>1</v>
      </c>
      <c r="J403" s="318">
        <f t="shared" si="148"/>
        <v>1</v>
      </c>
      <c r="K403" s="318">
        <f t="shared" si="142"/>
        <v>4.49</v>
      </c>
      <c r="L403" s="318">
        <v>1261</v>
      </c>
      <c r="M403" s="318" t="s">
        <v>218</v>
      </c>
      <c r="N403" s="318">
        <v>1</v>
      </c>
      <c r="O403" s="619">
        <f t="shared" si="143"/>
        <v>4.49</v>
      </c>
      <c r="P403" s="750">
        <v>1</v>
      </c>
      <c r="Q403" s="750"/>
      <c r="R403" s="337">
        <v>1</v>
      </c>
      <c r="S403" s="348">
        <f t="shared" si="140"/>
        <v>4.49</v>
      </c>
      <c r="T403" s="319"/>
      <c r="V403" s="328">
        <v>4.49</v>
      </c>
      <c r="W403" s="320">
        <v>1</v>
      </c>
      <c r="X403" s="348">
        <f t="shared" si="144"/>
        <v>4.49</v>
      </c>
      <c r="Y403" s="330">
        <v>1</v>
      </c>
      <c r="Z403" s="348">
        <f t="shared" si="145"/>
        <v>4.49</v>
      </c>
      <c r="AB403" s="328">
        <f t="shared" si="146"/>
        <v>0</v>
      </c>
      <c r="AC403" s="328">
        <f t="shared" si="147"/>
        <v>0</v>
      </c>
    </row>
    <row r="404" spans="1:29">
      <c r="A404" s="318"/>
      <c r="B404" s="319"/>
      <c r="C404" s="318"/>
      <c r="D404" s="318"/>
      <c r="E404" s="319"/>
      <c r="F404" s="319"/>
      <c r="G404" s="318" t="s">
        <v>876</v>
      </c>
      <c r="H404" s="318">
        <v>4.49</v>
      </c>
      <c r="I404" s="318">
        <v>1</v>
      </c>
      <c r="J404" s="318">
        <f t="shared" si="148"/>
        <v>1</v>
      </c>
      <c r="K404" s="318">
        <f t="shared" si="142"/>
        <v>4.49</v>
      </c>
      <c r="L404" s="318">
        <v>1248</v>
      </c>
      <c r="M404" s="318" t="s">
        <v>213</v>
      </c>
      <c r="N404" s="318">
        <v>1</v>
      </c>
      <c r="O404" s="619">
        <f t="shared" si="143"/>
        <v>4.49</v>
      </c>
      <c r="P404" s="750">
        <v>1</v>
      </c>
      <c r="Q404" s="750"/>
      <c r="R404" s="337">
        <v>1</v>
      </c>
      <c r="S404" s="348">
        <f t="shared" si="140"/>
        <v>4.49</v>
      </c>
      <c r="T404" s="319"/>
      <c r="V404" s="328">
        <v>4.49</v>
      </c>
      <c r="W404" s="320">
        <v>1</v>
      </c>
      <c r="X404" s="348">
        <f t="shared" si="144"/>
        <v>4.49</v>
      </c>
      <c r="Y404" s="330">
        <v>1</v>
      </c>
      <c r="Z404" s="348">
        <f t="shared" si="145"/>
        <v>4.49</v>
      </c>
      <c r="AB404" s="328">
        <f t="shared" si="146"/>
        <v>0</v>
      </c>
      <c r="AC404" s="328">
        <f t="shared" si="147"/>
        <v>0</v>
      </c>
    </row>
    <row r="405" spans="1:29">
      <c r="A405" s="318"/>
      <c r="B405" s="319"/>
      <c r="C405" s="318"/>
      <c r="D405" s="318"/>
      <c r="E405" s="319"/>
      <c r="F405" s="319"/>
      <c r="G405" s="318" t="s">
        <v>877</v>
      </c>
      <c r="H405" s="318">
        <v>4.49</v>
      </c>
      <c r="I405" s="318">
        <v>1</v>
      </c>
      <c r="J405" s="318">
        <f t="shared" si="148"/>
        <v>1</v>
      </c>
      <c r="K405" s="318">
        <f t="shared" si="142"/>
        <v>4.49</v>
      </c>
      <c r="L405" s="318">
        <v>1255</v>
      </c>
      <c r="M405" s="318" t="s">
        <v>216</v>
      </c>
      <c r="N405" s="318">
        <v>1</v>
      </c>
      <c r="O405" s="619">
        <f t="shared" si="143"/>
        <v>4.49</v>
      </c>
      <c r="P405" s="750">
        <v>1</v>
      </c>
      <c r="Q405" s="750"/>
      <c r="R405" s="337">
        <v>1</v>
      </c>
      <c r="S405" s="348">
        <f t="shared" si="140"/>
        <v>4.49</v>
      </c>
      <c r="T405" s="319"/>
      <c r="V405" s="328">
        <v>4.49</v>
      </c>
      <c r="W405" s="320">
        <v>1</v>
      </c>
      <c r="X405" s="348">
        <f t="shared" si="144"/>
        <v>4.49</v>
      </c>
      <c r="Y405" s="330">
        <v>1</v>
      </c>
      <c r="Z405" s="348">
        <f t="shared" si="145"/>
        <v>4.49</v>
      </c>
      <c r="AB405" s="328">
        <f t="shared" si="146"/>
        <v>0</v>
      </c>
      <c r="AC405" s="328">
        <f t="shared" si="147"/>
        <v>0</v>
      </c>
    </row>
    <row r="406" spans="1:29">
      <c r="A406" s="318"/>
      <c r="B406" s="319"/>
      <c r="C406" s="318"/>
      <c r="D406" s="318"/>
      <c r="E406" s="319"/>
      <c r="F406" s="336"/>
      <c r="G406" s="318" t="s">
        <v>878</v>
      </c>
      <c r="H406" s="318">
        <v>4.49</v>
      </c>
      <c r="I406" s="318">
        <v>1</v>
      </c>
      <c r="J406" s="318">
        <f t="shared" si="148"/>
        <v>1</v>
      </c>
      <c r="K406" s="318">
        <f t="shared" si="142"/>
        <v>4.49</v>
      </c>
      <c r="L406" s="318">
        <v>1255</v>
      </c>
      <c r="M406" s="318" t="s">
        <v>216</v>
      </c>
      <c r="N406" s="318">
        <v>1</v>
      </c>
      <c r="O406" s="619">
        <f t="shared" si="143"/>
        <v>4.49</v>
      </c>
      <c r="P406" s="750">
        <v>1</v>
      </c>
      <c r="Q406" s="750"/>
      <c r="R406" s="337">
        <v>1</v>
      </c>
      <c r="S406" s="348">
        <f t="shared" si="140"/>
        <v>4.49</v>
      </c>
      <c r="T406" s="319"/>
      <c r="V406" s="328">
        <v>4.49</v>
      </c>
      <c r="W406" s="320">
        <v>1</v>
      </c>
      <c r="X406" s="348">
        <f t="shared" si="144"/>
        <v>4.49</v>
      </c>
      <c r="Y406" s="330">
        <v>1</v>
      </c>
      <c r="Z406" s="348">
        <f t="shared" si="145"/>
        <v>4.49</v>
      </c>
      <c r="AB406" s="328">
        <f t="shared" si="146"/>
        <v>0</v>
      </c>
      <c r="AC406" s="328">
        <f t="shared" si="147"/>
        <v>0</v>
      </c>
    </row>
    <row r="407" spans="1:29">
      <c r="A407" s="318"/>
      <c r="B407" s="319"/>
      <c r="C407" s="318"/>
      <c r="D407" s="318"/>
      <c r="E407" s="319"/>
      <c r="F407" s="319"/>
      <c r="G407" s="318" t="s">
        <v>879</v>
      </c>
      <c r="H407" s="318">
        <v>4.49</v>
      </c>
      <c r="I407" s="318">
        <v>1</v>
      </c>
      <c r="J407" s="318">
        <f t="shared" si="148"/>
        <v>1</v>
      </c>
      <c r="K407" s="318">
        <f t="shared" si="142"/>
        <v>4.49</v>
      </c>
      <c r="L407" s="318">
        <v>1252</v>
      </c>
      <c r="M407" s="318" t="s">
        <v>214</v>
      </c>
      <c r="N407" s="318">
        <v>1</v>
      </c>
      <c r="O407" s="619">
        <f t="shared" si="143"/>
        <v>4.49</v>
      </c>
      <c r="P407" s="750">
        <v>1</v>
      </c>
      <c r="Q407" s="750"/>
      <c r="R407" s="337">
        <v>1</v>
      </c>
      <c r="S407" s="348">
        <f t="shared" si="140"/>
        <v>4.49</v>
      </c>
      <c r="T407" s="319"/>
      <c r="V407" s="328">
        <v>4.49</v>
      </c>
      <c r="W407" s="320">
        <v>1</v>
      </c>
      <c r="X407" s="348">
        <f t="shared" si="144"/>
        <v>4.49</v>
      </c>
      <c r="Y407" s="330">
        <v>1</v>
      </c>
      <c r="Z407" s="348">
        <f t="shared" si="145"/>
        <v>4.49</v>
      </c>
      <c r="AB407" s="328">
        <f t="shared" si="146"/>
        <v>0</v>
      </c>
      <c r="AC407" s="328">
        <f t="shared" si="147"/>
        <v>0</v>
      </c>
    </row>
    <row r="408" spans="1:29">
      <c r="A408" s="318"/>
      <c r="B408" s="319"/>
      <c r="C408" s="318"/>
      <c r="D408" s="318"/>
      <c r="E408" s="319"/>
      <c r="F408" s="319"/>
      <c r="G408" s="318" t="s">
        <v>880</v>
      </c>
      <c r="H408" s="318">
        <v>4.49</v>
      </c>
      <c r="I408" s="318">
        <v>1</v>
      </c>
      <c r="J408" s="318">
        <f t="shared" si="148"/>
        <v>1</v>
      </c>
      <c r="K408" s="318">
        <f t="shared" si="142"/>
        <v>4.49</v>
      </c>
      <c r="L408" s="318">
        <v>1252</v>
      </c>
      <c r="M408" s="318" t="s">
        <v>214</v>
      </c>
      <c r="N408" s="318">
        <v>1</v>
      </c>
      <c r="O408" s="619">
        <f t="shared" si="143"/>
        <v>4.49</v>
      </c>
      <c r="P408" s="750">
        <v>1</v>
      </c>
      <c r="Q408" s="750"/>
      <c r="R408" s="337">
        <v>1</v>
      </c>
      <c r="S408" s="348">
        <f t="shared" si="140"/>
        <v>4.49</v>
      </c>
      <c r="T408" s="319"/>
      <c r="V408" s="328">
        <v>4.49</v>
      </c>
      <c r="W408" s="320">
        <v>1</v>
      </c>
      <c r="X408" s="348">
        <f t="shared" si="144"/>
        <v>4.49</v>
      </c>
      <c r="Y408" s="330">
        <v>1</v>
      </c>
      <c r="Z408" s="348">
        <f t="shared" si="145"/>
        <v>4.49</v>
      </c>
      <c r="AB408" s="328">
        <f t="shared" si="146"/>
        <v>0</v>
      </c>
      <c r="AC408" s="328">
        <f t="shared" si="147"/>
        <v>0</v>
      </c>
    </row>
    <row r="409" spans="1:29">
      <c r="A409" s="318"/>
      <c r="B409" s="319"/>
      <c r="C409" s="318"/>
      <c r="D409" s="318"/>
      <c r="E409" s="319"/>
      <c r="F409" s="319"/>
      <c r="G409" s="318" t="s">
        <v>881</v>
      </c>
      <c r="H409" s="318">
        <v>4.49</v>
      </c>
      <c r="I409" s="318">
        <v>1</v>
      </c>
      <c r="J409" s="318">
        <f t="shared" si="148"/>
        <v>1</v>
      </c>
      <c r="K409" s="318">
        <f t="shared" si="142"/>
        <v>4.49</v>
      </c>
      <c r="L409" s="318">
        <v>1252</v>
      </c>
      <c r="M409" s="318" t="s">
        <v>214</v>
      </c>
      <c r="N409" s="318">
        <v>1</v>
      </c>
      <c r="O409" s="619">
        <f t="shared" si="143"/>
        <v>4.49</v>
      </c>
      <c r="P409" s="750">
        <v>1</v>
      </c>
      <c r="Q409" s="750"/>
      <c r="R409" s="337">
        <v>1</v>
      </c>
      <c r="S409" s="348">
        <f t="shared" si="140"/>
        <v>4.49</v>
      </c>
      <c r="T409" s="319"/>
      <c r="V409" s="328">
        <v>4.49</v>
      </c>
      <c r="W409" s="320">
        <v>1</v>
      </c>
      <c r="X409" s="348">
        <f t="shared" si="144"/>
        <v>4.49</v>
      </c>
      <c r="Y409" s="330">
        <v>1</v>
      </c>
      <c r="Z409" s="348">
        <f t="shared" si="145"/>
        <v>4.49</v>
      </c>
      <c r="AB409" s="328">
        <f t="shared" si="146"/>
        <v>0</v>
      </c>
      <c r="AC409" s="328">
        <f t="shared" si="147"/>
        <v>0</v>
      </c>
    </row>
    <row r="410" spans="1:29">
      <c r="A410" s="318"/>
      <c r="B410" s="319"/>
      <c r="C410" s="318"/>
      <c r="D410" s="318"/>
      <c r="E410" s="319"/>
      <c r="F410" s="319"/>
      <c r="G410" s="318" t="s">
        <v>882</v>
      </c>
      <c r="H410" s="318">
        <v>4.49</v>
      </c>
      <c r="I410" s="318">
        <v>1</v>
      </c>
      <c r="J410" s="318">
        <f t="shared" si="148"/>
        <v>1</v>
      </c>
      <c r="K410" s="318">
        <f t="shared" si="142"/>
        <v>4.49</v>
      </c>
      <c r="L410" s="318">
        <v>1252</v>
      </c>
      <c r="M410" s="318" t="s">
        <v>214</v>
      </c>
      <c r="N410" s="318">
        <v>1</v>
      </c>
      <c r="O410" s="619">
        <f t="shared" si="143"/>
        <v>4.49</v>
      </c>
      <c r="P410" s="750">
        <v>1</v>
      </c>
      <c r="Q410" s="750"/>
      <c r="R410" s="337">
        <v>1</v>
      </c>
      <c r="S410" s="348">
        <f t="shared" si="140"/>
        <v>4.49</v>
      </c>
      <c r="T410" s="319"/>
      <c r="V410" s="328">
        <v>4.49</v>
      </c>
      <c r="W410" s="320">
        <v>1</v>
      </c>
      <c r="X410" s="348">
        <f t="shared" si="144"/>
        <v>4.49</v>
      </c>
      <c r="Y410" s="330">
        <v>1</v>
      </c>
      <c r="Z410" s="348">
        <f t="shared" si="145"/>
        <v>4.49</v>
      </c>
      <c r="AB410" s="328">
        <f t="shared" si="146"/>
        <v>0</v>
      </c>
      <c r="AC410" s="328">
        <f t="shared" si="147"/>
        <v>0</v>
      </c>
    </row>
    <row r="411" spans="1:29">
      <c r="A411" s="318"/>
      <c r="B411" s="319"/>
      <c r="C411" s="318"/>
      <c r="D411" s="318"/>
      <c r="E411" s="319"/>
      <c r="F411" s="319"/>
      <c r="G411" s="318" t="s">
        <v>883</v>
      </c>
      <c r="H411" s="318">
        <v>2.59</v>
      </c>
      <c r="I411" s="318">
        <v>1</v>
      </c>
      <c r="J411" s="318">
        <f t="shared" si="148"/>
        <v>1</v>
      </c>
      <c r="K411" s="318">
        <f t="shared" si="142"/>
        <v>2.59</v>
      </c>
      <c r="L411" s="318">
        <v>1553</v>
      </c>
      <c r="M411" s="318">
        <v>132</v>
      </c>
      <c r="N411" s="318">
        <v>1</v>
      </c>
      <c r="O411" s="619">
        <f t="shared" si="143"/>
        <v>2.59</v>
      </c>
      <c r="P411" s="750">
        <v>1</v>
      </c>
      <c r="Q411" s="750"/>
      <c r="R411" s="337">
        <v>1</v>
      </c>
      <c r="S411" s="348">
        <f t="shared" si="140"/>
        <v>2.59</v>
      </c>
      <c r="T411" s="319"/>
      <c r="V411" s="328">
        <v>2.5830000000000002</v>
      </c>
      <c r="W411" s="320">
        <v>1</v>
      </c>
      <c r="X411" s="348">
        <f t="shared" si="144"/>
        <v>2.5830000000000002</v>
      </c>
      <c r="Y411" s="330">
        <v>1</v>
      </c>
      <c r="Z411" s="348">
        <f t="shared" si="145"/>
        <v>2.5830000000000002</v>
      </c>
      <c r="AB411" s="328">
        <f t="shared" si="146"/>
        <v>-6.9999999999996732E-3</v>
      </c>
      <c r="AC411" s="328">
        <f t="shared" si="147"/>
        <v>-6.9999999999996732E-3</v>
      </c>
    </row>
    <row r="412" spans="1:29">
      <c r="A412" s="318"/>
      <c r="B412" s="319"/>
      <c r="C412" s="318"/>
      <c r="D412" s="318"/>
      <c r="E412" s="319"/>
      <c r="F412" s="336" t="s">
        <v>721</v>
      </c>
      <c r="G412" s="318" t="s">
        <v>884</v>
      </c>
      <c r="H412" s="318">
        <v>4.24</v>
      </c>
      <c r="I412" s="318">
        <v>1</v>
      </c>
      <c r="J412" s="318">
        <f t="shared" si="148"/>
        <v>1</v>
      </c>
      <c r="K412" s="318">
        <f t="shared" si="142"/>
        <v>4.24</v>
      </c>
      <c r="L412" s="318">
        <v>1486</v>
      </c>
      <c r="M412" s="318">
        <v>123</v>
      </c>
      <c r="N412" s="318">
        <v>1</v>
      </c>
      <c r="O412" s="619">
        <f t="shared" si="143"/>
        <v>4.24</v>
      </c>
      <c r="P412" s="750">
        <v>1</v>
      </c>
      <c r="Q412" s="750"/>
      <c r="R412" s="337">
        <v>1</v>
      </c>
      <c r="S412" s="348">
        <f t="shared" si="140"/>
        <v>4.24</v>
      </c>
      <c r="T412" s="319"/>
      <c r="V412" s="328">
        <f>2.583+2.355</f>
        <v>4.9380000000000006</v>
      </c>
      <c r="W412" s="320">
        <v>1</v>
      </c>
      <c r="X412" s="348">
        <f t="shared" si="144"/>
        <v>4.9380000000000006</v>
      </c>
      <c r="Y412" s="330">
        <v>1</v>
      </c>
      <c r="Z412" s="348">
        <f t="shared" si="145"/>
        <v>4.9380000000000006</v>
      </c>
      <c r="AB412" s="328">
        <f t="shared" si="146"/>
        <v>0.6980000000000004</v>
      </c>
      <c r="AC412" s="328">
        <f t="shared" si="147"/>
        <v>0.6980000000000004</v>
      </c>
    </row>
    <row r="413" spans="1:29">
      <c r="A413" s="318"/>
      <c r="B413" s="319"/>
      <c r="C413" s="318"/>
      <c r="D413" s="318"/>
      <c r="E413" s="319"/>
      <c r="F413" s="319"/>
      <c r="G413" s="318"/>
      <c r="H413" s="318"/>
      <c r="I413" s="318"/>
      <c r="J413" s="382" t="s">
        <v>389</v>
      </c>
      <c r="K413" s="321">
        <f>SUM(K379:K412)</f>
        <v>127.29999999999995</v>
      </c>
      <c r="L413" s="318"/>
      <c r="M413" s="318"/>
      <c r="N413" s="382" t="s">
        <v>389</v>
      </c>
      <c r="O413" s="748">
        <f>SUM(O379:O412)</f>
        <v>127.29999999999995</v>
      </c>
      <c r="P413" s="751" t="s">
        <v>389</v>
      </c>
      <c r="Q413" s="751"/>
      <c r="R413" s="382"/>
      <c r="S413" s="321">
        <f>SUM(S379:S412)</f>
        <v>127.29999999999995</v>
      </c>
      <c r="T413" s="319"/>
      <c r="V413" s="328"/>
      <c r="W413" s="321" t="s">
        <v>389</v>
      </c>
      <c r="X413" s="338">
        <f>SUM(X379:X412)</f>
        <v>119.52999999999997</v>
      </c>
      <c r="Y413" s="321" t="s">
        <v>389</v>
      </c>
      <c r="Z413" s="321">
        <f>SUM(Z379:Z412)</f>
        <v>110.54999999999998</v>
      </c>
      <c r="AB413" s="328"/>
      <c r="AC413" s="328"/>
    </row>
    <row r="414" spans="1:29" ht="6.75" customHeight="1">
      <c r="A414" s="316"/>
      <c r="B414" s="317"/>
      <c r="C414" s="316"/>
      <c r="D414" s="316"/>
      <c r="E414" s="317"/>
      <c r="F414" s="317"/>
      <c r="G414" s="316"/>
      <c r="H414" s="316"/>
      <c r="I414" s="316"/>
      <c r="J414" s="316"/>
      <c r="K414" s="316"/>
      <c r="L414" s="316"/>
      <c r="M414" s="316"/>
      <c r="N414" s="316"/>
      <c r="O414" s="749"/>
      <c r="P414" s="633"/>
      <c r="Q414" s="633"/>
      <c r="R414" s="949"/>
      <c r="S414" s="339"/>
      <c r="T414" s="317"/>
      <c r="V414" s="332"/>
      <c r="W414" s="316"/>
      <c r="X414" s="339"/>
      <c r="Y414" s="316"/>
      <c r="Z414" s="339"/>
      <c r="AB414" s="332"/>
      <c r="AC414" s="332"/>
    </row>
    <row r="415" spans="1:29">
      <c r="A415" s="318">
        <v>11</v>
      </c>
      <c r="B415" s="319" t="s">
        <v>383</v>
      </c>
      <c r="C415" s="318">
        <v>600</v>
      </c>
      <c r="D415" s="318">
        <v>16</v>
      </c>
      <c r="E415" s="319">
        <v>1</v>
      </c>
      <c r="F415" s="319"/>
      <c r="G415" s="318" t="s">
        <v>885</v>
      </c>
      <c r="H415" s="318">
        <v>2.8</v>
      </c>
      <c r="I415" s="318">
        <v>1</v>
      </c>
      <c r="J415" s="318">
        <f t="shared" ref="J415:J436" si="149">IF(N415&gt;0,1,0)</f>
        <v>1</v>
      </c>
      <c r="K415" s="318">
        <f t="shared" ref="K415:K437" si="150">H415*J415</f>
        <v>2.8</v>
      </c>
      <c r="L415" s="318" t="s">
        <v>328</v>
      </c>
      <c r="M415" s="318">
        <v>132</v>
      </c>
      <c r="N415" s="318">
        <v>1</v>
      </c>
      <c r="O415" s="619">
        <f t="shared" ref="O415:O437" si="151">H415*N415</f>
        <v>2.8</v>
      </c>
      <c r="P415" s="750">
        <v>1</v>
      </c>
      <c r="Q415" s="750"/>
      <c r="R415" s="337">
        <v>1</v>
      </c>
      <c r="S415" s="348">
        <f>H415*R415</f>
        <v>2.8</v>
      </c>
      <c r="T415" s="319"/>
      <c r="V415" s="328">
        <f>2.793</f>
        <v>2.7930000000000001</v>
      </c>
      <c r="W415" s="320">
        <v>1</v>
      </c>
      <c r="X415" s="348">
        <f t="shared" ref="X415:X437" si="152">V415*W415</f>
        <v>2.7930000000000001</v>
      </c>
      <c r="Y415" s="330">
        <v>1</v>
      </c>
      <c r="Z415" s="348">
        <f t="shared" ref="Z415:Z437" si="153">V415*Y415</f>
        <v>2.7930000000000001</v>
      </c>
      <c r="AB415" s="328">
        <f t="shared" ref="AB415:AB437" si="154">X415-O415</f>
        <v>-6.9999999999996732E-3</v>
      </c>
      <c r="AC415" s="328">
        <f t="shared" ref="AC415:AC437" si="155">Z415-S415</f>
        <v>-6.9999999999996732E-3</v>
      </c>
    </row>
    <row r="416" spans="1:29">
      <c r="A416" s="318"/>
      <c r="B416" s="319"/>
      <c r="C416" s="318"/>
      <c r="D416" s="318"/>
      <c r="E416" s="319"/>
      <c r="F416" s="319"/>
      <c r="G416" s="318" t="s">
        <v>886</v>
      </c>
      <c r="H416" s="318">
        <v>3.03</v>
      </c>
      <c r="I416" s="318">
        <v>1</v>
      </c>
      <c r="J416" s="318">
        <f t="shared" si="149"/>
        <v>1</v>
      </c>
      <c r="K416" s="318">
        <f t="shared" si="150"/>
        <v>3.03</v>
      </c>
      <c r="L416" s="318" t="s">
        <v>371</v>
      </c>
      <c r="M416" s="318" t="s">
        <v>372</v>
      </c>
      <c r="N416" s="318">
        <v>1</v>
      </c>
      <c r="O416" s="619">
        <f t="shared" si="151"/>
        <v>3.03</v>
      </c>
      <c r="P416" s="750">
        <v>1</v>
      </c>
      <c r="Q416" s="750"/>
      <c r="R416" s="337">
        <v>1</v>
      </c>
      <c r="S416" s="348">
        <f>H416*R416</f>
        <v>3.03</v>
      </c>
      <c r="T416" s="319"/>
      <c r="V416" s="328">
        <f>2.444+1.205-0.6</f>
        <v>3.0489999999999999</v>
      </c>
      <c r="W416" s="320">
        <v>1</v>
      </c>
      <c r="X416" s="348">
        <f t="shared" si="152"/>
        <v>3.0489999999999999</v>
      </c>
      <c r="Y416" s="330">
        <v>1</v>
      </c>
      <c r="Z416" s="348">
        <f t="shared" si="153"/>
        <v>3.0489999999999999</v>
      </c>
      <c r="AB416" s="328">
        <f t="shared" si="154"/>
        <v>1.9000000000000128E-2</v>
      </c>
      <c r="AC416" s="328">
        <f t="shared" si="155"/>
        <v>1.9000000000000128E-2</v>
      </c>
    </row>
    <row r="417" spans="1:29">
      <c r="A417" s="318"/>
      <c r="B417" s="319"/>
      <c r="C417" s="318"/>
      <c r="D417" s="318"/>
      <c r="E417" s="319"/>
      <c r="F417" s="319"/>
      <c r="G417" s="318" t="s">
        <v>887</v>
      </c>
      <c r="H417" s="318">
        <v>4.49</v>
      </c>
      <c r="I417" s="318">
        <v>1</v>
      </c>
      <c r="J417" s="318">
        <f t="shared" si="149"/>
        <v>1</v>
      </c>
      <c r="K417" s="318">
        <f t="shared" si="150"/>
        <v>4.49</v>
      </c>
      <c r="L417" s="318" t="s">
        <v>225</v>
      </c>
      <c r="M417" s="318" t="s">
        <v>224</v>
      </c>
      <c r="N417" s="318">
        <v>1</v>
      </c>
      <c r="O417" s="619">
        <f t="shared" si="151"/>
        <v>4.49</v>
      </c>
      <c r="P417" s="750">
        <v>1</v>
      </c>
      <c r="Q417" s="750"/>
      <c r="R417" s="337">
        <v>1</v>
      </c>
      <c r="S417" s="348">
        <f t="shared" ref="S417:S445" si="156">H417*R417</f>
        <v>4.49</v>
      </c>
      <c r="T417" s="319"/>
      <c r="V417" s="328">
        <f t="shared" ref="V417:V425" si="157">4.49</f>
        <v>4.49</v>
      </c>
      <c r="W417" s="320">
        <v>1</v>
      </c>
      <c r="X417" s="348">
        <f t="shared" si="152"/>
        <v>4.49</v>
      </c>
      <c r="Y417" s="330">
        <v>1</v>
      </c>
      <c r="Z417" s="348">
        <f t="shared" si="153"/>
        <v>4.49</v>
      </c>
      <c r="AB417" s="328">
        <f t="shared" si="154"/>
        <v>0</v>
      </c>
      <c r="AC417" s="328">
        <f t="shared" si="155"/>
        <v>0</v>
      </c>
    </row>
    <row r="418" spans="1:29">
      <c r="A418" s="318"/>
      <c r="B418" s="319"/>
      <c r="C418" s="318"/>
      <c r="D418" s="318"/>
      <c r="E418" s="319"/>
      <c r="F418" s="319"/>
      <c r="G418" s="318" t="s">
        <v>888</v>
      </c>
      <c r="H418" s="318">
        <v>4.49</v>
      </c>
      <c r="I418" s="318">
        <v>1</v>
      </c>
      <c r="J418" s="318">
        <f t="shared" si="149"/>
        <v>1</v>
      </c>
      <c r="K418" s="318">
        <f t="shared" si="150"/>
        <v>4.49</v>
      </c>
      <c r="L418" s="318" t="s">
        <v>225</v>
      </c>
      <c r="M418" s="318" t="s">
        <v>224</v>
      </c>
      <c r="N418" s="318">
        <v>1</v>
      </c>
      <c r="O418" s="619">
        <f t="shared" si="151"/>
        <v>4.49</v>
      </c>
      <c r="P418" s="750">
        <v>1</v>
      </c>
      <c r="Q418" s="750"/>
      <c r="R418" s="337">
        <v>1</v>
      </c>
      <c r="S418" s="348">
        <f t="shared" si="156"/>
        <v>4.49</v>
      </c>
      <c r="T418" s="319"/>
      <c r="V418" s="328">
        <f t="shared" si="157"/>
        <v>4.49</v>
      </c>
      <c r="W418" s="320">
        <v>1</v>
      </c>
      <c r="X418" s="348">
        <f t="shared" si="152"/>
        <v>4.49</v>
      </c>
      <c r="Y418" s="330">
        <v>1</v>
      </c>
      <c r="Z418" s="348">
        <f t="shared" si="153"/>
        <v>4.49</v>
      </c>
      <c r="AB418" s="328">
        <f t="shared" si="154"/>
        <v>0</v>
      </c>
      <c r="AC418" s="328">
        <f t="shared" si="155"/>
        <v>0</v>
      </c>
    </row>
    <row r="419" spans="1:29">
      <c r="A419" s="318"/>
      <c r="B419" s="319"/>
      <c r="C419" s="318"/>
      <c r="D419" s="318"/>
      <c r="E419" s="319"/>
      <c r="F419" s="319"/>
      <c r="G419" s="318" t="s">
        <v>889</v>
      </c>
      <c r="H419" s="318">
        <v>4.49</v>
      </c>
      <c r="I419" s="318">
        <v>1</v>
      </c>
      <c r="J419" s="318">
        <f t="shared" si="149"/>
        <v>1</v>
      </c>
      <c r="K419" s="318">
        <f t="shared" si="150"/>
        <v>4.49</v>
      </c>
      <c r="L419" s="318" t="s">
        <v>225</v>
      </c>
      <c r="M419" s="318" t="s">
        <v>224</v>
      </c>
      <c r="N419" s="318">
        <v>1</v>
      </c>
      <c r="O419" s="619">
        <f t="shared" si="151"/>
        <v>4.49</v>
      </c>
      <c r="P419" s="750">
        <v>1</v>
      </c>
      <c r="Q419" s="750"/>
      <c r="R419" s="337">
        <v>1</v>
      </c>
      <c r="S419" s="348">
        <f t="shared" si="156"/>
        <v>4.49</v>
      </c>
      <c r="T419" s="319"/>
      <c r="V419" s="328">
        <f t="shared" si="157"/>
        <v>4.49</v>
      </c>
      <c r="W419" s="320">
        <v>1</v>
      </c>
      <c r="X419" s="348">
        <f t="shared" si="152"/>
        <v>4.49</v>
      </c>
      <c r="Y419" s="330">
        <v>1</v>
      </c>
      <c r="Z419" s="348">
        <f t="shared" si="153"/>
        <v>4.49</v>
      </c>
      <c r="AB419" s="328">
        <f t="shared" si="154"/>
        <v>0</v>
      </c>
      <c r="AC419" s="328">
        <f t="shared" si="155"/>
        <v>0</v>
      </c>
    </row>
    <row r="420" spans="1:29">
      <c r="A420" s="318"/>
      <c r="B420" s="319"/>
      <c r="C420" s="318"/>
      <c r="D420" s="318"/>
      <c r="E420" s="319"/>
      <c r="F420" s="319"/>
      <c r="G420" s="318" t="s">
        <v>890</v>
      </c>
      <c r="H420" s="318">
        <v>4.49</v>
      </c>
      <c r="I420" s="318">
        <v>1</v>
      </c>
      <c r="J420" s="318">
        <f t="shared" si="149"/>
        <v>1</v>
      </c>
      <c r="K420" s="318">
        <f t="shared" si="150"/>
        <v>4.49</v>
      </c>
      <c r="L420" s="318" t="s">
        <v>225</v>
      </c>
      <c r="M420" s="318" t="s">
        <v>224</v>
      </c>
      <c r="N420" s="318">
        <v>1</v>
      </c>
      <c r="O420" s="619">
        <f t="shared" si="151"/>
        <v>4.49</v>
      </c>
      <c r="P420" s="750">
        <v>1</v>
      </c>
      <c r="Q420" s="750"/>
      <c r="R420" s="337">
        <v>1</v>
      </c>
      <c r="S420" s="348">
        <f t="shared" si="156"/>
        <v>4.49</v>
      </c>
      <c r="T420" s="319"/>
      <c r="V420" s="328">
        <f t="shared" si="157"/>
        <v>4.49</v>
      </c>
      <c r="W420" s="320">
        <v>1</v>
      </c>
      <c r="X420" s="348">
        <f t="shared" si="152"/>
        <v>4.49</v>
      </c>
      <c r="Y420" s="330">
        <v>1</v>
      </c>
      <c r="Z420" s="348">
        <f t="shared" si="153"/>
        <v>4.49</v>
      </c>
      <c r="AB420" s="328">
        <f t="shared" si="154"/>
        <v>0</v>
      </c>
      <c r="AC420" s="328">
        <f t="shared" si="155"/>
        <v>0</v>
      </c>
    </row>
    <row r="421" spans="1:29">
      <c r="A421" s="318"/>
      <c r="B421" s="319"/>
      <c r="C421" s="318"/>
      <c r="D421" s="318"/>
      <c r="E421" s="319"/>
      <c r="F421" s="319"/>
      <c r="G421" s="318" t="s">
        <v>891</v>
      </c>
      <c r="H421" s="318">
        <v>4.49</v>
      </c>
      <c r="I421" s="318">
        <v>1</v>
      </c>
      <c r="J421" s="318">
        <f t="shared" si="149"/>
        <v>1</v>
      </c>
      <c r="K421" s="318">
        <f t="shared" si="150"/>
        <v>4.49</v>
      </c>
      <c r="L421" s="318" t="s">
        <v>225</v>
      </c>
      <c r="M421" s="318" t="s">
        <v>224</v>
      </c>
      <c r="N421" s="318">
        <v>1</v>
      </c>
      <c r="O421" s="619">
        <f t="shared" si="151"/>
        <v>4.49</v>
      </c>
      <c r="P421" s="750">
        <v>1</v>
      </c>
      <c r="Q421" s="750"/>
      <c r="R421" s="337">
        <v>1</v>
      </c>
      <c r="S421" s="348">
        <f t="shared" si="156"/>
        <v>4.49</v>
      </c>
      <c r="T421" s="319"/>
      <c r="V421" s="328">
        <f t="shared" si="157"/>
        <v>4.49</v>
      </c>
      <c r="W421" s="320">
        <v>1</v>
      </c>
      <c r="X421" s="348">
        <f t="shared" si="152"/>
        <v>4.49</v>
      </c>
      <c r="Y421" s="330">
        <v>1</v>
      </c>
      <c r="Z421" s="348">
        <f t="shared" si="153"/>
        <v>4.49</v>
      </c>
      <c r="AB421" s="328">
        <f t="shared" si="154"/>
        <v>0</v>
      </c>
      <c r="AC421" s="328">
        <f t="shared" si="155"/>
        <v>0</v>
      </c>
    </row>
    <row r="422" spans="1:29">
      <c r="A422" s="318"/>
      <c r="B422" s="319"/>
      <c r="C422" s="318"/>
      <c r="D422" s="318"/>
      <c r="E422" s="319"/>
      <c r="F422" s="319"/>
      <c r="G422" s="318" t="s">
        <v>892</v>
      </c>
      <c r="H422" s="318">
        <v>4.49</v>
      </c>
      <c r="I422" s="318">
        <v>1</v>
      </c>
      <c r="J422" s="318">
        <f t="shared" si="149"/>
        <v>1</v>
      </c>
      <c r="K422" s="318">
        <f t="shared" si="150"/>
        <v>4.49</v>
      </c>
      <c r="L422" s="318" t="s">
        <v>225</v>
      </c>
      <c r="M422" s="318" t="s">
        <v>224</v>
      </c>
      <c r="N422" s="318">
        <v>1</v>
      </c>
      <c r="O422" s="619">
        <f t="shared" si="151"/>
        <v>4.49</v>
      </c>
      <c r="P422" s="750">
        <v>1</v>
      </c>
      <c r="Q422" s="750"/>
      <c r="R422" s="337">
        <v>1</v>
      </c>
      <c r="S422" s="348">
        <f t="shared" si="156"/>
        <v>4.49</v>
      </c>
      <c r="T422" s="319"/>
      <c r="V422" s="328">
        <f t="shared" si="157"/>
        <v>4.49</v>
      </c>
      <c r="W422" s="320">
        <v>1</v>
      </c>
      <c r="X422" s="348">
        <f t="shared" si="152"/>
        <v>4.49</v>
      </c>
      <c r="Y422" s="330">
        <v>1</v>
      </c>
      <c r="Z422" s="348">
        <f t="shared" si="153"/>
        <v>4.49</v>
      </c>
      <c r="AB422" s="328">
        <f t="shared" si="154"/>
        <v>0</v>
      </c>
      <c r="AC422" s="328">
        <f t="shared" si="155"/>
        <v>0</v>
      </c>
    </row>
    <row r="423" spans="1:29">
      <c r="A423" s="318"/>
      <c r="B423" s="319"/>
      <c r="C423" s="318"/>
      <c r="D423" s="318"/>
      <c r="E423" s="319"/>
      <c r="F423" s="319"/>
      <c r="G423" s="318" t="s">
        <v>893</v>
      </c>
      <c r="H423" s="318">
        <v>4.49</v>
      </c>
      <c r="I423" s="318">
        <v>1</v>
      </c>
      <c r="J423" s="318">
        <f t="shared" si="149"/>
        <v>1</v>
      </c>
      <c r="K423" s="318">
        <f t="shared" si="150"/>
        <v>4.49</v>
      </c>
      <c r="L423" s="318" t="s">
        <v>225</v>
      </c>
      <c r="M423" s="318" t="s">
        <v>224</v>
      </c>
      <c r="N423" s="318">
        <v>1</v>
      </c>
      <c r="O423" s="619">
        <f t="shared" si="151"/>
        <v>4.49</v>
      </c>
      <c r="P423" s="750">
        <v>1</v>
      </c>
      <c r="Q423" s="750"/>
      <c r="R423" s="337">
        <v>1</v>
      </c>
      <c r="S423" s="348">
        <f t="shared" si="156"/>
        <v>4.49</v>
      </c>
      <c r="T423" s="319"/>
      <c r="V423" s="328">
        <f t="shared" si="157"/>
        <v>4.49</v>
      </c>
      <c r="W423" s="320">
        <v>1</v>
      </c>
      <c r="X423" s="348">
        <f t="shared" si="152"/>
        <v>4.49</v>
      </c>
      <c r="Y423" s="330">
        <v>1</v>
      </c>
      <c r="Z423" s="348">
        <f t="shared" si="153"/>
        <v>4.49</v>
      </c>
      <c r="AB423" s="328">
        <f t="shared" si="154"/>
        <v>0</v>
      </c>
      <c r="AC423" s="328">
        <f t="shared" si="155"/>
        <v>0</v>
      </c>
    </row>
    <row r="424" spans="1:29">
      <c r="A424" s="318"/>
      <c r="B424" s="319"/>
      <c r="C424" s="318"/>
      <c r="D424" s="318"/>
      <c r="E424" s="319"/>
      <c r="F424" s="319"/>
      <c r="G424" s="318" t="s">
        <v>894</v>
      </c>
      <c r="H424" s="318">
        <v>4.49</v>
      </c>
      <c r="I424" s="318">
        <v>1</v>
      </c>
      <c r="J424" s="318">
        <f t="shared" si="149"/>
        <v>1</v>
      </c>
      <c r="K424" s="318">
        <f t="shared" si="150"/>
        <v>4.49</v>
      </c>
      <c r="L424" s="318" t="s">
        <v>225</v>
      </c>
      <c r="M424" s="318" t="s">
        <v>224</v>
      </c>
      <c r="N424" s="318">
        <v>1</v>
      </c>
      <c r="O424" s="619">
        <f t="shared" si="151"/>
        <v>4.49</v>
      </c>
      <c r="P424" s="750">
        <v>1</v>
      </c>
      <c r="Q424" s="750"/>
      <c r="R424" s="337">
        <v>1</v>
      </c>
      <c r="S424" s="348">
        <f t="shared" si="156"/>
        <v>4.49</v>
      </c>
      <c r="T424" s="319"/>
      <c r="V424" s="328">
        <f t="shared" si="157"/>
        <v>4.49</v>
      </c>
      <c r="W424" s="320">
        <v>1</v>
      </c>
      <c r="X424" s="348">
        <f t="shared" si="152"/>
        <v>4.49</v>
      </c>
      <c r="Y424" s="330">
        <v>1</v>
      </c>
      <c r="Z424" s="348">
        <f t="shared" si="153"/>
        <v>4.49</v>
      </c>
      <c r="AB424" s="328">
        <f t="shared" si="154"/>
        <v>0</v>
      </c>
      <c r="AC424" s="328">
        <f t="shared" si="155"/>
        <v>0</v>
      </c>
    </row>
    <row r="425" spans="1:29">
      <c r="A425" s="318"/>
      <c r="B425" s="319"/>
      <c r="C425" s="318"/>
      <c r="D425" s="318"/>
      <c r="E425" s="319"/>
      <c r="F425" s="319"/>
      <c r="G425" s="318" t="s">
        <v>895</v>
      </c>
      <c r="H425" s="318">
        <v>4.49</v>
      </c>
      <c r="I425" s="318">
        <v>1</v>
      </c>
      <c r="J425" s="318">
        <f t="shared" si="149"/>
        <v>1</v>
      </c>
      <c r="K425" s="318">
        <f t="shared" si="150"/>
        <v>4.49</v>
      </c>
      <c r="L425" s="318">
        <v>1553</v>
      </c>
      <c r="M425" s="318">
        <v>132</v>
      </c>
      <c r="N425" s="318">
        <v>1</v>
      </c>
      <c r="O425" s="619">
        <f t="shared" si="151"/>
        <v>4.49</v>
      </c>
      <c r="P425" s="750">
        <v>1</v>
      </c>
      <c r="Q425" s="750"/>
      <c r="R425" s="337">
        <v>1</v>
      </c>
      <c r="S425" s="348">
        <f t="shared" si="156"/>
        <v>4.49</v>
      </c>
      <c r="T425" s="319"/>
      <c r="V425" s="328">
        <f t="shared" si="157"/>
        <v>4.49</v>
      </c>
      <c r="W425" s="320">
        <v>1</v>
      </c>
      <c r="X425" s="348">
        <f t="shared" si="152"/>
        <v>4.49</v>
      </c>
      <c r="Y425" s="330">
        <v>1</v>
      </c>
      <c r="Z425" s="348">
        <f t="shared" si="153"/>
        <v>4.49</v>
      </c>
      <c r="AB425" s="328">
        <f t="shared" si="154"/>
        <v>0</v>
      </c>
      <c r="AC425" s="328">
        <f t="shared" si="155"/>
        <v>0</v>
      </c>
    </row>
    <row r="426" spans="1:29">
      <c r="A426" s="318"/>
      <c r="B426" s="319"/>
      <c r="C426" s="318"/>
      <c r="D426" s="318"/>
      <c r="E426" s="319"/>
      <c r="F426" s="319"/>
      <c r="G426" s="318" t="s">
        <v>896</v>
      </c>
      <c r="H426" s="318">
        <v>3.51</v>
      </c>
      <c r="I426" s="318">
        <v>1</v>
      </c>
      <c r="J426" s="318">
        <f t="shared" si="149"/>
        <v>1</v>
      </c>
      <c r="K426" s="318">
        <f t="shared" si="150"/>
        <v>3.51</v>
      </c>
      <c r="L426" s="318">
        <v>1567</v>
      </c>
      <c r="M426" s="318">
        <v>133</v>
      </c>
      <c r="N426" s="318">
        <v>1</v>
      </c>
      <c r="O426" s="619">
        <f t="shared" si="151"/>
        <v>3.51</v>
      </c>
      <c r="P426" s="750">
        <v>1</v>
      </c>
      <c r="Q426" s="750"/>
      <c r="R426" s="337">
        <v>1</v>
      </c>
      <c r="S426" s="348">
        <f t="shared" si="156"/>
        <v>3.51</v>
      </c>
      <c r="T426" s="319"/>
      <c r="V426" s="328">
        <f>3.5</f>
        <v>3.5</v>
      </c>
      <c r="W426" s="320">
        <v>1</v>
      </c>
      <c r="X426" s="348">
        <f t="shared" si="152"/>
        <v>3.5</v>
      </c>
      <c r="Y426" s="330">
        <v>1</v>
      </c>
      <c r="Z426" s="348">
        <f t="shared" si="153"/>
        <v>3.5</v>
      </c>
      <c r="AB426" s="328">
        <f t="shared" si="154"/>
        <v>-9.9999999999997868E-3</v>
      </c>
      <c r="AC426" s="328">
        <f t="shared" si="155"/>
        <v>-9.9999999999997868E-3</v>
      </c>
    </row>
    <row r="427" spans="1:29">
      <c r="A427" s="318"/>
      <c r="B427" s="319"/>
      <c r="C427" s="318"/>
      <c r="D427" s="318"/>
      <c r="E427" s="319"/>
      <c r="F427" s="336" t="s">
        <v>558</v>
      </c>
      <c r="G427" s="318" t="s">
        <v>897</v>
      </c>
      <c r="H427" s="319">
        <v>3.25</v>
      </c>
      <c r="I427" s="318">
        <v>1</v>
      </c>
      <c r="J427" s="318">
        <f t="shared" si="149"/>
        <v>1</v>
      </c>
      <c r="K427" s="318">
        <f t="shared" si="150"/>
        <v>3.25</v>
      </c>
      <c r="L427" s="318" t="s">
        <v>300</v>
      </c>
      <c r="M427" s="318" t="s">
        <v>307</v>
      </c>
      <c r="N427" s="318">
        <v>1</v>
      </c>
      <c r="O427" s="619">
        <f t="shared" si="151"/>
        <v>3.25</v>
      </c>
      <c r="P427" s="750">
        <v>1</v>
      </c>
      <c r="Q427" s="750"/>
      <c r="R427" s="337">
        <v>1</v>
      </c>
      <c r="S427" s="348">
        <f t="shared" si="156"/>
        <v>3.25</v>
      </c>
      <c r="T427" s="319"/>
      <c r="V427" s="333">
        <f>0.091+3.149</f>
        <v>3.24</v>
      </c>
      <c r="W427" s="320">
        <v>1</v>
      </c>
      <c r="X427" s="348">
        <f t="shared" si="152"/>
        <v>3.24</v>
      </c>
      <c r="Y427" s="330">
        <v>1</v>
      </c>
      <c r="Z427" s="348">
        <f t="shared" si="153"/>
        <v>3.24</v>
      </c>
      <c r="AB427" s="333">
        <f t="shared" si="154"/>
        <v>-9.9999999999997868E-3</v>
      </c>
      <c r="AC427" s="333">
        <f t="shared" si="155"/>
        <v>-9.9999999999997868E-3</v>
      </c>
    </row>
    <row r="428" spans="1:29">
      <c r="A428" s="318"/>
      <c r="B428" s="319"/>
      <c r="C428" s="318"/>
      <c r="D428" s="318"/>
      <c r="E428" s="319"/>
      <c r="F428" s="336" t="s">
        <v>558</v>
      </c>
      <c r="G428" s="318" t="s">
        <v>898</v>
      </c>
      <c r="H428" s="319">
        <v>4.0199999999999996</v>
      </c>
      <c r="I428" s="318">
        <v>1</v>
      </c>
      <c r="J428" s="318">
        <f t="shared" si="149"/>
        <v>1</v>
      </c>
      <c r="K428" s="318">
        <f t="shared" si="150"/>
        <v>4.0199999999999996</v>
      </c>
      <c r="L428" s="318" t="s">
        <v>302</v>
      </c>
      <c r="M428" s="318" t="s">
        <v>304</v>
      </c>
      <c r="N428" s="318">
        <v>1</v>
      </c>
      <c r="O428" s="619">
        <f t="shared" si="151"/>
        <v>4.0199999999999996</v>
      </c>
      <c r="P428" s="750">
        <v>1</v>
      </c>
      <c r="Q428" s="750"/>
      <c r="R428" s="337">
        <v>1</v>
      </c>
      <c r="S428" s="348">
        <f t="shared" si="156"/>
        <v>4.0199999999999996</v>
      </c>
      <c r="T428" s="319"/>
      <c r="V428" s="333">
        <f>3.149+0.856</f>
        <v>4.0049999999999999</v>
      </c>
      <c r="W428" s="320">
        <v>1</v>
      </c>
      <c r="X428" s="348">
        <f t="shared" si="152"/>
        <v>4.0049999999999999</v>
      </c>
      <c r="Y428" s="330">
        <v>1</v>
      </c>
      <c r="Z428" s="348">
        <f t="shared" si="153"/>
        <v>4.0049999999999999</v>
      </c>
      <c r="AB428" s="333">
        <f t="shared" si="154"/>
        <v>-1.499999999999968E-2</v>
      </c>
      <c r="AC428" s="333">
        <f t="shared" si="155"/>
        <v>-1.499999999999968E-2</v>
      </c>
    </row>
    <row r="429" spans="1:29">
      <c r="A429" s="318"/>
      <c r="B429" s="319"/>
      <c r="C429" s="318"/>
      <c r="D429" s="318"/>
      <c r="E429" s="319"/>
      <c r="F429" s="319"/>
      <c r="G429" s="318" t="s">
        <v>899</v>
      </c>
      <c r="H429" s="318">
        <v>3.81</v>
      </c>
      <c r="I429" s="318">
        <v>1</v>
      </c>
      <c r="J429" s="318">
        <f t="shared" si="149"/>
        <v>1</v>
      </c>
      <c r="K429" s="318">
        <f t="shared" si="150"/>
        <v>3.81</v>
      </c>
      <c r="L429" s="318"/>
      <c r="M429" s="318"/>
      <c r="N429" s="318">
        <v>1</v>
      </c>
      <c r="O429" s="619">
        <f t="shared" si="151"/>
        <v>3.81</v>
      </c>
      <c r="P429" s="750">
        <v>1</v>
      </c>
      <c r="Q429" s="750"/>
      <c r="R429" s="337">
        <v>1</v>
      </c>
      <c r="S429" s="348">
        <f t="shared" si="156"/>
        <v>3.81</v>
      </c>
      <c r="T429" s="319"/>
      <c r="V429" s="328">
        <v>3.802</v>
      </c>
      <c r="W429" s="320">
        <v>1</v>
      </c>
      <c r="X429" s="348">
        <f t="shared" si="152"/>
        <v>3.802</v>
      </c>
      <c r="Y429" s="330">
        <v>1</v>
      </c>
      <c r="Z429" s="348">
        <f t="shared" si="153"/>
        <v>3.802</v>
      </c>
      <c r="AB429" s="328">
        <f t="shared" si="154"/>
        <v>-8.0000000000000071E-3</v>
      </c>
      <c r="AC429" s="328">
        <f t="shared" si="155"/>
        <v>-8.0000000000000071E-3</v>
      </c>
    </row>
    <row r="430" spans="1:29">
      <c r="A430" s="318"/>
      <c r="B430" s="319"/>
      <c r="C430" s="318"/>
      <c r="D430" s="318"/>
      <c r="E430" s="319"/>
      <c r="F430" s="319"/>
      <c r="G430" s="318" t="s">
        <v>900</v>
      </c>
      <c r="H430" s="318">
        <v>3.81</v>
      </c>
      <c r="I430" s="318">
        <v>1</v>
      </c>
      <c r="J430" s="318">
        <f t="shared" si="149"/>
        <v>1</v>
      </c>
      <c r="K430" s="318">
        <f t="shared" si="150"/>
        <v>3.81</v>
      </c>
      <c r="L430" s="318"/>
      <c r="M430" s="318"/>
      <c r="N430" s="318">
        <v>1</v>
      </c>
      <c r="O430" s="619">
        <f t="shared" si="151"/>
        <v>3.81</v>
      </c>
      <c r="P430" s="750">
        <v>1</v>
      </c>
      <c r="Q430" s="750"/>
      <c r="R430" s="337">
        <v>1</v>
      </c>
      <c r="S430" s="348">
        <f t="shared" si="156"/>
        <v>3.81</v>
      </c>
      <c r="T430" s="319"/>
      <c r="V430" s="328">
        <v>3.802</v>
      </c>
      <c r="W430" s="320">
        <v>1</v>
      </c>
      <c r="X430" s="348">
        <f t="shared" si="152"/>
        <v>3.802</v>
      </c>
      <c r="Y430" s="330">
        <v>1</v>
      </c>
      <c r="Z430" s="348">
        <f t="shared" si="153"/>
        <v>3.802</v>
      </c>
      <c r="AB430" s="328">
        <f t="shared" si="154"/>
        <v>-8.0000000000000071E-3</v>
      </c>
      <c r="AC430" s="328">
        <f t="shared" si="155"/>
        <v>-8.0000000000000071E-3</v>
      </c>
    </row>
    <row r="431" spans="1:29">
      <c r="A431" s="318"/>
      <c r="B431" s="319"/>
      <c r="C431" s="318"/>
      <c r="D431" s="318"/>
      <c r="E431" s="319"/>
      <c r="F431" s="319"/>
      <c r="G431" s="318" t="s">
        <v>901</v>
      </c>
      <c r="H431" s="318">
        <v>3.81</v>
      </c>
      <c r="I431" s="318">
        <v>1</v>
      </c>
      <c r="J431" s="318">
        <f t="shared" si="149"/>
        <v>1</v>
      </c>
      <c r="K431" s="318">
        <f t="shared" si="150"/>
        <v>3.81</v>
      </c>
      <c r="L431" s="318"/>
      <c r="M431" s="318"/>
      <c r="N431" s="318">
        <v>1</v>
      </c>
      <c r="O431" s="619">
        <f t="shared" si="151"/>
        <v>3.81</v>
      </c>
      <c r="P431" s="750">
        <v>1</v>
      </c>
      <c r="Q431" s="750"/>
      <c r="R431" s="337">
        <v>1</v>
      </c>
      <c r="S431" s="348">
        <f t="shared" si="156"/>
        <v>3.81</v>
      </c>
      <c r="T431" s="319"/>
      <c r="V431" s="328">
        <v>3.802</v>
      </c>
      <c r="W431" s="320">
        <v>1</v>
      </c>
      <c r="X431" s="348">
        <f t="shared" si="152"/>
        <v>3.802</v>
      </c>
      <c r="Y431" s="330">
        <v>1</v>
      </c>
      <c r="Z431" s="348">
        <f t="shared" si="153"/>
        <v>3.802</v>
      </c>
      <c r="AB431" s="328">
        <f t="shared" si="154"/>
        <v>-8.0000000000000071E-3</v>
      </c>
      <c r="AC431" s="328">
        <f t="shared" si="155"/>
        <v>-8.0000000000000071E-3</v>
      </c>
    </row>
    <row r="432" spans="1:29">
      <c r="A432" s="318"/>
      <c r="B432" s="319"/>
      <c r="C432" s="318"/>
      <c r="D432" s="318"/>
      <c r="E432" s="319"/>
      <c r="F432" s="319"/>
      <c r="G432" s="318" t="s">
        <v>902</v>
      </c>
      <c r="H432" s="318">
        <v>3.81</v>
      </c>
      <c r="I432" s="318">
        <v>1</v>
      </c>
      <c r="J432" s="318">
        <f t="shared" si="149"/>
        <v>1</v>
      </c>
      <c r="K432" s="318">
        <f t="shared" si="150"/>
        <v>3.81</v>
      </c>
      <c r="L432" s="318"/>
      <c r="M432" s="318"/>
      <c r="N432" s="318">
        <v>1</v>
      </c>
      <c r="O432" s="619">
        <f t="shared" si="151"/>
        <v>3.81</v>
      </c>
      <c r="P432" s="750">
        <v>1</v>
      </c>
      <c r="Q432" s="750"/>
      <c r="R432" s="337">
        <v>1</v>
      </c>
      <c r="S432" s="348">
        <f t="shared" si="156"/>
        <v>3.81</v>
      </c>
      <c r="T432" s="319"/>
      <c r="V432" s="328">
        <v>3.802</v>
      </c>
      <c r="W432" s="320">
        <v>1</v>
      </c>
      <c r="X432" s="348">
        <f t="shared" si="152"/>
        <v>3.802</v>
      </c>
      <c r="Y432" s="330">
        <v>1</v>
      </c>
      <c r="Z432" s="348">
        <f t="shared" si="153"/>
        <v>3.802</v>
      </c>
      <c r="AB432" s="328">
        <f t="shared" si="154"/>
        <v>-8.0000000000000071E-3</v>
      </c>
      <c r="AC432" s="328">
        <f t="shared" si="155"/>
        <v>-8.0000000000000071E-3</v>
      </c>
    </row>
    <row r="433" spans="1:29">
      <c r="A433" s="318"/>
      <c r="B433" s="319"/>
      <c r="C433" s="318"/>
      <c r="D433" s="318"/>
      <c r="E433" s="319"/>
      <c r="F433" s="336" t="s">
        <v>558</v>
      </c>
      <c r="G433" s="318" t="s">
        <v>903</v>
      </c>
      <c r="H433" s="319">
        <v>4.0199999999999996</v>
      </c>
      <c r="I433" s="318">
        <v>1</v>
      </c>
      <c r="J433" s="318">
        <f t="shared" si="149"/>
        <v>1</v>
      </c>
      <c r="K433" s="318">
        <f t="shared" si="150"/>
        <v>4.0199999999999996</v>
      </c>
      <c r="L433" s="318" t="s">
        <v>286</v>
      </c>
      <c r="M433" s="318" t="s">
        <v>287</v>
      </c>
      <c r="N433" s="318">
        <v>1</v>
      </c>
      <c r="O433" s="619">
        <f t="shared" si="151"/>
        <v>4.0199999999999996</v>
      </c>
      <c r="P433" s="750">
        <v>1</v>
      </c>
      <c r="Q433" s="750"/>
      <c r="R433" s="337">
        <v>1</v>
      </c>
      <c r="S433" s="348">
        <f t="shared" si="156"/>
        <v>4.0199999999999996</v>
      </c>
      <c r="T433" s="319"/>
      <c r="V433" s="333">
        <f>3.149+0.856</f>
        <v>4.0049999999999999</v>
      </c>
      <c r="W433" s="320">
        <v>1</v>
      </c>
      <c r="X433" s="348">
        <f t="shared" si="152"/>
        <v>4.0049999999999999</v>
      </c>
      <c r="Y433" s="330">
        <v>1</v>
      </c>
      <c r="Z433" s="348">
        <f t="shared" si="153"/>
        <v>4.0049999999999999</v>
      </c>
      <c r="AB433" s="333">
        <f t="shared" si="154"/>
        <v>-1.499999999999968E-2</v>
      </c>
      <c r="AC433" s="333">
        <f t="shared" si="155"/>
        <v>-1.499999999999968E-2</v>
      </c>
    </row>
    <row r="434" spans="1:29">
      <c r="A434" s="318"/>
      <c r="B434" s="319"/>
      <c r="C434" s="318"/>
      <c r="D434" s="318"/>
      <c r="E434" s="319"/>
      <c r="F434" s="336" t="s">
        <v>558</v>
      </c>
      <c r="G434" s="318" t="s">
        <v>904</v>
      </c>
      <c r="H434" s="319">
        <v>3.25</v>
      </c>
      <c r="I434" s="318">
        <v>1</v>
      </c>
      <c r="J434" s="318">
        <f t="shared" si="149"/>
        <v>1</v>
      </c>
      <c r="K434" s="318">
        <f t="shared" si="150"/>
        <v>3.25</v>
      </c>
      <c r="L434" s="318" t="s">
        <v>286</v>
      </c>
      <c r="M434" s="318" t="s">
        <v>287</v>
      </c>
      <c r="N434" s="318">
        <v>1</v>
      </c>
      <c r="O434" s="619">
        <f t="shared" si="151"/>
        <v>3.25</v>
      </c>
      <c r="P434" s="750">
        <v>1</v>
      </c>
      <c r="Q434" s="750"/>
      <c r="R434" s="337">
        <v>1</v>
      </c>
      <c r="S434" s="348">
        <f t="shared" si="156"/>
        <v>3.25</v>
      </c>
      <c r="T434" s="319"/>
      <c r="V434" s="333">
        <f>0.091+3.149</f>
        <v>3.24</v>
      </c>
      <c r="W434" s="320">
        <v>1</v>
      </c>
      <c r="X434" s="348">
        <f t="shared" si="152"/>
        <v>3.24</v>
      </c>
      <c r="Y434" s="330">
        <v>1</v>
      </c>
      <c r="Z434" s="348">
        <f t="shared" si="153"/>
        <v>3.24</v>
      </c>
      <c r="AB434" s="333">
        <f t="shared" si="154"/>
        <v>-9.9999999999997868E-3</v>
      </c>
      <c r="AC434" s="333">
        <f t="shared" si="155"/>
        <v>-9.9999999999997868E-3</v>
      </c>
    </row>
    <row r="435" spans="1:29">
      <c r="A435" s="318"/>
      <c r="B435" s="319"/>
      <c r="C435" s="318"/>
      <c r="D435" s="318"/>
      <c r="E435" s="319"/>
      <c r="F435" s="319"/>
      <c r="G435" s="318" t="s">
        <v>905</v>
      </c>
      <c r="H435" s="318">
        <v>3.51</v>
      </c>
      <c r="I435" s="318">
        <v>1</v>
      </c>
      <c r="J435" s="318">
        <f t="shared" si="149"/>
        <v>1</v>
      </c>
      <c r="K435" s="318">
        <f t="shared" si="150"/>
        <v>3.51</v>
      </c>
      <c r="L435" s="318">
        <v>1444</v>
      </c>
      <c r="M435" s="318">
        <v>108</v>
      </c>
      <c r="N435" s="318">
        <v>1</v>
      </c>
      <c r="O435" s="619">
        <f t="shared" si="151"/>
        <v>3.51</v>
      </c>
      <c r="P435" s="750">
        <v>1</v>
      </c>
      <c r="Q435" s="750"/>
      <c r="R435" s="337">
        <v>1</v>
      </c>
      <c r="S435" s="348">
        <f t="shared" si="156"/>
        <v>3.51</v>
      </c>
      <c r="T435" s="319"/>
      <c r="V435" s="328">
        <f>3.5</f>
        <v>3.5</v>
      </c>
      <c r="W435" s="320">
        <v>1</v>
      </c>
      <c r="X435" s="348">
        <f t="shared" si="152"/>
        <v>3.5</v>
      </c>
      <c r="Y435" s="330">
        <v>1</v>
      </c>
      <c r="Z435" s="348">
        <f t="shared" si="153"/>
        <v>3.5</v>
      </c>
      <c r="AB435" s="328">
        <f t="shared" si="154"/>
        <v>-9.9999999999997868E-3</v>
      </c>
      <c r="AC435" s="328">
        <f t="shared" si="155"/>
        <v>-9.9999999999997868E-3</v>
      </c>
    </row>
    <row r="436" spans="1:29">
      <c r="A436" s="318"/>
      <c r="B436" s="319"/>
      <c r="C436" s="318"/>
      <c r="D436" s="318"/>
      <c r="E436" s="319"/>
      <c r="F436" s="319"/>
      <c r="G436" s="318" t="s">
        <v>906</v>
      </c>
      <c r="H436" s="318">
        <v>3.51</v>
      </c>
      <c r="I436" s="318">
        <v>1</v>
      </c>
      <c r="J436" s="318">
        <f t="shared" si="149"/>
        <v>1</v>
      </c>
      <c r="K436" s="318">
        <f t="shared" si="150"/>
        <v>3.51</v>
      </c>
      <c r="L436" s="318">
        <v>1444</v>
      </c>
      <c r="M436" s="318">
        <v>108</v>
      </c>
      <c r="N436" s="318">
        <v>1</v>
      </c>
      <c r="O436" s="619">
        <f t="shared" si="151"/>
        <v>3.51</v>
      </c>
      <c r="P436" s="750">
        <v>1</v>
      </c>
      <c r="Q436" s="750"/>
      <c r="R436" s="337">
        <v>1</v>
      </c>
      <c r="S436" s="348">
        <f t="shared" si="156"/>
        <v>3.51</v>
      </c>
      <c r="T436" s="319"/>
      <c r="V436" s="328">
        <f>4.49</f>
        <v>4.49</v>
      </c>
      <c r="W436" s="320">
        <v>1</v>
      </c>
      <c r="X436" s="348">
        <f t="shared" si="152"/>
        <v>4.49</v>
      </c>
      <c r="Y436" s="330">
        <v>1</v>
      </c>
      <c r="Z436" s="348">
        <f t="shared" si="153"/>
        <v>4.49</v>
      </c>
      <c r="AB436" s="328">
        <f t="shared" si="154"/>
        <v>0.98000000000000043</v>
      </c>
      <c r="AC436" s="328">
        <f t="shared" si="155"/>
        <v>0.98000000000000043</v>
      </c>
    </row>
    <row r="437" spans="1:29" ht="20.399999999999999">
      <c r="A437" s="318"/>
      <c r="B437" s="319"/>
      <c r="C437" s="318"/>
      <c r="D437" s="318"/>
      <c r="E437" s="319"/>
      <c r="F437" s="336" t="s">
        <v>604</v>
      </c>
      <c r="G437" s="318" t="s">
        <v>907</v>
      </c>
      <c r="H437" s="318">
        <v>4.8</v>
      </c>
      <c r="I437" s="318">
        <v>1</v>
      </c>
      <c r="J437" s="318">
        <v>1</v>
      </c>
      <c r="K437" s="318">
        <f t="shared" si="150"/>
        <v>4.8</v>
      </c>
      <c r="L437" s="352" t="s">
        <v>3374</v>
      </c>
      <c r="M437" s="350" t="s">
        <v>3406</v>
      </c>
      <c r="N437" s="318">
        <v>1</v>
      </c>
      <c r="O437" s="619">
        <f t="shared" si="151"/>
        <v>4.8</v>
      </c>
      <c r="P437" s="750">
        <v>1</v>
      </c>
      <c r="Q437" s="750"/>
      <c r="R437" s="337">
        <v>1</v>
      </c>
      <c r="S437" s="348">
        <f t="shared" si="156"/>
        <v>4.8</v>
      </c>
      <c r="T437" s="389" t="s">
        <v>3438</v>
      </c>
      <c r="V437" s="328">
        <v>4.49</v>
      </c>
      <c r="W437" s="320"/>
      <c r="X437" s="348">
        <f t="shared" si="152"/>
        <v>0</v>
      </c>
      <c r="Y437" s="330"/>
      <c r="Z437" s="348">
        <f t="shared" si="153"/>
        <v>0</v>
      </c>
      <c r="AB437" s="328">
        <f t="shared" si="154"/>
        <v>-4.8</v>
      </c>
      <c r="AC437" s="328">
        <f t="shared" si="155"/>
        <v>-4.8</v>
      </c>
    </row>
    <row r="438" spans="1:29" collapsed="1">
      <c r="A438" s="584"/>
      <c r="B438" s="585"/>
      <c r="C438" s="584"/>
      <c r="D438" s="584"/>
      <c r="E438" s="585"/>
      <c r="F438" s="585" t="s">
        <v>384</v>
      </c>
      <c r="G438" s="584" t="s">
        <v>507</v>
      </c>
      <c r="H438" s="584"/>
      <c r="I438" s="584"/>
      <c r="J438" s="584"/>
      <c r="K438" s="584"/>
      <c r="L438" s="584"/>
      <c r="M438" s="584"/>
      <c r="N438" s="584"/>
      <c r="O438" s="631" t="s">
        <v>2321</v>
      </c>
      <c r="P438" s="750"/>
      <c r="Q438" s="750"/>
      <c r="R438" s="337"/>
      <c r="S438" s="348">
        <f t="shared" si="156"/>
        <v>0</v>
      </c>
      <c r="T438" s="1024" t="s">
        <v>561</v>
      </c>
      <c r="V438" s="328"/>
      <c r="W438" s="318"/>
      <c r="X438" s="384" t="s">
        <v>2321</v>
      </c>
      <c r="Y438" s="337"/>
      <c r="Z438" s="350" t="s">
        <v>2321</v>
      </c>
      <c r="AB438" s="328"/>
      <c r="AC438" s="328"/>
    </row>
    <row r="439" spans="1:29">
      <c r="A439" s="584"/>
      <c r="B439" s="585"/>
      <c r="C439" s="584"/>
      <c r="D439" s="584"/>
      <c r="E439" s="585"/>
      <c r="F439" s="585" t="s">
        <v>384</v>
      </c>
      <c r="G439" s="584" t="s">
        <v>508</v>
      </c>
      <c r="H439" s="584"/>
      <c r="I439" s="584"/>
      <c r="J439" s="584"/>
      <c r="K439" s="584"/>
      <c r="L439" s="584"/>
      <c r="M439" s="584"/>
      <c r="N439" s="584"/>
      <c r="O439" s="631" t="s">
        <v>2321</v>
      </c>
      <c r="P439" s="750"/>
      <c r="Q439" s="750"/>
      <c r="R439" s="337"/>
      <c r="S439" s="348">
        <f t="shared" si="156"/>
        <v>0</v>
      </c>
      <c r="T439" s="1025"/>
      <c r="V439" s="328"/>
      <c r="W439" s="318"/>
      <c r="X439" s="384" t="s">
        <v>2321</v>
      </c>
      <c r="Y439" s="337"/>
      <c r="Z439" s="350" t="s">
        <v>2321</v>
      </c>
      <c r="AB439" s="328"/>
      <c r="AC439" s="328"/>
    </row>
    <row r="440" spans="1:29">
      <c r="A440" s="584"/>
      <c r="B440" s="585"/>
      <c r="C440" s="584"/>
      <c r="D440" s="584"/>
      <c r="E440" s="585"/>
      <c r="F440" s="585" t="s">
        <v>384</v>
      </c>
      <c r="G440" s="584" t="s">
        <v>509</v>
      </c>
      <c r="H440" s="584"/>
      <c r="I440" s="584"/>
      <c r="J440" s="584"/>
      <c r="K440" s="584"/>
      <c r="L440" s="584"/>
      <c r="M440" s="584"/>
      <c r="N440" s="584"/>
      <c r="O440" s="631" t="s">
        <v>2321</v>
      </c>
      <c r="P440" s="750"/>
      <c r="Q440" s="750"/>
      <c r="R440" s="337"/>
      <c r="S440" s="348">
        <f t="shared" si="156"/>
        <v>0</v>
      </c>
      <c r="T440" s="1025"/>
      <c r="V440" s="328"/>
      <c r="W440" s="318"/>
      <c r="X440" s="384" t="s">
        <v>2321</v>
      </c>
      <c r="Y440" s="337"/>
      <c r="Z440" s="350" t="s">
        <v>2321</v>
      </c>
      <c r="AB440" s="328"/>
      <c r="AC440" s="328"/>
    </row>
    <row r="441" spans="1:29">
      <c r="A441" s="584"/>
      <c r="B441" s="585"/>
      <c r="C441" s="584"/>
      <c r="D441" s="584"/>
      <c r="E441" s="585"/>
      <c r="F441" s="585" t="s">
        <v>384</v>
      </c>
      <c r="G441" s="584" t="s">
        <v>510</v>
      </c>
      <c r="H441" s="584"/>
      <c r="I441" s="584"/>
      <c r="J441" s="584"/>
      <c r="K441" s="584"/>
      <c r="L441" s="584"/>
      <c r="M441" s="584"/>
      <c r="N441" s="584"/>
      <c r="O441" s="631" t="s">
        <v>2321</v>
      </c>
      <c r="P441" s="750"/>
      <c r="Q441" s="750"/>
      <c r="R441" s="337"/>
      <c r="S441" s="348">
        <f t="shared" si="156"/>
        <v>0</v>
      </c>
      <c r="T441" s="1026"/>
      <c r="V441" s="328"/>
      <c r="W441" s="318"/>
      <c r="X441" s="384" t="s">
        <v>2321</v>
      </c>
      <c r="Y441" s="337"/>
      <c r="Z441" s="350" t="s">
        <v>2321</v>
      </c>
      <c r="AB441" s="328"/>
      <c r="AC441" s="328"/>
    </row>
    <row r="442" spans="1:29" ht="20.399999999999999">
      <c r="A442" s="318"/>
      <c r="B442" s="319"/>
      <c r="C442" s="318"/>
      <c r="D442" s="318"/>
      <c r="E442" s="319"/>
      <c r="F442" s="336" t="s">
        <v>604</v>
      </c>
      <c r="G442" s="318" t="s">
        <v>908</v>
      </c>
      <c r="H442" s="318">
        <v>4.8</v>
      </c>
      <c r="I442" s="318">
        <v>1</v>
      </c>
      <c r="J442" s="318">
        <f>IF(N442&gt;0,1,0)</f>
        <v>1</v>
      </c>
      <c r="K442" s="318">
        <f>H442*J442</f>
        <v>4.8</v>
      </c>
      <c r="L442" s="350" t="s">
        <v>3373</v>
      </c>
      <c r="M442" s="350" t="s">
        <v>3404</v>
      </c>
      <c r="N442" s="318">
        <v>1</v>
      </c>
      <c r="O442" s="619">
        <f>H442*N442</f>
        <v>4.8</v>
      </c>
      <c r="P442" s="750">
        <v>1</v>
      </c>
      <c r="Q442" s="750"/>
      <c r="R442" s="337">
        <v>1</v>
      </c>
      <c r="S442" s="348">
        <f t="shared" si="156"/>
        <v>4.8</v>
      </c>
      <c r="T442" s="389" t="s">
        <v>3438</v>
      </c>
      <c r="V442" s="328">
        <v>4.49</v>
      </c>
      <c r="W442" s="320">
        <v>1</v>
      </c>
      <c r="X442" s="348">
        <f>V442*W442</f>
        <v>4.49</v>
      </c>
      <c r="Y442" s="330"/>
      <c r="Z442" s="348">
        <f>V442*Y442</f>
        <v>0</v>
      </c>
      <c r="AB442" s="328">
        <f>X442-O442</f>
        <v>-0.30999999999999961</v>
      </c>
      <c r="AC442" s="328">
        <f>Z442-S442</f>
        <v>-4.8</v>
      </c>
    </row>
    <row r="443" spans="1:29">
      <c r="A443" s="318"/>
      <c r="B443" s="319"/>
      <c r="C443" s="318"/>
      <c r="D443" s="318"/>
      <c r="E443" s="319"/>
      <c r="F443" s="319"/>
      <c r="G443" s="318" t="s">
        <v>909</v>
      </c>
      <c r="H443" s="318">
        <v>4.49</v>
      </c>
      <c r="I443" s="318">
        <v>1</v>
      </c>
      <c r="J443" s="318">
        <f>IF(N443&gt;0,1,0)</f>
        <v>1</v>
      </c>
      <c r="K443" s="318">
        <f>H443*J443</f>
        <v>4.49</v>
      </c>
      <c r="L443" s="318" t="s">
        <v>218</v>
      </c>
      <c r="M443" s="318"/>
      <c r="N443" s="318">
        <v>1</v>
      </c>
      <c r="O443" s="619">
        <f>H443*N443</f>
        <v>4.49</v>
      </c>
      <c r="P443" s="750">
        <v>1</v>
      </c>
      <c r="Q443" s="750"/>
      <c r="R443" s="337">
        <v>1</v>
      </c>
      <c r="S443" s="348">
        <f t="shared" si="156"/>
        <v>4.49</v>
      </c>
      <c r="T443" s="319"/>
      <c r="V443" s="328">
        <v>4.49</v>
      </c>
      <c r="W443" s="320">
        <v>1</v>
      </c>
      <c r="X443" s="348">
        <f>V443*W443</f>
        <v>4.49</v>
      </c>
      <c r="Y443" s="330"/>
      <c r="Z443" s="348">
        <f>V443*Y443</f>
        <v>0</v>
      </c>
      <c r="AB443" s="328">
        <f>X443-O443</f>
        <v>0</v>
      </c>
      <c r="AC443" s="328">
        <f>Z443-S443</f>
        <v>-4.49</v>
      </c>
    </row>
    <row r="444" spans="1:29">
      <c r="A444" s="318"/>
      <c r="B444" s="319"/>
      <c r="C444" s="318"/>
      <c r="D444" s="318"/>
      <c r="E444" s="319"/>
      <c r="F444" s="319"/>
      <c r="G444" s="318" t="s">
        <v>910</v>
      </c>
      <c r="H444" s="318">
        <v>4.49</v>
      </c>
      <c r="I444" s="318">
        <v>1</v>
      </c>
      <c r="J444" s="318">
        <f>IF(N444&gt;0,1,0)</f>
        <v>1</v>
      </c>
      <c r="K444" s="318">
        <f>H444*J444</f>
        <v>4.49</v>
      </c>
      <c r="L444" s="318" t="s">
        <v>218</v>
      </c>
      <c r="M444" s="318"/>
      <c r="N444" s="318">
        <v>1</v>
      </c>
      <c r="O444" s="619">
        <f>H444*N444</f>
        <v>4.49</v>
      </c>
      <c r="P444" s="750">
        <v>1</v>
      </c>
      <c r="Q444" s="750"/>
      <c r="R444" s="337">
        <v>1</v>
      </c>
      <c r="S444" s="348">
        <f t="shared" si="156"/>
        <v>4.49</v>
      </c>
      <c r="T444" s="319"/>
      <c r="V444" s="328">
        <v>4.49</v>
      </c>
      <c r="W444" s="320">
        <v>1</v>
      </c>
      <c r="X444" s="348">
        <f>V444*W444</f>
        <v>4.49</v>
      </c>
      <c r="Y444" s="330"/>
      <c r="Z444" s="348">
        <f>V444*Y444</f>
        <v>0</v>
      </c>
      <c r="AB444" s="328">
        <f>X444-O444</f>
        <v>0</v>
      </c>
      <c r="AC444" s="328">
        <f>Z444-S444</f>
        <v>-4.49</v>
      </c>
    </row>
    <row r="445" spans="1:29">
      <c r="A445" s="318"/>
      <c r="B445" s="319"/>
      <c r="C445" s="318"/>
      <c r="D445" s="318"/>
      <c r="E445" s="319"/>
      <c r="F445" s="319"/>
      <c r="G445" s="318" t="s">
        <v>911</v>
      </c>
      <c r="H445" s="318">
        <v>2.87</v>
      </c>
      <c r="I445" s="318">
        <v>1</v>
      </c>
      <c r="J445" s="318">
        <f>IF(N445&gt;0,1,0)</f>
        <v>1</v>
      </c>
      <c r="K445" s="318">
        <f>H445*J445</f>
        <v>2.87</v>
      </c>
      <c r="L445" s="318" t="s">
        <v>292</v>
      </c>
      <c r="M445" s="318">
        <v>116129</v>
      </c>
      <c r="N445" s="318">
        <v>1</v>
      </c>
      <c r="O445" s="619">
        <f>H445*N445</f>
        <v>2.87</v>
      </c>
      <c r="P445" s="750">
        <v>1</v>
      </c>
      <c r="Q445" s="750"/>
      <c r="R445" s="337">
        <v>1</v>
      </c>
      <c r="S445" s="348">
        <f t="shared" si="156"/>
        <v>2.87</v>
      </c>
      <c r="T445" s="319"/>
      <c r="V445" s="328">
        <f>1.14-0.6+2.355</f>
        <v>2.895</v>
      </c>
      <c r="W445" s="320">
        <v>1</v>
      </c>
      <c r="X445" s="348">
        <f>V445*W445</f>
        <v>2.895</v>
      </c>
      <c r="Y445" s="330">
        <v>1</v>
      </c>
      <c r="Z445" s="348">
        <f>V445*Y445</f>
        <v>2.895</v>
      </c>
      <c r="AB445" s="328">
        <f>X445-O445</f>
        <v>2.4999999999999911E-2</v>
      </c>
      <c r="AC445" s="328">
        <f>Z445-S445</f>
        <v>2.4999999999999911E-2</v>
      </c>
    </row>
    <row r="446" spans="1:29">
      <c r="A446" s="318"/>
      <c r="B446" s="319"/>
      <c r="C446" s="318"/>
      <c r="D446" s="318"/>
      <c r="E446" s="319"/>
      <c r="F446" s="319"/>
      <c r="G446" s="318"/>
      <c r="H446" s="318"/>
      <c r="I446" s="318"/>
      <c r="J446" s="382" t="s">
        <v>389</v>
      </c>
      <c r="K446" s="321">
        <f>SUM(K415:K445)</f>
        <v>108.00000000000001</v>
      </c>
      <c r="L446" s="318"/>
      <c r="M446" s="318"/>
      <c r="N446" s="382" t="s">
        <v>389</v>
      </c>
      <c r="O446" s="748">
        <f>SUM(O415:O445)</f>
        <v>108.00000000000001</v>
      </c>
      <c r="P446" s="751" t="s">
        <v>389</v>
      </c>
      <c r="Q446" s="751"/>
      <c r="R446" s="382"/>
      <c r="S446" s="321">
        <f>SUM(S415:S445)</f>
        <v>108.00000000000001</v>
      </c>
      <c r="T446" s="319"/>
      <c r="V446" s="328"/>
      <c r="W446" s="321" t="s">
        <v>389</v>
      </c>
      <c r="X446" s="338">
        <f>SUM(X415:X445)</f>
        <v>103.80499999999999</v>
      </c>
      <c r="Y446" s="321" t="s">
        <v>389</v>
      </c>
      <c r="Z446" s="338">
        <f>SUM(Z415:Z445)</f>
        <v>90.335000000000008</v>
      </c>
      <c r="AB446" s="328"/>
      <c r="AC446" s="328"/>
    </row>
    <row r="447" spans="1:29" ht="6.75" customHeight="1">
      <c r="A447" s="316"/>
      <c r="B447" s="317"/>
      <c r="C447" s="316"/>
      <c r="D447" s="316"/>
      <c r="E447" s="317"/>
      <c r="F447" s="317"/>
      <c r="G447" s="316"/>
      <c r="H447" s="316"/>
      <c r="I447" s="316"/>
      <c r="J447" s="316"/>
      <c r="K447" s="316"/>
      <c r="L447" s="316"/>
      <c r="M447" s="316"/>
      <c r="N447" s="316"/>
      <c r="O447" s="749"/>
      <c r="P447" s="633"/>
      <c r="Q447" s="633"/>
      <c r="R447" s="949"/>
      <c r="S447" s="339"/>
      <c r="T447" s="317"/>
      <c r="V447" s="332"/>
      <c r="W447" s="316"/>
      <c r="X447" s="339"/>
      <c r="Y447" s="316"/>
      <c r="Z447" s="339"/>
      <c r="AB447" s="332"/>
      <c r="AC447" s="332"/>
    </row>
    <row r="448" spans="1:29">
      <c r="A448" s="318">
        <v>12</v>
      </c>
      <c r="B448" s="319" t="s">
        <v>383</v>
      </c>
      <c r="C448" s="318">
        <v>600</v>
      </c>
      <c r="D448" s="318">
        <v>17</v>
      </c>
      <c r="E448" s="319">
        <v>1</v>
      </c>
      <c r="F448" s="319"/>
      <c r="G448" s="318" t="s">
        <v>912</v>
      </c>
      <c r="H448" s="318">
        <v>2.06</v>
      </c>
      <c r="I448" s="318">
        <v>1</v>
      </c>
      <c r="J448" s="318">
        <f t="shared" ref="J448:J454" si="158">IF(N448&gt;0,1,0)</f>
        <v>1</v>
      </c>
      <c r="K448" s="318">
        <f t="shared" ref="K448:K455" si="159">H448*J448</f>
        <v>2.06</v>
      </c>
      <c r="L448" s="318">
        <v>1444</v>
      </c>
      <c r="M448" s="318">
        <v>108</v>
      </c>
      <c r="N448" s="318">
        <v>1</v>
      </c>
      <c r="O448" s="619">
        <f t="shared" ref="O448:O455" si="160">H448*N448</f>
        <v>2.06</v>
      </c>
      <c r="P448" s="750">
        <v>1</v>
      </c>
      <c r="Q448" s="750"/>
      <c r="R448" s="337">
        <v>1</v>
      </c>
      <c r="S448" s="348">
        <f>H448*R448</f>
        <v>2.06</v>
      </c>
      <c r="T448" s="319"/>
      <c r="V448" s="328">
        <v>2.0499999999999998</v>
      </c>
      <c r="W448" s="320">
        <v>1</v>
      </c>
      <c r="X448" s="348">
        <f t="shared" ref="X448:X455" si="161">V448*W448</f>
        <v>2.0499999999999998</v>
      </c>
      <c r="Y448" s="330">
        <v>1</v>
      </c>
      <c r="Z448" s="348">
        <f t="shared" ref="Z448:Z455" si="162">V448*Y448</f>
        <v>2.0499999999999998</v>
      </c>
      <c r="AB448" s="328">
        <f t="shared" ref="AB448:AB455" si="163">X448-O448</f>
        <v>-1.0000000000000231E-2</v>
      </c>
      <c r="AC448" s="328">
        <f t="shared" ref="AC448:AC455" si="164">Z448-S448</f>
        <v>-1.0000000000000231E-2</v>
      </c>
    </row>
    <row r="449" spans="1:29">
      <c r="A449" s="318"/>
      <c r="B449" s="319"/>
      <c r="C449" s="318"/>
      <c r="D449" s="318"/>
      <c r="E449" s="319"/>
      <c r="F449" s="319"/>
      <c r="G449" s="318" t="s">
        <v>913</v>
      </c>
      <c r="H449" s="318">
        <v>3.81</v>
      </c>
      <c r="I449" s="318">
        <v>1</v>
      </c>
      <c r="J449" s="318">
        <f t="shared" si="158"/>
        <v>1</v>
      </c>
      <c r="K449" s="318">
        <f t="shared" si="159"/>
        <v>3.81</v>
      </c>
      <c r="L449" s="318"/>
      <c r="M449" s="318"/>
      <c r="N449" s="318">
        <v>1</v>
      </c>
      <c r="O449" s="619">
        <f t="shared" si="160"/>
        <v>3.81</v>
      </c>
      <c r="P449" s="750">
        <v>1</v>
      </c>
      <c r="Q449" s="750"/>
      <c r="R449" s="337">
        <v>1</v>
      </c>
      <c r="S449" s="348">
        <f>H449*R449</f>
        <v>3.81</v>
      </c>
      <c r="T449" s="319"/>
      <c r="V449" s="328">
        <v>3.802</v>
      </c>
      <c r="W449" s="320">
        <v>1</v>
      </c>
      <c r="X449" s="348">
        <f t="shared" si="161"/>
        <v>3.802</v>
      </c>
      <c r="Y449" s="330">
        <v>1</v>
      </c>
      <c r="Z449" s="348">
        <f t="shared" si="162"/>
        <v>3.802</v>
      </c>
      <c r="AB449" s="328">
        <f t="shared" si="163"/>
        <v>-8.0000000000000071E-3</v>
      </c>
      <c r="AC449" s="328">
        <f t="shared" si="164"/>
        <v>-8.0000000000000071E-3</v>
      </c>
    </row>
    <row r="450" spans="1:29">
      <c r="A450" s="318"/>
      <c r="B450" s="319"/>
      <c r="C450" s="318"/>
      <c r="D450" s="318"/>
      <c r="E450" s="319"/>
      <c r="F450" s="319"/>
      <c r="G450" s="318" t="s">
        <v>914</v>
      </c>
      <c r="H450" s="318">
        <v>3.81</v>
      </c>
      <c r="I450" s="318">
        <v>1</v>
      </c>
      <c r="J450" s="318">
        <f t="shared" si="158"/>
        <v>1</v>
      </c>
      <c r="K450" s="318">
        <f t="shared" si="159"/>
        <v>3.81</v>
      </c>
      <c r="L450" s="318"/>
      <c r="M450" s="318"/>
      <c r="N450" s="318">
        <v>1</v>
      </c>
      <c r="O450" s="619">
        <f t="shared" si="160"/>
        <v>3.81</v>
      </c>
      <c r="P450" s="750">
        <v>1</v>
      </c>
      <c r="Q450" s="750"/>
      <c r="R450" s="337">
        <v>1</v>
      </c>
      <c r="S450" s="348">
        <f t="shared" ref="S450:S481" si="165">H450*R450</f>
        <v>3.81</v>
      </c>
      <c r="T450" s="319"/>
      <c r="V450" s="328">
        <v>3.802</v>
      </c>
      <c r="W450" s="320">
        <v>1</v>
      </c>
      <c r="X450" s="348">
        <f t="shared" si="161"/>
        <v>3.802</v>
      </c>
      <c r="Y450" s="330">
        <v>1</v>
      </c>
      <c r="Z450" s="348">
        <f t="shared" si="162"/>
        <v>3.802</v>
      </c>
      <c r="AB450" s="328">
        <f t="shared" si="163"/>
        <v>-8.0000000000000071E-3</v>
      </c>
      <c r="AC450" s="328">
        <f t="shared" si="164"/>
        <v>-8.0000000000000071E-3</v>
      </c>
    </row>
    <row r="451" spans="1:29">
      <c r="A451" s="318"/>
      <c r="B451" s="319"/>
      <c r="C451" s="318"/>
      <c r="D451" s="318"/>
      <c r="E451" s="319"/>
      <c r="F451" s="336" t="s">
        <v>558</v>
      </c>
      <c r="G451" s="318" t="s">
        <v>915</v>
      </c>
      <c r="H451" s="318">
        <v>4.1500000000000004</v>
      </c>
      <c r="I451" s="318">
        <v>1</v>
      </c>
      <c r="J451" s="318">
        <f t="shared" si="158"/>
        <v>1</v>
      </c>
      <c r="K451" s="318">
        <f t="shared" si="159"/>
        <v>4.1500000000000004</v>
      </c>
      <c r="L451" s="318" t="s">
        <v>290</v>
      </c>
      <c r="M451" s="318" t="s">
        <v>291</v>
      </c>
      <c r="N451" s="318">
        <v>1</v>
      </c>
      <c r="O451" s="619">
        <f t="shared" si="160"/>
        <v>4.1500000000000004</v>
      </c>
      <c r="P451" s="750">
        <v>1</v>
      </c>
      <c r="Q451" s="750"/>
      <c r="R451" s="337">
        <v>1</v>
      </c>
      <c r="S451" s="348">
        <f t="shared" si="165"/>
        <v>4.1500000000000004</v>
      </c>
      <c r="T451" s="319"/>
      <c r="V451" s="328">
        <f>1.187+2.951</f>
        <v>4.1379999999999999</v>
      </c>
      <c r="W451" s="320">
        <v>1</v>
      </c>
      <c r="X451" s="348">
        <f t="shared" si="161"/>
        <v>4.1379999999999999</v>
      </c>
      <c r="Y451" s="330">
        <v>1</v>
      </c>
      <c r="Z451" s="348">
        <f t="shared" si="162"/>
        <v>4.1379999999999999</v>
      </c>
      <c r="AB451" s="328">
        <f t="shared" si="163"/>
        <v>-1.2000000000000455E-2</v>
      </c>
      <c r="AC451" s="328">
        <f t="shared" si="164"/>
        <v>-1.2000000000000455E-2</v>
      </c>
    </row>
    <row r="452" spans="1:29">
      <c r="A452" s="318"/>
      <c r="B452" s="319"/>
      <c r="C452" s="318"/>
      <c r="D452" s="318"/>
      <c r="E452" s="319"/>
      <c r="F452" s="336" t="s">
        <v>558</v>
      </c>
      <c r="G452" s="318" t="s">
        <v>916</v>
      </c>
      <c r="H452" s="318">
        <v>2.96</v>
      </c>
      <c r="I452" s="318">
        <v>1</v>
      </c>
      <c r="J452" s="318">
        <f t="shared" si="158"/>
        <v>1</v>
      </c>
      <c r="K452" s="318">
        <f t="shared" si="159"/>
        <v>2.96</v>
      </c>
      <c r="L452" s="318" t="s">
        <v>290</v>
      </c>
      <c r="M452" s="318" t="s">
        <v>291</v>
      </c>
      <c r="N452" s="318">
        <v>1</v>
      </c>
      <c r="O452" s="619">
        <f t="shared" si="160"/>
        <v>2.96</v>
      </c>
      <c r="P452" s="750">
        <v>1</v>
      </c>
      <c r="Q452" s="750"/>
      <c r="R452" s="337">
        <v>1</v>
      </c>
      <c r="S452" s="348">
        <f t="shared" si="165"/>
        <v>2.96</v>
      </c>
      <c r="T452" s="319"/>
      <c r="V452" s="328">
        <f>1.187+2.951</f>
        <v>4.1379999999999999</v>
      </c>
      <c r="W452" s="320">
        <v>1</v>
      </c>
      <c r="X452" s="348">
        <f t="shared" si="161"/>
        <v>4.1379999999999999</v>
      </c>
      <c r="Y452" s="330">
        <v>1</v>
      </c>
      <c r="Z452" s="348">
        <f t="shared" si="162"/>
        <v>4.1379999999999999</v>
      </c>
      <c r="AB452" s="328">
        <f t="shared" si="163"/>
        <v>1.1779999999999999</v>
      </c>
      <c r="AC452" s="328">
        <f t="shared" si="164"/>
        <v>1.1779999999999999</v>
      </c>
    </row>
    <row r="453" spans="1:29">
      <c r="A453" s="318"/>
      <c r="B453" s="319"/>
      <c r="C453" s="318"/>
      <c r="D453" s="318"/>
      <c r="E453" s="319"/>
      <c r="F453" s="319"/>
      <c r="G453" s="318" t="s">
        <v>917</v>
      </c>
      <c r="H453" s="318">
        <v>3.67</v>
      </c>
      <c r="I453" s="318">
        <v>1</v>
      </c>
      <c r="J453" s="318">
        <f t="shared" si="158"/>
        <v>1</v>
      </c>
      <c r="K453" s="318">
        <f t="shared" si="159"/>
        <v>3.67</v>
      </c>
      <c r="L453" s="318">
        <v>1450</v>
      </c>
      <c r="M453" s="318">
        <v>110</v>
      </c>
      <c r="N453" s="318">
        <v>1</v>
      </c>
      <c r="O453" s="619">
        <f t="shared" si="160"/>
        <v>3.67</v>
      </c>
      <c r="P453" s="750">
        <v>1</v>
      </c>
      <c r="Q453" s="750"/>
      <c r="R453" s="337">
        <v>1</v>
      </c>
      <c r="S453" s="348">
        <f t="shared" si="165"/>
        <v>3.67</v>
      </c>
      <c r="T453" s="319"/>
      <c r="V453" s="328">
        <v>3.6589999999999998</v>
      </c>
      <c r="W453" s="320">
        <v>1</v>
      </c>
      <c r="X453" s="348">
        <f t="shared" si="161"/>
        <v>3.6589999999999998</v>
      </c>
      <c r="Y453" s="330">
        <v>1</v>
      </c>
      <c r="Z453" s="348">
        <f t="shared" si="162"/>
        <v>3.6589999999999998</v>
      </c>
      <c r="AB453" s="328">
        <f t="shared" si="163"/>
        <v>-1.1000000000000121E-2</v>
      </c>
      <c r="AC453" s="328">
        <f t="shared" si="164"/>
        <v>-1.1000000000000121E-2</v>
      </c>
    </row>
    <row r="454" spans="1:29">
      <c r="A454" s="318"/>
      <c r="B454" s="319"/>
      <c r="C454" s="318"/>
      <c r="D454" s="318"/>
      <c r="E454" s="319"/>
      <c r="F454" s="319"/>
      <c r="G454" s="318" t="s">
        <v>918</v>
      </c>
      <c r="H454" s="318">
        <v>4.49</v>
      </c>
      <c r="I454" s="318">
        <v>1</v>
      </c>
      <c r="J454" s="318">
        <f t="shared" si="158"/>
        <v>1</v>
      </c>
      <c r="K454" s="318">
        <f t="shared" si="159"/>
        <v>4.49</v>
      </c>
      <c r="L454" s="318">
        <v>1445</v>
      </c>
      <c r="M454" s="318">
        <v>109</v>
      </c>
      <c r="N454" s="318">
        <v>1</v>
      </c>
      <c r="O454" s="619">
        <f t="shared" si="160"/>
        <v>4.49</v>
      </c>
      <c r="P454" s="750">
        <v>1</v>
      </c>
      <c r="Q454" s="750"/>
      <c r="R454" s="337">
        <v>1</v>
      </c>
      <c r="S454" s="348">
        <f t="shared" si="165"/>
        <v>4.49</v>
      </c>
      <c r="T454" s="319"/>
      <c r="V454" s="328">
        <v>4.49</v>
      </c>
      <c r="W454" s="320">
        <v>1</v>
      </c>
      <c r="X454" s="348">
        <f t="shared" si="161"/>
        <v>4.49</v>
      </c>
      <c r="Y454" s="330">
        <v>1</v>
      </c>
      <c r="Z454" s="348">
        <f t="shared" si="162"/>
        <v>4.49</v>
      </c>
      <c r="AB454" s="328">
        <f t="shared" si="163"/>
        <v>0</v>
      </c>
      <c r="AC454" s="328">
        <f t="shared" si="164"/>
        <v>0</v>
      </c>
    </row>
    <row r="455" spans="1:29" ht="20.399999999999999">
      <c r="A455" s="318"/>
      <c r="B455" s="319"/>
      <c r="C455" s="318"/>
      <c r="D455" s="318"/>
      <c r="E455" s="319"/>
      <c r="F455" s="336" t="s">
        <v>604</v>
      </c>
      <c r="G455" s="318" t="s">
        <v>919</v>
      </c>
      <c r="H455" s="318">
        <v>4.8</v>
      </c>
      <c r="I455" s="318">
        <v>1</v>
      </c>
      <c r="J455" s="318">
        <v>1</v>
      </c>
      <c r="K455" s="318">
        <f t="shared" si="159"/>
        <v>4.8</v>
      </c>
      <c r="L455" s="350" t="s">
        <v>3263</v>
      </c>
      <c r="M455" s="350" t="s">
        <v>3246</v>
      </c>
      <c r="N455" s="318">
        <v>1</v>
      </c>
      <c r="O455" s="619">
        <f t="shared" si="160"/>
        <v>4.8</v>
      </c>
      <c r="P455" s="750">
        <v>1</v>
      </c>
      <c r="Q455" s="750"/>
      <c r="R455" s="337">
        <v>1</v>
      </c>
      <c r="S455" s="348">
        <f t="shared" si="165"/>
        <v>4.8</v>
      </c>
      <c r="T455" s="319" t="s">
        <v>3440</v>
      </c>
      <c r="V455" s="328">
        <f t="shared" ref="V455:V464" si="166">4.49</f>
        <v>4.49</v>
      </c>
      <c r="W455" s="320"/>
      <c r="X455" s="348">
        <f t="shared" si="161"/>
        <v>0</v>
      </c>
      <c r="Y455" s="330"/>
      <c r="Z455" s="348">
        <f t="shared" si="162"/>
        <v>0</v>
      </c>
      <c r="AB455" s="328">
        <f t="shared" si="163"/>
        <v>-4.8</v>
      </c>
      <c r="AC455" s="328">
        <f t="shared" si="164"/>
        <v>-4.8</v>
      </c>
    </row>
    <row r="456" spans="1:29" collapsed="1">
      <c r="A456" s="584"/>
      <c r="B456" s="585"/>
      <c r="C456" s="584"/>
      <c r="D456" s="584"/>
      <c r="E456" s="585"/>
      <c r="F456" s="585" t="s">
        <v>384</v>
      </c>
      <c r="G456" s="584" t="s">
        <v>511</v>
      </c>
      <c r="H456" s="584"/>
      <c r="I456" s="584"/>
      <c r="J456" s="584"/>
      <c r="K456" s="584"/>
      <c r="L456" s="584"/>
      <c r="M456" s="584"/>
      <c r="N456" s="584"/>
      <c r="O456" s="631" t="s">
        <v>2321</v>
      </c>
      <c r="P456" s="750"/>
      <c r="Q456" s="750"/>
      <c r="R456" s="337"/>
      <c r="S456" s="348">
        <f t="shared" si="165"/>
        <v>0</v>
      </c>
      <c r="T456" s="1024" t="s">
        <v>561</v>
      </c>
      <c r="V456" s="328"/>
      <c r="W456" s="318"/>
      <c r="X456" s="384" t="s">
        <v>2321</v>
      </c>
      <c r="Y456" s="337"/>
      <c r="Z456" s="350" t="s">
        <v>2321</v>
      </c>
      <c r="AB456" s="328"/>
      <c r="AC456" s="328"/>
    </row>
    <row r="457" spans="1:29">
      <c r="A457" s="584"/>
      <c r="B457" s="585"/>
      <c r="C457" s="584"/>
      <c r="D457" s="584"/>
      <c r="E457" s="585"/>
      <c r="F457" s="585" t="s">
        <v>384</v>
      </c>
      <c r="G457" s="584" t="s">
        <v>512</v>
      </c>
      <c r="H457" s="584"/>
      <c r="I457" s="584"/>
      <c r="J457" s="584"/>
      <c r="K457" s="584"/>
      <c r="L457" s="584"/>
      <c r="M457" s="584"/>
      <c r="N457" s="584"/>
      <c r="O457" s="631" t="s">
        <v>2321</v>
      </c>
      <c r="P457" s="750"/>
      <c r="Q457" s="750"/>
      <c r="R457" s="337"/>
      <c r="S457" s="348">
        <f t="shared" si="165"/>
        <v>0</v>
      </c>
      <c r="T457" s="1025"/>
      <c r="V457" s="328"/>
      <c r="W457" s="318"/>
      <c r="X457" s="384" t="s">
        <v>2321</v>
      </c>
      <c r="Y457" s="337"/>
      <c r="Z457" s="350" t="s">
        <v>2321</v>
      </c>
      <c r="AB457" s="328"/>
      <c r="AC457" s="328"/>
    </row>
    <row r="458" spans="1:29">
      <c r="A458" s="584"/>
      <c r="B458" s="585"/>
      <c r="C458" s="584"/>
      <c r="D458" s="584"/>
      <c r="E458" s="585"/>
      <c r="F458" s="585" t="s">
        <v>384</v>
      </c>
      <c r="G458" s="584" t="s">
        <v>513</v>
      </c>
      <c r="H458" s="584"/>
      <c r="I458" s="584"/>
      <c r="J458" s="584"/>
      <c r="K458" s="584"/>
      <c r="L458" s="584"/>
      <c r="M458" s="584"/>
      <c r="N458" s="584"/>
      <c r="O458" s="631" t="s">
        <v>2321</v>
      </c>
      <c r="P458" s="750"/>
      <c r="Q458" s="750"/>
      <c r="R458" s="337"/>
      <c r="S458" s="348">
        <f t="shared" si="165"/>
        <v>0</v>
      </c>
      <c r="T458" s="1025"/>
      <c r="V458" s="328"/>
      <c r="W458" s="318"/>
      <c r="X458" s="384" t="s">
        <v>2321</v>
      </c>
      <c r="Y458" s="337"/>
      <c r="Z458" s="350" t="s">
        <v>2321</v>
      </c>
      <c r="AB458" s="328"/>
      <c r="AC458" s="328"/>
    </row>
    <row r="459" spans="1:29">
      <c r="A459" s="584"/>
      <c r="B459" s="585"/>
      <c r="C459" s="584"/>
      <c r="D459" s="584"/>
      <c r="E459" s="585"/>
      <c r="F459" s="585" t="s">
        <v>384</v>
      </c>
      <c r="G459" s="584" t="s">
        <v>514</v>
      </c>
      <c r="H459" s="584"/>
      <c r="I459" s="584"/>
      <c r="J459" s="584"/>
      <c r="K459" s="584"/>
      <c r="L459" s="584"/>
      <c r="M459" s="584"/>
      <c r="N459" s="584"/>
      <c r="O459" s="631" t="s">
        <v>2321</v>
      </c>
      <c r="P459" s="750"/>
      <c r="Q459" s="750"/>
      <c r="R459" s="337"/>
      <c r="S459" s="348">
        <f t="shared" si="165"/>
        <v>0</v>
      </c>
      <c r="T459" s="1026"/>
      <c r="V459" s="328"/>
      <c r="W459" s="318"/>
      <c r="X459" s="384" t="s">
        <v>2321</v>
      </c>
      <c r="Y459" s="337"/>
      <c r="Z459" s="350" t="s">
        <v>2321</v>
      </c>
      <c r="AB459" s="328"/>
      <c r="AC459" s="328"/>
    </row>
    <row r="460" spans="1:29" ht="20.399999999999999">
      <c r="A460" s="318"/>
      <c r="B460" s="319"/>
      <c r="C460" s="318"/>
      <c r="D460" s="318"/>
      <c r="E460" s="319"/>
      <c r="F460" s="336" t="s">
        <v>604</v>
      </c>
      <c r="G460" s="318" t="s">
        <v>920</v>
      </c>
      <c r="H460" s="318">
        <v>4.8</v>
      </c>
      <c r="I460" s="318">
        <v>1</v>
      </c>
      <c r="J460" s="318">
        <v>1</v>
      </c>
      <c r="K460" s="318">
        <f t="shared" ref="K460:K481" si="167">H460*J460</f>
        <v>4.8</v>
      </c>
      <c r="L460" s="352" t="s">
        <v>3355</v>
      </c>
      <c r="M460" s="350" t="s">
        <v>3238</v>
      </c>
      <c r="N460" s="318">
        <v>1</v>
      </c>
      <c r="O460" s="619">
        <f t="shared" ref="O460:O481" si="168">H460*N460</f>
        <v>4.8</v>
      </c>
      <c r="P460" s="750">
        <v>1</v>
      </c>
      <c r="Q460" s="750"/>
      <c r="R460" s="337">
        <v>1</v>
      </c>
      <c r="S460" s="348">
        <f t="shared" si="165"/>
        <v>4.8</v>
      </c>
      <c r="T460" s="319" t="s">
        <v>3440</v>
      </c>
      <c r="V460" s="328">
        <f t="shared" si="166"/>
        <v>4.49</v>
      </c>
      <c r="W460" s="320"/>
      <c r="X460" s="348">
        <f t="shared" ref="X460:X481" si="169">V460*W460</f>
        <v>0</v>
      </c>
      <c r="Y460" s="330"/>
      <c r="Z460" s="348">
        <f t="shared" ref="Z460:Z481" si="170">V460*Y460</f>
        <v>0</v>
      </c>
      <c r="AB460" s="328">
        <f t="shared" ref="AB460:AB481" si="171">X460-O460</f>
        <v>-4.8</v>
      </c>
      <c r="AC460" s="328">
        <f t="shared" ref="AC460:AC481" si="172">Z460-S460</f>
        <v>-4.8</v>
      </c>
    </row>
    <row r="461" spans="1:29">
      <c r="A461" s="318"/>
      <c r="B461" s="319"/>
      <c r="C461" s="318"/>
      <c r="D461" s="318"/>
      <c r="E461" s="319"/>
      <c r="F461" s="336"/>
      <c r="G461" s="318" t="s">
        <v>921</v>
      </c>
      <c r="H461" s="318">
        <v>4.49</v>
      </c>
      <c r="I461" s="318">
        <v>1</v>
      </c>
      <c r="J461" s="318">
        <f t="shared" ref="J461:J481" si="173">IF(N461&gt;0,1,0)</f>
        <v>1</v>
      </c>
      <c r="K461" s="318">
        <f t="shared" si="167"/>
        <v>4.49</v>
      </c>
      <c r="L461" s="318">
        <v>1304</v>
      </c>
      <c r="M461" s="318" t="s">
        <v>172</v>
      </c>
      <c r="N461" s="318">
        <v>1</v>
      </c>
      <c r="O461" s="619">
        <f t="shared" si="168"/>
        <v>4.49</v>
      </c>
      <c r="P461" s="750">
        <v>1</v>
      </c>
      <c r="Q461" s="750"/>
      <c r="R461" s="337">
        <v>1</v>
      </c>
      <c r="S461" s="348">
        <f t="shared" si="165"/>
        <v>4.49</v>
      </c>
      <c r="T461" s="319"/>
      <c r="V461" s="328">
        <f t="shared" si="166"/>
        <v>4.49</v>
      </c>
      <c r="W461" s="320">
        <v>1</v>
      </c>
      <c r="X461" s="348">
        <f t="shared" si="169"/>
        <v>4.49</v>
      </c>
      <c r="Y461" s="330">
        <v>1</v>
      </c>
      <c r="Z461" s="348">
        <f t="shared" si="170"/>
        <v>4.49</v>
      </c>
      <c r="AB461" s="328">
        <f t="shared" si="171"/>
        <v>0</v>
      </c>
      <c r="AC461" s="328">
        <f t="shared" si="172"/>
        <v>0</v>
      </c>
    </row>
    <row r="462" spans="1:29">
      <c r="A462" s="318"/>
      <c r="B462" s="319"/>
      <c r="C462" s="318"/>
      <c r="D462" s="318"/>
      <c r="E462" s="319"/>
      <c r="F462" s="319"/>
      <c r="G462" s="318" t="s">
        <v>922</v>
      </c>
      <c r="H462" s="318">
        <v>4.49</v>
      </c>
      <c r="I462" s="318">
        <v>1</v>
      </c>
      <c r="J462" s="318">
        <f t="shared" si="173"/>
        <v>1</v>
      </c>
      <c r="K462" s="318">
        <f t="shared" si="167"/>
        <v>4.49</v>
      </c>
      <c r="L462" s="318">
        <v>1304</v>
      </c>
      <c r="M462" s="318" t="s">
        <v>172</v>
      </c>
      <c r="N462" s="318">
        <v>1</v>
      </c>
      <c r="O462" s="619">
        <f t="shared" si="168"/>
        <v>4.49</v>
      </c>
      <c r="P462" s="750">
        <v>1</v>
      </c>
      <c r="Q462" s="750"/>
      <c r="R462" s="337">
        <v>1</v>
      </c>
      <c r="S462" s="348">
        <f t="shared" si="165"/>
        <v>4.49</v>
      </c>
      <c r="T462" s="319"/>
      <c r="V462" s="328">
        <f t="shared" si="166"/>
        <v>4.49</v>
      </c>
      <c r="W462" s="320">
        <v>1</v>
      </c>
      <c r="X462" s="348">
        <f t="shared" si="169"/>
        <v>4.49</v>
      </c>
      <c r="Y462" s="330">
        <v>1</v>
      </c>
      <c r="Z462" s="348">
        <f t="shared" si="170"/>
        <v>4.49</v>
      </c>
      <c r="AB462" s="328">
        <f t="shared" si="171"/>
        <v>0</v>
      </c>
      <c r="AC462" s="328">
        <f t="shared" si="172"/>
        <v>0</v>
      </c>
    </row>
    <row r="463" spans="1:29">
      <c r="A463" s="318"/>
      <c r="B463" s="319"/>
      <c r="C463" s="318"/>
      <c r="D463" s="318"/>
      <c r="E463" s="319"/>
      <c r="F463" s="319"/>
      <c r="G463" s="318" t="s">
        <v>923</v>
      </c>
      <c r="H463" s="318">
        <v>4.49</v>
      </c>
      <c r="I463" s="318">
        <v>1</v>
      </c>
      <c r="J463" s="318">
        <f t="shared" si="173"/>
        <v>1</v>
      </c>
      <c r="K463" s="318">
        <f t="shared" si="167"/>
        <v>4.49</v>
      </c>
      <c r="L463" s="318">
        <v>1302</v>
      </c>
      <c r="M463" s="318" t="s">
        <v>235</v>
      </c>
      <c r="N463" s="318">
        <v>1</v>
      </c>
      <c r="O463" s="619">
        <f t="shared" si="168"/>
        <v>4.49</v>
      </c>
      <c r="P463" s="750">
        <v>1</v>
      </c>
      <c r="Q463" s="750"/>
      <c r="R463" s="337">
        <v>1</v>
      </c>
      <c r="S463" s="348">
        <f t="shared" si="165"/>
        <v>4.49</v>
      </c>
      <c r="T463" s="319"/>
      <c r="V463" s="328">
        <f t="shared" si="166"/>
        <v>4.49</v>
      </c>
      <c r="W463" s="320">
        <v>1</v>
      </c>
      <c r="X463" s="348">
        <f t="shared" si="169"/>
        <v>4.49</v>
      </c>
      <c r="Y463" s="330">
        <v>1</v>
      </c>
      <c r="Z463" s="348">
        <f t="shared" si="170"/>
        <v>4.49</v>
      </c>
      <c r="AB463" s="328">
        <f t="shared" si="171"/>
        <v>0</v>
      </c>
      <c r="AC463" s="328">
        <f t="shared" si="172"/>
        <v>0</v>
      </c>
    </row>
    <row r="464" spans="1:29">
      <c r="A464" s="318"/>
      <c r="B464" s="319"/>
      <c r="C464" s="318"/>
      <c r="D464" s="318"/>
      <c r="E464" s="319"/>
      <c r="F464" s="319"/>
      <c r="G464" s="318" t="s">
        <v>924</v>
      </c>
      <c r="H464" s="318">
        <v>4.49</v>
      </c>
      <c r="I464" s="318">
        <v>1</v>
      </c>
      <c r="J464" s="318">
        <f t="shared" si="173"/>
        <v>1</v>
      </c>
      <c r="K464" s="318">
        <f t="shared" si="167"/>
        <v>4.49</v>
      </c>
      <c r="L464" s="318">
        <v>1302</v>
      </c>
      <c r="M464" s="318" t="s">
        <v>235</v>
      </c>
      <c r="N464" s="318">
        <v>1</v>
      </c>
      <c r="O464" s="619">
        <f t="shared" si="168"/>
        <v>4.49</v>
      </c>
      <c r="P464" s="750">
        <v>1</v>
      </c>
      <c r="Q464" s="750"/>
      <c r="R464" s="337">
        <v>1</v>
      </c>
      <c r="S464" s="348">
        <f t="shared" si="165"/>
        <v>4.49</v>
      </c>
      <c r="T464" s="319"/>
      <c r="V464" s="328">
        <f t="shared" si="166"/>
        <v>4.49</v>
      </c>
      <c r="W464" s="320">
        <v>1</v>
      </c>
      <c r="X464" s="348">
        <f t="shared" si="169"/>
        <v>4.49</v>
      </c>
      <c r="Y464" s="330">
        <v>1</v>
      </c>
      <c r="Z464" s="348">
        <f t="shared" si="170"/>
        <v>4.49</v>
      </c>
      <c r="AB464" s="328">
        <f t="shared" si="171"/>
        <v>0</v>
      </c>
      <c r="AC464" s="328">
        <f t="shared" si="172"/>
        <v>0</v>
      </c>
    </row>
    <row r="465" spans="1:29">
      <c r="A465" s="318"/>
      <c r="B465" s="319"/>
      <c r="C465" s="318"/>
      <c r="D465" s="318"/>
      <c r="E465" s="319"/>
      <c r="F465" s="336" t="s">
        <v>696</v>
      </c>
      <c r="G465" s="318" t="s">
        <v>925</v>
      </c>
      <c r="H465" s="318">
        <v>4.9800000000000004</v>
      </c>
      <c r="I465" s="318">
        <v>1</v>
      </c>
      <c r="J465" s="318">
        <f t="shared" si="173"/>
        <v>1</v>
      </c>
      <c r="K465" s="318">
        <f t="shared" si="167"/>
        <v>4.9800000000000004</v>
      </c>
      <c r="L465" s="318">
        <v>1502</v>
      </c>
      <c r="M465" s="318">
        <v>127</v>
      </c>
      <c r="N465" s="318">
        <v>1</v>
      </c>
      <c r="O465" s="619">
        <f t="shared" si="168"/>
        <v>4.9800000000000004</v>
      </c>
      <c r="P465" s="750">
        <v>1</v>
      </c>
      <c r="Q465" s="750"/>
      <c r="R465" s="337">
        <v>1</v>
      </c>
      <c r="S465" s="348">
        <f t="shared" si="165"/>
        <v>4.9800000000000004</v>
      </c>
      <c r="T465" s="319"/>
      <c r="V465" s="328">
        <f>1.8+3.805-0.6</f>
        <v>5.0050000000000008</v>
      </c>
      <c r="W465" s="320">
        <v>1</v>
      </c>
      <c r="X465" s="348">
        <f t="shared" si="169"/>
        <v>5.0050000000000008</v>
      </c>
      <c r="Y465" s="330">
        <v>1</v>
      </c>
      <c r="Z465" s="348">
        <f t="shared" si="170"/>
        <v>5.0050000000000008</v>
      </c>
      <c r="AB465" s="328">
        <f t="shared" si="171"/>
        <v>2.5000000000000355E-2</v>
      </c>
      <c r="AC465" s="328">
        <f t="shared" si="172"/>
        <v>2.5000000000000355E-2</v>
      </c>
    </row>
    <row r="466" spans="1:29">
      <c r="A466" s="318"/>
      <c r="B466" s="319"/>
      <c r="C466" s="318"/>
      <c r="D466" s="318"/>
      <c r="E466" s="319"/>
      <c r="F466" s="336"/>
      <c r="G466" s="318" t="s">
        <v>926</v>
      </c>
      <c r="H466" s="319">
        <v>4.3499999999999996</v>
      </c>
      <c r="I466" s="318">
        <v>1</v>
      </c>
      <c r="J466" s="318">
        <f t="shared" si="173"/>
        <v>1</v>
      </c>
      <c r="K466" s="318">
        <f t="shared" si="167"/>
        <v>4.3499999999999996</v>
      </c>
      <c r="L466" s="318">
        <v>1302</v>
      </c>
      <c r="M466" s="318" t="s">
        <v>235</v>
      </c>
      <c r="N466" s="318">
        <v>1</v>
      </c>
      <c r="O466" s="619">
        <f t="shared" si="168"/>
        <v>4.3499999999999996</v>
      </c>
      <c r="P466" s="750">
        <v>1</v>
      </c>
      <c r="Q466" s="750"/>
      <c r="R466" s="337">
        <v>1</v>
      </c>
      <c r="S466" s="348">
        <f t="shared" si="165"/>
        <v>4.3499999999999996</v>
      </c>
      <c r="T466" s="319"/>
      <c r="V466" s="333">
        <v>4.34</v>
      </c>
      <c r="W466" s="320">
        <v>1</v>
      </c>
      <c r="X466" s="348">
        <f t="shared" si="169"/>
        <v>4.34</v>
      </c>
      <c r="Y466" s="330">
        <v>1</v>
      </c>
      <c r="Z466" s="348">
        <f t="shared" si="170"/>
        <v>4.34</v>
      </c>
      <c r="AB466" s="333">
        <f t="shared" si="171"/>
        <v>-9.9999999999997868E-3</v>
      </c>
      <c r="AC466" s="333">
        <f t="shared" si="172"/>
        <v>-9.9999999999997868E-3</v>
      </c>
    </row>
    <row r="467" spans="1:29">
      <c r="A467" s="318"/>
      <c r="B467" s="319"/>
      <c r="C467" s="318"/>
      <c r="D467" s="318"/>
      <c r="E467" s="319"/>
      <c r="F467" s="336"/>
      <c r="G467" s="318" t="s">
        <v>927</v>
      </c>
      <c r="H467" s="319">
        <v>4.3499999999999996</v>
      </c>
      <c r="I467" s="318">
        <v>1</v>
      </c>
      <c r="J467" s="318">
        <f t="shared" si="173"/>
        <v>1</v>
      </c>
      <c r="K467" s="318">
        <f t="shared" si="167"/>
        <v>4.3499999999999996</v>
      </c>
      <c r="L467" s="318">
        <v>1302</v>
      </c>
      <c r="M467" s="318" t="s">
        <v>235</v>
      </c>
      <c r="N467" s="318">
        <v>1</v>
      </c>
      <c r="O467" s="619">
        <f t="shared" si="168"/>
        <v>4.3499999999999996</v>
      </c>
      <c r="P467" s="750">
        <v>1</v>
      </c>
      <c r="Q467" s="750"/>
      <c r="R467" s="337">
        <v>1</v>
      </c>
      <c r="S467" s="348">
        <f t="shared" si="165"/>
        <v>4.3499999999999996</v>
      </c>
      <c r="T467" s="319"/>
      <c r="V467" s="333">
        <v>4.34</v>
      </c>
      <c r="W467" s="320">
        <v>1</v>
      </c>
      <c r="X467" s="348">
        <f t="shared" si="169"/>
        <v>4.34</v>
      </c>
      <c r="Y467" s="330">
        <v>1</v>
      </c>
      <c r="Z467" s="348">
        <f t="shared" si="170"/>
        <v>4.34</v>
      </c>
      <c r="AB467" s="333">
        <f t="shared" si="171"/>
        <v>-9.9999999999997868E-3</v>
      </c>
      <c r="AC467" s="333">
        <f t="shared" si="172"/>
        <v>-9.9999999999997868E-3</v>
      </c>
    </row>
    <row r="468" spans="1:29">
      <c r="A468" s="318"/>
      <c r="B468" s="319"/>
      <c r="C468" s="318"/>
      <c r="D468" s="318"/>
      <c r="E468" s="319"/>
      <c r="F468" s="319"/>
      <c r="G468" s="318" t="s">
        <v>928</v>
      </c>
      <c r="H468" s="319">
        <v>4.3499999999999996</v>
      </c>
      <c r="I468" s="318">
        <v>1</v>
      </c>
      <c r="J468" s="318">
        <f t="shared" si="173"/>
        <v>1</v>
      </c>
      <c r="K468" s="318">
        <f t="shared" si="167"/>
        <v>4.3499999999999996</v>
      </c>
      <c r="L468" s="318">
        <v>1304</v>
      </c>
      <c r="M468" s="318" t="s">
        <v>172</v>
      </c>
      <c r="N468" s="318">
        <v>1</v>
      </c>
      <c r="O468" s="619">
        <f t="shared" si="168"/>
        <v>4.3499999999999996</v>
      </c>
      <c r="P468" s="750">
        <v>1</v>
      </c>
      <c r="Q468" s="750"/>
      <c r="R468" s="337">
        <v>1</v>
      </c>
      <c r="S468" s="348">
        <f t="shared" si="165"/>
        <v>4.3499999999999996</v>
      </c>
      <c r="T468" s="319"/>
      <c r="V468" s="333">
        <v>4.34</v>
      </c>
      <c r="W468" s="320">
        <v>1</v>
      </c>
      <c r="X468" s="348">
        <f t="shared" si="169"/>
        <v>4.34</v>
      </c>
      <c r="Y468" s="330">
        <v>1</v>
      </c>
      <c r="Z468" s="348">
        <f t="shared" si="170"/>
        <v>4.34</v>
      </c>
      <c r="AB468" s="333">
        <f t="shared" si="171"/>
        <v>-9.9999999999997868E-3</v>
      </c>
      <c r="AC468" s="333">
        <f t="shared" si="172"/>
        <v>-9.9999999999997868E-3</v>
      </c>
    </row>
    <row r="469" spans="1:29">
      <c r="A469" s="318"/>
      <c r="B469" s="319"/>
      <c r="C469" s="318"/>
      <c r="D469" s="318"/>
      <c r="E469" s="319"/>
      <c r="F469" s="319"/>
      <c r="G469" s="318" t="s">
        <v>929</v>
      </c>
      <c r="H469" s="319">
        <v>4.3499999999999996</v>
      </c>
      <c r="I469" s="318">
        <v>1</v>
      </c>
      <c r="J469" s="318">
        <f t="shared" si="173"/>
        <v>1</v>
      </c>
      <c r="K469" s="318">
        <f t="shared" si="167"/>
        <v>4.3499999999999996</v>
      </c>
      <c r="L469" s="318">
        <v>1308</v>
      </c>
      <c r="M469" s="318" t="s">
        <v>236</v>
      </c>
      <c r="N469" s="318">
        <v>1</v>
      </c>
      <c r="O469" s="619">
        <f t="shared" si="168"/>
        <v>4.3499999999999996</v>
      </c>
      <c r="P469" s="750">
        <v>1</v>
      </c>
      <c r="Q469" s="750"/>
      <c r="R469" s="337">
        <v>1</v>
      </c>
      <c r="S469" s="348">
        <f t="shared" si="165"/>
        <v>4.3499999999999996</v>
      </c>
      <c r="T469" s="319"/>
      <c r="V469" s="333">
        <v>4.34</v>
      </c>
      <c r="W469" s="320">
        <v>1</v>
      </c>
      <c r="X469" s="348">
        <f t="shared" si="169"/>
        <v>4.34</v>
      </c>
      <c r="Y469" s="330">
        <v>1</v>
      </c>
      <c r="Z469" s="348">
        <f t="shared" si="170"/>
        <v>4.34</v>
      </c>
      <c r="AB469" s="333">
        <f t="shared" si="171"/>
        <v>-9.9999999999997868E-3</v>
      </c>
      <c r="AC469" s="333">
        <f t="shared" si="172"/>
        <v>-9.9999999999997868E-3</v>
      </c>
    </row>
    <row r="470" spans="1:29">
      <c r="A470" s="318"/>
      <c r="B470" s="319"/>
      <c r="C470" s="318"/>
      <c r="D470" s="318"/>
      <c r="E470" s="319"/>
      <c r="F470" s="336" t="s">
        <v>696</v>
      </c>
      <c r="G470" s="318" t="s">
        <v>930</v>
      </c>
      <c r="H470" s="318">
        <v>5.17</v>
      </c>
      <c r="I470" s="318">
        <v>1</v>
      </c>
      <c r="J470" s="318">
        <f t="shared" si="173"/>
        <v>1</v>
      </c>
      <c r="K470" s="318">
        <f t="shared" si="167"/>
        <v>5.17</v>
      </c>
      <c r="L470" s="318">
        <v>1502</v>
      </c>
      <c r="M470" s="318">
        <v>127</v>
      </c>
      <c r="N470" s="318">
        <v>1</v>
      </c>
      <c r="O470" s="619">
        <f t="shared" si="168"/>
        <v>5.17</v>
      </c>
      <c r="P470" s="750">
        <v>1</v>
      </c>
      <c r="Q470" s="750"/>
      <c r="R470" s="337">
        <v>1</v>
      </c>
      <c r="S470" s="348">
        <f t="shared" si="165"/>
        <v>5.17</v>
      </c>
      <c r="T470" s="319"/>
      <c r="V470" s="328">
        <f>3.995+1.8-0.6</f>
        <v>5.1950000000000003</v>
      </c>
      <c r="W470" s="320">
        <v>1</v>
      </c>
      <c r="X470" s="348">
        <f t="shared" si="169"/>
        <v>5.1950000000000003</v>
      </c>
      <c r="Y470" s="330">
        <v>1</v>
      </c>
      <c r="Z470" s="348">
        <f t="shared" si="170"/>
        <v>5.1950000000000003</v>
      </c>
      <c r="AB470" s="328">
        <f t="shared" si="171"/>
        <v>2.5000000000000355E-2</v>
      </c>
      <c r="AC470" s="328">
        <f t="shared" si="172"/>
        <v>2.5000000000000355E-2</v>
      </c>
    </row>
    <row r="471" spans="1:29" ht="14.4" customHeight="1">
      <c r="A471" s="318"/>
      <c r="B471" s="319"/>
      <c r="C471" s="318"/>
      <c r="D471" s="318"/>
      <c r="E471" s="319"/>
      <c r="F471" s="319"/>
      <c r="G471" s="318" t="s">
        <v>931</v>
      </c>
      <c r="H471" s="318">
        <v>4.49</v>
      </c>
      <c r="I471" s="318">
        <v>1</v>
      </c>
      <c r="J471" s="318">
        <f t="shared" si="173"/>
        <v>1</v>
      </c>
      <c r="K471" s="318">
        <f t="shared" si="167"/>
        <v>4.49</v>
      </c>
      <c r="L471" s="318">
        <v>1292</v>
      </c>
      <c r="M471" s="318" t="s">
        <v>231</v>
      </c>
      <c r="N471" s="318">
        <v>1</v>
      </c>
      <c r="O471" s="619">
        <f t="shared" si="168"/>
        <v>4.49</v>
      </c>
      <c r="P471" s="750">
        <v>1</v>
      </c>
      <c r="Q471" s="750"/>
      <c r="R471" s="337">
        <v>1</v>
      </c>
      <c r="S471" s="348">
        <f t="shared" si="165"/>
        <v>4.49</v>
      </c>
      <c r="T471" s="319"/>
      <c r="V471" s="328">
        <v>4.49</v>
      </c>
      <c r="W471" s="320">
        <v>1</v>
      </c>
      <c r="X471" s="348">
        <f t="shared" si="169"/>
        <v>4.49</v>
      </c>
      <c r="Y471" s="330">
        <v>1</v>
      </c>
      <c r="Z471" s="348">
        <f t="shared" si="170"/>
        <v>4.49</v>
      </c>
      <c r="AB471" s="328">
        <f t="shared" si="171"/>
        <v>0</v>
      </c>
      <c r="AC471" s="328">
        <f t="shared" si="172"/>
        <v>0</v>
      </c>
    </row>
    <row r="472" spans="1:29">
      <c r="A472" s="318"/>
      <c r="B472" s="319"/>
      <c r="C472" s="318"/>
      <c r="D472" s="318"/>
      <c r="E472" s="319"/>
      <c r="F472" s="319"/>
      <c r="G472" s="318" t="s">
        <v>932</v>
      </c>
      <c r="H472" s="318">
        <v>4.49</v>
      </c>
      <c r="I472" s="318">
        <v>1</v>
      </c>
      <c r="J472" s="318">
        <f t="shared" si="173"/>
        <v>1</v>
      </c>
      <c r="K472" s="318">
        <f t="shared" si="167"/>
        <v>4.49</v>
      </c>
      <c r="L472" s="318">
        <v>1282</v>
      </c>
      <c r="M472" s="318" t="s">
        <v>230</v>
      </c>
      <c r="N472" s="318">
        <v>1</v>
      </c>
      <c r="O472" s="619">
        <f t="shared" si="168"/>
        <v>4.49</v>
      </c>
      <c r="P472" s="750">
        <v>1</v>
      </c>
      <c r="Q472" s="750"/>
      <c r="R472" s="337">
        <v>1</v>
      </c>
      <c r="S472" s="348">
        <f t="shared" si="165"/>
        <v>4.49</v>
      </c>
      <c r="T472" s="319"/>
      <c r="V472" s="328">
        <v>4.49</v>
      </c>
      <c r="W472" s="320">
        <v>1</v>
      </c>
      <c r="X472" s="348">
        <f t="shared" si="169"/>
        <v>4.49</v>
      </c>
      <c r="Y472" s="330">
        <v>1</v>
      </c>
      <c r="Z472" s="348">
        <f t="shared" si="170"/>
        <v>4.49</v>
      </c>
      <c r="AB472" s="328">
        <f t="shared" si="171"/>
        <v>0</v>
      </c>
      <c r="AC472" s="328">
        <f t="shared" si="172"/>
        <v>0</v>
      </c>
    </row>
    <row r="473" spans="1:29">
      <c r="A473" s="318"/>
      <c r="B473" s="319"/>
      <c r="C473" s="318"/>
      <c r="D473" s="318"/>
      <c r="E473" s="319"/>
      <c r="F473" s="319"/>
      <c r="G473" s="318" t="s">
        <v>933</v>
      </c>
      <c r="H473" s="318">
        <v>4.49</v>
      </c>
      <c r="I473" s="318">
        <v>1</v>
      </c>
      <c r="J473" s="318">
        <f t="shared" si="173"/>
        <v>1</v>
      </c>
      <c r="K473" s="318">
        <f t="shared" si="167"/>
        <v>4.49</v>
      </c>
      <c r="L473" s="318">
        <v>1282</v>
      </c>
      <c r="M473" s="318" t="s">
        <v>230</v>
      </c>
      <c r="N473" s="318">
        <v>1</v>
      </c>
      <c r="O473" s="619">
        <f t="shared" si="168"/>
        <v>4.49</v>
      </c>
      <c r="P473" s="750">
        <v>1</v>
      </c>
      <c r="Q473" s="750"/>
      <c r="R473" s="337">
        <v>1</v>
      </c>
      <c r="S473" s="348">
        <f t="shared" si="165"/>
        <v>4.49</v>
      </c>
      <c r="T473" s="319"/>
      <c r="V473" s="328">
        <v>4.49</v>
      </c>
      <c r="W473" s="320">
        <v>1</v>
      </c>
      <c r="X473" s="348">
        <f t="shared" si="169"/>
        <v>4.49</v>
      </c>
      <c r="Y473" s="330">
        <v>1</v>
      </c>
      <c r="Z473" s="348">
        <f t="shared" si="170"/>
        <v>4.49</v>
      </c>
      <c r="AB473" s="328">
        <f t="shared" si="171"/>
        <v>0</v>
      </c>
      <c r="AC473" s="328">
        <f t="shared" si="172"/>
        <v>0</v>
      </c>
    </row>
    <row r="474" spans="1:29">
      <c r="A474" s="318"/>
      <c r="B474" s="319"/>
      <c r="C474" s="318"/>
      <c r="D474" s="318"/>
      <c r="E474" s="319"/>
      <c r="F474" s="319"/>
      <c r="G474" s="318" t="s">
        <v>934</v>
      </c>
      <c r="H474" s="318">
        <v>4.49</v>
      </c>
      <c r="I474" s="318">
        <v>1</v>
      </c>
      <c r="J474" s="318">
        <f t="shared" si="173"/>
        <v>1</v>
      </c>
      <c r="K474" s="318">
        <f t="shared" si="167"/>
        <v>4.49</v>
      </c>
      <c r="L474" s="318">
        <v>1282</v>
      </c>
      <c r="M474" s="318" t="s">
        <v>230</v>
      </c>
      <c r="N474" s="318">
        <v>1</v>
      </c>
      <c r="O474" s="619">
        <f t="shared" si="168"/>
        <v>4.49</v>
      </c>
      <c r="P474" s="750">
        <v>1</v>
      </c>
      <c r="Q474" s="750"/>
      <c r="R474" s="337">
        <v>1</v>
      </c>
      <c r="S474" s="348">
        <f t="shared" si="165"/>
        <v>4.49</v>
      </c>
      <c r="T474" s="319"/>
      <c r="V474" s="328">
        <v>4.49</v>
      </c>
      <c r="W474" s="320">
        <v>1</v>
      </c>
      <c r="X474" s="348">
        <f t="shared" si="169"/>
        <v>4.49</v>
      </c>
      <c r="Y474" s="330">
        <v>1</v>
      </c>
      <c r="Z474" s="348">
        <f t="shared" si="170"/>
        <v>4.49</v>
      </c>
      <c r="AB474" s="328">
        <f t="shared" si="171"/>
        <v>0</v>
      </c>
      <c r="AC474" s="328">
        <f t="shared" si="172"/>
        <v>0</v>
      </c>
    </row>
    <row r="475" spans="1:29">
      <c r="A475" s="318"/>
      <c r="B475" s="319"/>
      <c r="C475" s="318"/>
      <c r="D475" s="318"/>
      <c r="E475" s="319"/>
      <c r="F475" s="336"/>
      <c r="G475" s="318" t="s">
        <v>935</v>
      </c>
      <c r="H475" s="318">
        <v>4.49</v>
      </c>
      <c r="I475" s="318">
        <v>1</v>
      </c>
      <c r="J475" s="318">
        <f t="shared" si="173"/>
        <v>1</v>
      </c>
      <c r="K475" s="318">
        <f t="shared" si="167"/>
        <v>4.49</v>
      </c>
      <c r="L475" s="318">
        <v>1282</v>
      </c>
      <c r="M475" s="318" t="s">
        <v>230</v>
      </c>
      <c r="N475" s="318">
        <v>1</v>
      </c>
      <c r="O475" s="619">
        <f t="shared" si="168"/>
        <v>4.49</v>
      </c>
      <c r="P475" s="750">
        <v>1</v>
      </c>
      <c r="Q475" s="750"/>
      <c r="R475" s="337">
        <v>1</v>
      </c>
      <c r="S475" s="348">
        <f t="shared" si="165"/>
        <v>4.49</v>
      </c>
      <c r="T475" s="319"/>
      <c r="V475" s="328">
        <v>4.49</v>
      </c>
      <c r="W475" s="320">
        <v>1</v>
      </c>
      <c r="X475" s="348">
        <f t="shared" si="169"/>
        <v>4.49</v>
      </c>
      <c r="Y475" s="330">
        <v>1</v>
      </c>
      <c r="Z475" s="348">
        <f t="shared" si="170"/>
        <v>4.49</v>
      </c>
      <c r="AB475" s="328">
        <f t="shared" si="171"/>
        <v>0</v>
      </c>
      <c r="AC475" s="328">
        <f t="shared" si="172"/>
        <v>0</v>
      </c>
    </row>
    <row r="476" spans="1:29">
      <c r="A476" s="318"/>
      <c r="B476" s="319"/>
      <c r="C476" s="318"/>
      <c r="D476" s="318"/>
      <c r="E476" s="319"/>
      <c r="F476" s="319"/>
      <c r="G476" s="318" t="s">
        <v>936</v>
      </c>
      <c r="H476" s="318">
        <v>4.49</v>
      </c>
      <c r="I476" s="318">
        <v>1</v>
      </c>
      <c r="J476" s="318">
        <f t="shared" si="173"/>
        <v>1</v>
      </c>
      <c r="K476" s="318">
        <f t="shared" si="167"/>
        <v>4.49</v>
      </c>
      <c r="L476" s="318">
        <v>1281</v>
      </c>
      <c r="M476" s="318" t="s">
        <v>229</v>
      </c>
      <c r="N476" s="318">
        <v>1</v>
      </c>
      <c r="O476" s="619">
        <f t="shared" si="168"/>
        <v>4.49</v>
      </c>
      <c r="P476" s="750">
        <v>1</v>
      </c>
      <c r="Q476" s="750"/>
      <c r="R476" s="337">
        <v>1</v>
      </c>
      <c r="S476" s="348">
        <f t="shared" si="165"/>
        <v>4.49</v>
      </c>
      <c r="T476" s="319"/>
      <c r="V476" s="328">
        <v>4.49</v>
      </c>
      <c r="W476" s="320">
        <v>1</v>
      </c>
      <c r="X476" s="348">
        <f t="shared" si="169"/>
        <v>4.49</v>
      </c>
      <c r="Y476" s="330">
        <v>1</v>
      </c>
      <c r="Z476" s="348">
        <f t="shared" si="170"/>
        <v>4.49</v>
      </c>
      <c r="AB476" s="328">
        <f t="shared" si="171"/>
        <v>0</v>
      </c>
      <c r="AC476" s="328">
        <f t="shared" si="172"/>
        <v>0</v>
      </c>
    </row>
    <row r="477" spans="1:29">
      <c r="A477" s="318"/>
      <c r="B477" s="319"/>
      <c r="C477" s="318"/>
      <c r="D477" s="318"/>
      <c r="E477" s="319"/>
      <c r="F477" s="319"/>
      <c r="G477" s="318" t="s">
        <v>937</v>
      </c>
      <c r="H477" s="318">
        <v>4.49</v>
      </c>
      <c r="I477" s="318">
        <v>1</v>
      </c>
      <c r="J477" s="318">
        <f t="shared" si="173"/>
        <v>1</v>
      </c>
      <c r="K477" s="318">
        <f t="shared" si="167"/>
        <v>4.49</v>
      </c>
      <c r="L477" s="318">
        <v>1281</v>
      </c>
      <c r="M477" s="318" t="s">
        <v>229</v>
      </c>
      <c r="N477" s="318">
        <v>1</v>
      </c>
      <c r="O477" s="619">
        <f t="shared" si="168"/>
        <v>4.49</v>
      </c>
      <c r="P477" s="750">
        <v>1</v>
      </c>
      <c r="Q477" s="750"/>
      <c r="R477" s="337">
        <v>1</v>
      </c>
      <c r="S477" s="348">
        <f t="shared" si="165"/>
        <v>4.49</v>
      </c>
      <c r="T477" s="319"/>
      <c r="V477" s="328">
        <v>4.49</v>
      </c>
      <c r="W477" s="320">
        <v>1</v>
      </c>
      <c r="X477" s="348">
        <f t="shared" si="169"/>
        <v>4.49</v>
      </c>
      <c r="Y477" s="330">
        <v>1</v>
      </c>
      <c r="Z477" s="348">
        <f t="shared" si="170"/>
        <v>4.49</v>
      </c>
      <c r="AB477" s="328">
        <f t="shared" si="171"/>
        <v>0</v>
      </c>
      <c r="AC477" s="328">
        <f t="shared" si="172"/>
        <v>0</v>
      </c>
    </row>
    <row r="478" spans="1:29">
      <c r="A478" s="318"/>
      <c r="B478" s="319"/>
      <c r="C478" s="318"/>
      <c r="D478" s="318"/>
      <c r="E478" s="319"/>
      <c r="F478" s="319"/>
      <c r="G478" s="318" t="s">
        <v>938</v>
      </c>
      <c r="H478" s="318">
        <v>4.49</v>
      </c>
      <c r="I478" s="318">
        <v>1</v>
      </c>
      <c r="J478" s="318">
        <f t="shared" si="173"/>
        <v>1</v>
      </c>
      <c r="K478" s="318">
        <f t="shared" si="167"/>
        <v>4.49</v>
      </c>
      <c r="L478" s="318">
        <v>1281</v>
      </c>
      <c r="M478" s="318" t="s">
        <v>229</v>
      </c>
      <c r="N478" s="318">
        <v>1</v>
      </c>
      <c r="O478" s="619">
        <f t="shared" si="168"/>
        <v>4.49</v>
      </c>
      <c r="P478" s="750">
        <v>1</v>
      </c>
      <c r="Q478" s="750"/>
      <c r="R478" s="337">
        <v>1</v>
      </c>
      <c r="S478" s="348">
        <f t="shared" si="165"/>
        <v>4.49</v>
      </c>
      <c r="T478" s="319"/>
      <c r="V478" s="328">
        <v>4.49</v>
      </c>
      <c r="W478" s="320">
        <v>1</v>
      </c>
      <c r="X478" s="348">
        <f t="shared" si="169"/>
        <v>4.49</v>
      </c>
      <c r="Y478" s="330">
        <v>1</v>
      </c>
      <c r="Z478" s="348">
        <f t="shared" si="170"/>
        <v>4.49</v>
      </c>
      <c r="AB478" s="328">
        <f t="shared" si="171"/>
        <v>0</v>
      </c>
      <c r="AC478" s="328">
        <f t="shared" si="172"/>
        <v>0</v>
      </c>
    </row>
    <row r="479" spans="1:29">
      <c r="A479" s="318"/>
      <c r="B479" s="319"/>
      <c r="C479" s="318"/>
      <c r="D479" s="318"/>
      <c r="E479" s="319"/>
      <c r="F479" s="319"/>
      <c r="G479" s="318" t="s">
        <v>939</v>
      </c>
      <c r="H479" s="318">
        <v>4.49</v>
      </c>
      <c r="I479" s="318">
        <v>1</v>
      </c>
      <c r="J479" s="318">
        <f t="shared" si="173"/>
        <v>1</v>
      </c>
      <c r="K479" s="318">
        <f t="shared" si="167"/>
        <v>4.49</v>
      </c>
      <c r="L479" s="318">
        <v>1281</v>
      </c>
      <c r="M479" s="318" t="s">
        <v>229</v>
      </c>
      <c r="N479" s="318">
        <v>1</v>
      </c>
      <c r="O479" s="619">
        <f t="shared" si="168"/>
        <v>4.49</v>
      </c>
      <c r="P479" s="750">
        <v>1</v>
      </c>
      <c r="Q479" s="750"/>
      <c r="R479" s="337">
        <v>1</v>
      </c>
      <c r="S479" s="348">
        <f t="shared" si="165"/>
        <v>4.49</v>
      </c>
      <c r="T479" s="319"/>
      <c r="V479" s="328">
        <v>4.49</v>
      </c>
      <c r="W479" s="320">
        <v>1</v>
      </c>
      <c r="X479" s="348">
        <f t="shared" si="169"/>
        <v>4.49</v>
      </c>
      <c r="Y479" s="330">
        <v>1</v>
      </c>
      <c r="Z479" s="348">
        <f t="shared" si="170"/>
        <v>4.49</v>
      </c>
      <c r="AB479" s="328">
        <f t="shared" si="171"/>
        <v>0</v>
      </c>
      <c r="AC479" s="328">
        <f t="shared" si="172"/>
        <v>0</v>
      </c>
    </row>
    <row r="480" spans="1:29">
      <c r="A480" s="318"/>
      <c r="B480" s="319"/>
      <c r="C480" s="318"/>
      <c r="D480" s="318"/>
      <c r="E480" s="319"/>
      <c r="F480" s="319"/>
      <c r="G480" s="318" t="s">
        <v>940</v>
      </c>
      <c r="H480" s="318">
        <v>2.59</v>
      </c>
      <c r="I480" s="318">
        <v>1</v>
      </c>
      <c r="J480" s="318">
        <f t="shared" si="173"/>
        <v>1</v>
      </c>
      <c r="K480" s="318">
        <f t="shared" si="167"/>
        <v>2.59</v>
      </c>
      <c r="L480" s="318">
        <v>1577</v>
      </c>
      <c r="M480" s="318"/>
      <c r="N480" s="318">
        <v>1</v>
      </c>
      <c r="O480" s="619">
        <f t="shared" si="168"/>
        <v>2.59</v>
      </c>
      <c r="P480" s="750">
        <v>1</v>
      </c>
      <c r="Q480" s="750"/>
      <c r="R480" s="337">
        <v>1</v>
      </c>
      <c r="S480" s="348">
        <f t="shared" si="165"/>
        <v>2.59</v>
      </c>
      <c r="T480" s="319"/>
      <c r="V480" s="328">
        <v>2.5830000000000002</v>
      </c>
      <c r="W480" s="320">
        <v>1</v>
      </c>
      <c r="X480" s="348">
        <f t="shared" si="169"/>
        <v>2.5830000000000002</v>
      </c>
      <c r="Y480" s="330">
        <v>1</v>
      </c>
      <c r="Z480" s="348">
        <f t="shared" si="170"/>
        <v>2.5830000000000002</v>
      </c>
      <c r="AB480" s="328">
        <f t="shared" si="171"/>
        <v>-6.9999999999996732E-3</v>
      </c>
      <c r="AC480" s="328">
        <f t="shared" si="172"/>
        <v>-6.9999999999996732E-3</v>
      </c>
    </row>
    <row r="481" spans="1:29">
      <c r="A481" s="318"/>
      <c r="B481" s="319"/>
      <c r="C481" s="318"/>
      <c r="D481" s="318"/>
      <c r="E481" s="319"/>
      <c r="F481" s="336" t="s">
        <v>721</v>
      </c>
      <c r="G481" s="318" t="s">
        <v>941</v>
      </c>
      <c r="H481" s="318">
        <v>4.24</v>
      </c>
      <c r="I481" s="318">
        <v>1</v>
      </c>
      <c r="J481" s="318">
        <f t="shared" si="173"/>
        <v>1</v>
      </c>
      <c r="K481" s="318">
        <f t="shared" si="167"/>
        <v>4.24</v>
      </c>
      <c r="L481" s="318">
        <v>1592</v>
      </c>
      <c r="M481" s="318">
        <v>140</v>
      </c>
      <c r="N481" s="318">
        <v>1</v>
      </c>
      <c r="O481" s="619">
        <f t="shared" si="168"/>
        <v>4.24</v>
      </c>
      <c r="P481" s="750">
        <v>1</v>
      </c>
      <c r="Q481" s="750"/>
      <c r="R481" s="337">
        <v>1</v>
      </c>
      <c r="S481" s="348">
        <f t="shared" si="165"/>
        <v>4.24</v>
      </c>
      <c r="T481" s="319"/>
      <c r="V481" s="328">
        <f>2.583+2.355</f>
        <v>4.9380000000000006</v>
      </c>
      <c r="W481" s="320">
        <v>1</v>
      </c>
      <c r="X481" s="348">
        <f t="shared" si="169"/>
        <v>4.9380000000000006</v>
      </c>
      <c r="Y481" s="330">
        <v>1</v>
      </c>
      <c r="Z481" s="348">
        <f t="shared" si="170"/>
        <v>4.9380000000000006</v>
      </c>
      <c r="AB481" s="328">
        <f t="shared" si="171"/>
        <v>0.6980000000000004</v>
      </c>
      <c r="AC481" s="328">
        <f t="shared" si="172"/>
        <v>0.6980000000000004</v>
      </c>
    </row>
    <row r="482" spans="1:29">
      <c r="A482" s="318"/>
      <c r="B482" s="319"/>
      <c r="C482" s="318"/>
      <c r="D482" s="318"/>
      <c r="E482" s="319"/>
      <c r="F482" s="319"/>
      <c r="G482" s="318"/>
      <c r="H482" s="318"/>
      <c r="I482" s="318"/>
      <c r="J482" s="382" t="s">
        <v>389</v>
      </c>
      <c r="K482" s="321">
        <f>SUM(K448:K481)</f>
        <v>127.29999999999995</v>
      </c>
      <c r="L482" s="318"/>
      <c r="M482" s="318"/>
      <c r="N482" s="382" t="s">
        <v>389</v>
      </c>
      <c r="O482" s="748">
        <f>SUM(O448:O481)</f>
        <v>127.29999999999995</v>
      </c>
      <c r="P482" s="751" t="s">
        <v>389</v>
      </c>
      <c r="Q482" s="751"/>
      <c r="R482" s="382"/>
      <c r="S482" s="321">
        <f>SUM(S448:S481)</f>
        <v>127.29999999999995</v>
      </c>
      <c r="T482" s="319"/>
      <c r="V482" s="328"/>
      <c r="W482" s="321" t="s">
        <v>389</v>
      </c>
      <c r="X482" s="338">
        <f>SUM(X448:X481)</f>
        <v>119.52999999999997</v>
      </c>
      <c r="Y482" s="321" t="s">
        <v>389</v>
      </c>
      <c r="Z482" s="321">
        <f>SUM(Z448:Z481)</f>
        <v>119.52999999999997</v>
      </c>
      <c r="AB482" s="328"/>
      <c r="AC482" s="328"/>
    </row>
    <row r="483" spans="1:29" ht="6.75" customHeight="1">
      <c r="A483" s="316"/>
      <c r="B483" s="317"/>
      <c r="C483" s="316"/>
      <c r="D483" s="316"/>
      <c r="E483" s="317"/>
      <c r="F483" s="317"/>
      <c r="G483" s="316"/>
      <c r="H483" s="316"/>
      <c r="I483" s="316"/>
      <c r="J483" s="316"/>
      <c r="K483" s="316"/>
      <c r="L483" s="316"/>
      <c r="M483" s="316"/>
      <c r="N483" s="316"/>
      <c r="O483" s="749"/>
      <c r="P483" s="633"/>
      <c r="Q483" s="633"/>
      <c r="R483" s="949"/>
      <c r="S483" s="339"/>
      <c r="T483" s="317"/>
      <c r="V483" s="332"/>
      <c r="W483" s="316"/>
      <c r="X483" s="339"/>
      <c r="Y483" s="316"/>
      <c r="Z483" s="339"/>
      <c r="AB483" s="332"/>
      <c r="AC483" s="332"/>
    </row>
    <row r="484" spans="1:29">
      <c r="A484" s="318">
        <v>13</v>
      </c>
      <c r="B484" s="319" t="s">
        <v>383</v>
      </c>
      <c r="C484" s="318">
        <v>600</v>
      </c>
      <c r="D484" s="318">
        <v>18</v>
      </c>
      <c r="E484" s="319">
        <v>1</v>
      </c>
      <c r="F484" s="336" t="s">
        <v>696</v>
      </c>
      <c r="G484" s="318" t="s">
        <v>942</v>
      </c>
      <c r="H484" s="318">
        <v>2.87</v>
      </c>
      <c r="I484" s="318">
        <v>1</v>
      </c>
      <c r="J484" s="318">
        <f t="shared" ref="J484:J528" si="174">IF(N484&gt;0,1,0)</f>
        <v>1</v>
      </c>
      <c r="K484" s="318">
        <f t="shared" ref="K484:K528" si="175">H484*J484</f>
        <v>2.87</v>
      </c>
      <c r="L484" s="352" t="s">
        <v>2741</v>
      </c>
      <c r="M484" s="350" t="s">
        <v>2740</v>
      </c>
      <c r="N484" s="318">
        <v>1</v>
      </c>
      <c r="O484" s="619">
        <f t="shared" ref="O484:O528" si="176">H484*N484</f>
        <v>2.87</v>
      </c>
      <c r="P484" s="750">
        <v>1</v>
      </c>
      <c r="Q484" s="750"/>
      <c r="R484" s="337">
        <v>1</v>
      </c>
      <c r="S484" s="348">
        <f>H484*R484</f>
        <v>2.87</v>
      </c>
      <c r="T484" s="319" t="s">
        <v>3445</v>
      </c>
      <c r="V484" s="328">
        <f>2.355+1.14</f>
        <v>3.4950000000000001</v>
      </c>
      <c r="W484" s="458">
        <f>2/3</f>
        <v>0.66666666666666663</v>
      </c>
      <c r="X484" s="348">
        <f t="shared" ref="X484:X528" si="177">V484*W484</f>
        <v>2.33</v>
      </c>
      <c r="Y484" s="458">
        <f>2/3</f>
        <v>0.66666666666666663</v>
      </c>
      <c r="Z484" s="348">
        <f t="shared" ref="Z484:Z528" si="178">V484*Y484</f>
        <v>2.33</v>
      </c>
      <c r="AB484" s="328">
        <f t="shared" ref="AB484:AB528" si="179">X484-O484</f>
        <v>-0.54</v>
      </c>
      <c r="AC484" s="328">
        <f t="shared" ref="AC484:AC528" si="180">Z484-S484</f>
        <v>-0.54</v>
      </c>
    </row>
    <row r="485" spans="1:29" collapsed="1">
      <c r="A485" s="318"/>
      <c r="B485" s="319"/>
      <c r="C485" s="318"/>
      <c r="D485" s="318"/>
      <c r="E485" s="319"/>
      <c r="F485" s="319"/>
      <c r="G485" s="318" t="s">
        <v>943</v>
      </c>
      <c r="H485" s="318">
        <v>4.49</v>
      </c>
      <c r="I485" s="318">
        <v>1</v>
      </c>
      <c r="J485" s="318">
        <f t="shared" si="174"/>
        <v>1</v>
      </c>
      <c r="K485" s="318">
        <f t="shared" si="175"/>
        <v>4.49</v>
      </c>
      <c r="L485" s="318">
        <v>2022</v>
      </c>
      <c r="M485" s="318">
        <v>186</v>
      </c>
      <c r="N485" s="318">
        <v>1</v>
      </c>
      <c r="O485" s="619">
        <f t="shared" si="176"/>
        <v>4.49</v>
      </c>
      <c r="P485" s="750">
        <v>1</v>
      </c>
      <c r="Q485" s="750"/>
      <c r="R485" s="337">
        <v>1</v>
      </c>
      <c r="S485" s="348">
        <f>H485*R485</f>
        <v>4.49</v>
      </c>
      <c r="T485" s="319"/>
      <c r="V485" s="328">
        <f t="shared" ref="V485:V501" si="181">4.49</f>
        <v>4.49</v>
      </c>
      <c r="W485" s="320"/>
      <c r="X485" s="348">
        <f t="shared" si="177"/>
        <v>0</v>
      </c>
      <c r="Y485" s="320"/>
      <c r="Z485" s="348">
        <f t="shared" si="178"/>
        <v>0</v>
      </c>
      <c r="AB485" s="328">
        <f t="shared" si="179"/>
        <v>-4.49</v>
      </c>
      <c r="AC485" s="328">
        <f t="shared" si="180"/>
        <v>-4.49</v>
      </c>
    </row>
    <row r="486" spans="1:29" ht="15" thickBot="1">
      <c r="A486" s="318"/>
      <c r="B486" s="319"/>
      <c r="C486" s="318"/>
      <c r="D486" s="318"/>
      <c r="E486" s="319"/>
      <c r="F486" s="319"/>
      <c r="G486" s="318" t="s">
        <v>944</v>
      </c>
      <c r="H486" s="318">
        <v>4.49</v>
      </c>
      <c r="I486" s="318">
        <v>1</v>
      </c>
      <c r="J486" s="318">
        <f t="shared" si="174"/>
        <v>1</v>
      </c>
      <c r="K486" s="318">
        <f t="shared" si="175"/>
        <v>4.49</v>
      </c>
      <c r="L486" s="318">
        <v>2022</v>
      </c>
      <c r="M486" s="318">
        <v>186</v>
      </c>
      <c r="N486" s="318">
        <v>1</v>
      </c>
      <c r="O486" s="619">
        <f t="shared" si="176"/>
        <v>4.49</v>
      </c>
      <c r="P486" s="750">
        <v>1</v>
      </c>
      <c r="Q486" s="750"/>
      <c r="R486" s="592">
        <v>1</v>
      </c>
      <c r="S486" s="348">
        <f t="shared" ref="S486:S528" si="182">H486*R486</f>
        <v>4.49</v>
      </c>
      <c r="T486" s="319"/>
      <c r="V486" s="328">
        <f t="shared" si="181"/>
        <v>4.49</v>
      </c>
      <c r="W486" s="320"/>
      <c r="X486" s="348">
        <f t="shared" si="177"/>
        <v>0</v>
      </c>
      <c r="Y486" s="330"/>
      <c r="Z486" s="348">
        <f t="shared" si="178"/>
        <v>0</v>
      </c>
      <c r="AB486" s="328">
        <f t="shared" si="179"/>
        <v>-4.49</v>
      </c>
      <c r="AC486" s="328">
        <f t="shared" si="180"/>
        <v>-4.49</v>
      </c>
    </row>
    <row r="487" spans="1:29" ht="15.6" thickTop="1" thickBot="1">
      <c r="A487" s="318"/>
      <c r="B487" s="319"/>
      <c r="C487" s="318"/>
      <c r="D487" s="318"/>
      <c r="E487" s="319"/>
      <c r="F487" s="319"/>
      <c r="G487" s="652" t="s">
        <v>945</v>
      </c>
      <c r="H487" s="318">
        <v>4.49</v>
      </c>
      <c r="I487" s="318">
        <v>1</v>
      </c>
      <c r="J487" s="318">
        <f t="shared" si="174"/>
        <v>1</v>
      </c>
      <c r="K487" s="318">
        <f t="shared" si="175"/>
        <v>4.49</v>
      </c>
      <c r="L487" s="318"/>
      <c r="M487" s="318"/>
      <c r="N487" s="318">
        <v>1</v>
      </c>
      <c r="O487" s="619">
        <f t="shared" si="176"/>
        <v>4.49</v>
      </c>
      <c r="P487" s="750"/>
      <c r="Q487" s="747"/>
      <c r="R487" s="624"/>
      <c r="S487" s="348">
        <f t="shared" si="182"/>
        <v>0</v>
      </c>
      <c r="T487" s="319"/>
      <c r="V487" s="328">
        <f t="shared" si="181"/>
        <v>4.49</v>
      </c>
      <c r="W487" s="320">
        <v>1</v>
      </c>
      <c r="X487" s="454">
        <f t="shared" si="177"/>
        <v>4.49</v>
      </c>
      <c r="Y487" s="330">
        <v>1</v>
      </c>
      <c r="Z487" s="454">
        <f t="shared" si="178"/>
        <v>4.49</v>
      </c>
      <c r="AB487" s="328">
        <f t="shared" si="179"/>
        <v>0</v>
      </c>
      <c r="AC487" s="328">
        <f t="shared" si="180"/>
        <v>4.49</v>
      </c>
    </row>
    <row r="488" spans="1:29" ht="15.6" thickTop="1" thickBot="1">
      <c r="A488" s="318"/>
      <c r="B488" s="319"/>
      <c r="C488" s="318"/>
      <c r="D488" s="318"/>
      <c r="E488" s="319"/>
      <c r="F488" s="654"/>
      <c r="G488" s="649" t="s">
        <v>946</v>
      </c>
      <c r="H488" s="318">
        <v>4.49</v>
      </c>
      <c r="I488" s="318">
        <v>1</v>
      </c>
      <c r="J488" s="318">
        <f t="shared" si="174"/>
        <v>1</v>
      </c>
      <c r="K488" s="318">
        <f t="shared" si="175"/>
        <v>4.49</v>
      </c>
      <c r="L488" s="318">
        <v>2601</v>
      </c>
      <c r="M488" s="318"/>
      <c r="N488" s="318">
        <v>1</v>
      </c>
      <c r="O488" s="619">
        <f t="shared" si="176"/>
        <v>4.49</v>
      </c>
      <c r="P488" s="750"/>
      <c r="Q488" s="747"/>
      <c r="R488" s="624"/>
      <c r="S488" s="348">
        <f t="shared" si="182"/>
        <v>0</v>
      </c>
      <c r="T488" s="319"/>
      <c r="V488" s="328">
        <f t="shared" si="181"/>
        <v>4.49</v>
      </c>
      <c r="W488" s="320">
        <v>1</v>
      </c>
      <c r="X488" s="454">
        <f t="shared" si="177"/>
        <v>4.49</v>
      </c>
      <c r="Y488" s="330">
        <v>1</v>
      </c>
      <c r="Z488" s="454">
        <f t="shared" si="178"/>
        <v>4.49</v>
      </c>
      <c r="AB488" s="328">
        <f t="shared" si="179"/>
        <v>0</v>
      </c>
      <c r="AC488" s="328">
        <f t="shared" si="180"/>
        <v>4.49</v>
      </c>
    </row>
    <row r="489" spans="1:29" ht="15.6" thickTop="1" thickBot="1">
      <c r="A489" s="318"/>
      <c r="B489" s="319"/>
      <c r="C489" s="318"/>
      <c r="D489" s="318"/>
      <c r="E489" s="319"/>
      <c r="F489" s="319"/>
      <c r="G489" s="652" t="s">
        <v>947</v>
      </c>
      <c r="H489" s="318">
        <v>4.49</v>
      </c>
      <c r="I489" s="318">
        <v>1</v>
      </c>
      <c r="J489" s="318">
        <v>1</v>
      </c>
      <c r="K489" s="318">
        <f t="shared" si="175"/>
        <v>4.49</v>
      </c>
      <c r="L489" s="318"/>
      <c r="M489" s="318"/>
      <c r="N489" s="318"/>
      <c r="O489" s="619">
        <f t="shared" si="176"/>
        <v>0</v>
      </c>
      <c r="P489" s="750"/>
      <c r="Q489" s="747"/>
      <c r="R489" s="632"/>
      <c r="S489" s="348">
        <f t="shared" si="182"/>
        <v>0</v>
      </c>
      <c r="T489" s="319" t="s">
        <v>3351</v>
      </c>
      <c r="V489" s="328">
        <f t="shared" si="181"/>
        <v>4.49</v>
      </c>
      <c r="W489" s="320"/>
      <c r="X489" s="348">
        <f t="shared" si="177"/>
        <v>0</v>
      </c>
      <c r="Y489" s="330"/>
      <c r="Z489" s="348">
        <f t="shared" si="178"/>
        <v>0</v>
      </c>
      <c r="AB489" s="328">
        <f t="shared" si="179"/>
        <v>0</v>
      </c>
      <c r="AC489" s="328">
        <f t="shared" si="180"/>
        <v>0</v>
      </c>
    </row>
    <row r="490" spans="1:29" ht="15.6" thickTop="1" thickBot="1">
      <c r="A490" s="318"/>
      <c r="B490" s="319"/>
      <c r="C490" s="318"/>
      <c r="D490" s="318"/>
      <c r="E490" s="319"/>
      <c r="F490" s="654"/>
      <c r="G490" s="649" t="s">
        <v>948</v>
      </c>
      <c r="H490" s="318">
        <v>4.49</v>
      </c>
      <c r="I490" s="318">
        <v>1</v>
      </c>
      <c r="J490" s="318">
        <v>1</v>
      </c>
      <c r="K490" s="318">
        <f t="shared" si="175"/>
        <v>4.49</v>
      </c>
      <c r="L490" s="318">
        <v>2601</v>
      </c>
      <c r="M490" s="318"/>
      <c r="N490" s="318"/>
      <c r="O490" s="619">
        <f t="shared" si="176"/>
        <v>0</v>
      </c>
      <c r="P490" s="750"/>
      <c r="Q490" s="747"/>
      <c r="R490" s="624"/>
      <c r="S490" s="348">
        <f t="shared" si="182"/>
        <v>0</v>
      </c>
      <c r="T490" s="319" t="s">
        <v>3351</v>
      </c>
      <c r="V490" s="328">
        <f t="shared" si="181"/>
        <v>4.49</v>
      </c>
      <c r="W490" s="320"/>
      <c r="X490" s="348">
        <f t="shared" si="177"/>
        <v>0</v>
      </c>
      <c r="Y490" s="330"/>
      <c r="Z490" s="348">
        <f t="shared" si="178"/>
        <v>0</v>
      </c>
      <c r="AB490" s="328">
        <f t="shared" si="179"/>
        <v>0</v>
      </c>
      <c r="AC490" s="328">
        <f t="shared" si="180"/>
        <v>0</v>
      </c>
    </row>
    <row r="491" spans="1:29" ht="15.6" thickTop="1" thickBot="1">
      <c r="A491" s="318"/>
      <c r="B491" s="319"/>
      <c r="C491" s="318"/>
      <c r="D491" s="318"/>
      <c r="E491" s="319"/>
      <c r="F491" s="319"/>
      <c r="G491" s="652" t="s">
        <v>949</v>
      </c>
      <c r="H491" s="318">
        <v>4.49</v>
      </c>
      <c r="I491" s="318">
        <v>1</v>
      </c>
      <c r="J491" s="318">
        <v>1</v>
      </c>
      <c r="K491" s="318">
        <f t="shared" si="175"/>
        <v>4.49</v>
      </c>
      <c r="L491" s="318"/>
      <c r="M491" s="318"/>
      <c r="N491" s="318"/>
      <c r="O491" s="619">
        <f t="shared" si="176"/>
        <v>0</v>
      </c>
      <c r="P491" s="750"/>
      <c r="Q491" s="747"/>
      <c r="R491" s="624"/>
      <c r="S491" s="348">
        <f t="shared" si="182"/>
        <v>0</v>
      </c>
      <c r="T491" s="319" t="s">
        <v>3351</v>
      </c>
      <c r="V491" s="328">
        <f t="shared" si="181"/>
        <v>4.49</v>
      </c>
      <c r="W491" s="320"/>
      <c r="X491" s="348">
        <f t="shared" si="177"/>
        <v>0</v>
      </c>
      <c r="Y491" s="330"/>
      <c r="Z491" s="348">
        <f t="shared" si="178"/>
        <v>0</v>
      </c>
      <c r="AB491" s="328">
        <f t="shared" si="179"/>
        <v>0</v>
      </c>
      <c r="AC491" s="328">
        <f t="shared" si="180"/>
        <v>0</v>
      </c>
    </row>
    <row r="492" spans="1:29" ht="14.4" customHeight="1" thickTop="1" thickBot="1">
      <c r="A492" s="318"/>
      <c r="B492" s="319"/>
      <c r="C492" s="318"/>
      <c r="D492" s="318"/>
      <c r="E492" s="319"/>
      <c r="F492" s="319"/>
      <c r="G492" s="652" t="s">
        <v>950</v>
      </c>
      <c r="H492" s="318">
        <v>4.49</v>
      </c>
      <c r="I492" s="318">
        <v>1</v>
      </c>
      <c r="J492" s="318">
        <v>1</v>
      </c>
      <c r="K492" s="318">
        <f t="shared" si="175"/>
        <v>4.49</v>
      </c>
      <c r="L492" s="318"/>
      <c r="M492" s="318"/>
      <c r="N492" s="318"/>
      <c r="O492" s="619">
        <f t="shared" si="176"/>
        <v>0</v>
      </c>
      <c r="P492" s="750"/>
      <c r="Q492" s="747"/>
      <c r="R492" s="624"/>
      <c r="S492" s="348">
        <f t="shared" si="182"/>
        <v>0</v>
      </c>
      <c r="T492" s="319" t="s">
        <v>3351</v>
      </c>
      <c r="V492" s="328">
        <f t="shared" si="181"/>
        <v>4.49</v>
      </c>
      <c r="W492" s="320"/>
      <c r="X492" s="348">
        <f t="shared" si="177"/>
        <v>0</v>
      </c>
      <c r="Y492" s="330"/>
      <c r="Z492" s="348">
        <f t="shared" si="178"/>
        <v>0</v>
      </c>
      <c r="AB492" s="328">
        <f t="shared" si="179"/>
        <v>0</v>
      </c>
      <c r="AC492" s="328">
        <f t="shared" si="180"/>
        <v>0</v>
      </c>
    </row>
    <row r="493" spans="1:29" ht="15" thickTop="1">
      <c r="A493" s="318"/>
      <c r="B493" s="319"/>
      <c r="C493" s="318"/>
      <c r="D493" s="318"/>
      <c r="E493" s="319"/>
      <c r="F493" s="319"/>
      <c r="G493" s="318" t="s">
        <v>951</v>
      </c>
      <c r="H493" s="318">
        <v>4.49</v>
      </c>
      <c r="I493" s="318">
        <v>1</v>
      </c>
      <c r="J493" s="318">
        <f t="shared" si="174"/>
        <v>1</v>
      </c>
      <c r="K493" s="318">
        <f t="shared" si="175"/>
        <v>4.49</v>
      </c>
      <c r="L493" s="318">
        <v>1706</v>
      </c>
      <c r="M493" s="318"/>
      <c r="N493" s="318">
        <v>1</v>
      </c>
      <c r="O493" s="619">
        <f t="shared" si="176"/>
        <v>4.49</v>
      </c>
      <c r="P493" s="750">
        <v>1</v>
      </c>
      <c r="Q493" s="750"/>
      <c r="R493" s="337">
        <v>1</v>
      </c>
      <c r="S493" s="348">
        <f t="shared" si="182"/>
        <v>4.49</v>
      </c>
      <c r="T493" s="319" t="s">
        <v>3443</v>
      </c>
      <c r="V493" s="328">
        <f t="shared" si="181"/>
        <v>4.49</v>
      </c>
      <c r="W493" s="320">
        <v>1</v>
      </c>
      <c r="X493" s="454">
        <f t="shared" si="177"/>
        <v>4.49</v>
      </c>
      <c r="Y493" s="330">
        <v>1</v>
      </c>
      <c r="Z493" s="454">
        <f t="shared" si="178"/>
        <v>4.49</v>
      </c>
      <c r="AB493" s="328">
        <f t="shared" si="179"/>
        <v>0</v>
      </c>
      <c r="AC493" s="328">
        <f t="shared" si="180"/>
        <v>0</v>
      </c>
    </row>
    <row r="494" spans="1:29">
      <c r="A494" s="318"/>
      <c r="B494" s="319"/>
      <c r="C494" s="318"/>
      <c r="D494" s="318"/>
      <c r="E494" s="319"/>
      <c r="F494" s="319"/>
      <c r="G494" s="318" t="s">
        <v>952</v>
      </c>
      <c r="H494" s="318">
        <v>4.49</v>
      </c>
      <c r="I494" s="318">
        <v>1</v>
      </c>
      <c r="J494" s="318">
        <f t="shared" si="174"/>
        <v>1</v>
      </c>
      <c r="K494" s="318">
        <f t="shared" si="175"/>
        <v>4.49</v>
      </c>
      <c r="L494" s="318">
        <v>1706</v>
      </c>
      <c r="M494" s="318"/>
      <c r="N494" s="318">
        <v>1</v>
      </c>
      <c r="O494" s="619">
        <f t="shared" si="176"/>
        <v>4.49</v>
      </c>
      <c r="P494" s="750">
        <v>1</v>
      </c>
      <c r="Q494" s="750"/>
      <c r="R494" s="337">
        <v>1</v>
      </c>
      <c r="S494" s="348">
        <f t="shared" si="182"/>
        <v>4.49</v>
      </c>
      <c r="T494" s="319" t="s">
        <v>3443</v>
      </c>
      <c r="V494" s="328">
        <f t="shared" si="181"/>
        <v>4.49</v>
      </c>
      <c r="W494" s="320">
        <v>1</v>
      </c>
      <c r="X494" s="348">
        <f t="shared" si="177"/>
        <v>4.49</v>
      </c>
      <c r="Y494" s="330">
        <v>1</v>
      </c>
      <c r="Z494" s="348">
        <f t="shared" si="178"/>
        <v>4.49</v>
      </c>
      <c r="AB494" s="328">
        <f t="shared" si="179"/>
        <v>0</v>
      </c>
      <c r="AC494" s="328">
        <f t="shared" si="180"/>
        <v>0</v>
      </c>
    </row>
    <row r="495" spans="1:29">
      <c r="A495" s="318"/>
      <c r="B495" s="319"/>
      <c r="C495" s="318"/>
      <c r="D495" s="318"/>
      <c r="E495" s="319"/>
      <c r="F495" s="319"/>
      <c r="G495" s="318" t="s">
        <v>953</v>
      </c>
      <c r="H495" s="318">
        <v>4.49</v>
      </c>
      <c r="I495" s="318">
        <v>1</v>
      </c>
      <c r="J495" s="318">
        <f t="shared" si="174"/>
        <v>1</v>
      </c>
      <c r="K495" s="318">
        <f t="shared" si="175"/>
        <v>4.49</v>
      </c>
      <c r="L495" s="351" t="s">
        <v>2584</v>
      </c>
      <c r="M495" s="349">
        <v>126156</v>
      </c>
      <c r="N495" s="318">
        <v>1</v>
      </c>
      <c r="O495" s="619">
        <f t="shared" si="176"/>
        <v>4.49</v>
      </c>
      <c r="P495" s="750">
        <v>1</v>
      </c>
      <c r="Q495" s="750"/>
      <c r="R495" s="337">
        <v>1</v>
      </c>
      <c r="S495" s="348">
        <f t="shared" si="182"/>
        <v>4.49</v>
      </c>
      <c r="T495" s="319" t="s">
        <v>3443</v>
      </c>
      <c r="V495" s="328">
        <f t="shared" si="181"/>
        <v>4.49</v>
      </c>
      <c r="W495" s="320">
        <v>1</v>
      </c>
      <c r="X495" s="348">
        <f t="shared" si="177"/>
        <v>4.49</v>
      </c>
      <c r="Y495" s="330">
        <v>1</v>
      </c>
      <c r="Z495" s="348">
        <f t="shared" si="178"/>
        <v>4.49</v>
      </c>
      <c r="AB495" s="328">
        <f t="shared" si="179"/>
        <v>0</v>
      </c>
      <c r="AC495" s="328">
        <f t="shared" si="180"/>
        <v>0</v>
      </c>
    </row>
    <row r="496" spans="1:29">
      <c r="A496" s="318"/>
      <c r="B496" s="319"/>
      <c r="C496" s="318"/>
      <c r="D496" s="318"/>
      <c r="E496" s="319"/>
      <c r="F496" s="319"/>
      <c r="G496" s="318" t="s">
        <v>954</v>
      </c>
      <c r="H496" s="318">
        <v>4.49</v>
      </c>
      <c r="I496" s="318">
        <v>1</v>
      </c>
      <c r="J496" s="318">
        <f t="shared" si="174"/>
        <v>1</v>
      </c>
      <c r="K496" s="318">
        <f t="shared" si="175"/>
        <v>4.49</v>
      </c>
      <c r="L496" s="318">
        <v>1697</v>
      </c>
      <c r="M496" s="318">
        <v>156</v>
      </c>
      <c r="N496" s="318">
        <v>1</v>
      </c>
      <c r="O496" s="619">
        <f t="shared" si="176"/>
        <v>4.49</v>
      </c>
      <c r="P496" s="750">
        <v>1</v>
      </c>
      <c r="Q496" s="750"/>
      <c r="R496" s="337">
        <v>1</v>
      </c>
      <c r="S496" s="348">
        <f t="shared" si="182"/>
        <v>4.49</v>
      </c>
      <c r="T496" s="319" t="s">
        <v>3443</v>
      </c>
      <c r="V496" s="328">
        <f t="shared" si="181"/>
        <v>4.49</v>
      </c>
      <c r="W496" s="320">
        <v>1</v>
      </c>
      <c r="X496" s="348">
        <f t="shared" si="177"/>
        <v>4.49</v>
      </c>
      <c r="Y496" s="330">
        <v>1</v>
      </c>
      <c r="Z496" s="348">
        <f t="shared" si="178"/>
        <v>4.49</v>
      </c>
      <c r="AB496" s="328">
        <f t="shared" si="179"/>
        <v>0</v>
      </c>
      <c r="AC496" s="328">
        <f t="shared" si="180"/>
        <v>0</v>
      </c>
    </row>
    <row r="497" spans="1:29">
      <c r="A497" s="318"/>
      <c r="B497" s="319"/>
      <c r="C497" s="318"/>
      <c r="D497" s="318"/>
      <c r="E497" s="319"/>
      <c r="F497" s="319"/>
      <c r="G497" s="318" t="s">
        <v>955</v>
      </c>
      <c r="H497" s="318">
        <v>4.49</v>
      </c>
      <c r="I497" s="318">
        <v>1</v>
      </c>
      <c r="J497" s="318">
        <f t="shared" si="174"/>
        <v>1</v>
      </c>
      <c r="K497" s="318">
        <f t="shared" si="175"/>
        <v>4.49</v>
      </c>
      <c r="L497" s="318" t="s">
        <v>342</v>
      </c>
      <c r="M497" s="318" t="s">
        <v>358</v>
      </c>
      <c r="N497" s="318">
        <v>1</v>
      </c>
      <c r="O497" s="619">
        <f t="shared" si="176"/>
        <v>4.49</v>
      </c>
      <c r="P497" s="750">
        <v>1</v>
      </c>
      <c r="Q497" s="750"/>
      <c r="R497" s="337">
        <v>1</v>
      </c>
      <c r="S497" s="348">
        <f t="shared" si="182"/>
        <v>4.49</v>
      </c>
      <c r="T497" s="319" t="s">
        <v>3442</v>
      </c>
      <c r="V497" s="328">
        <f t="shared" si="181"/>
        <v>4.49</v>
      </c>
      <c r="W497" s="320">
        <v>1</v>
      </c>
      <c r="X497" s="348">
        <f t="shared" si="177"/>
        <v>4.49</v>
      </c>
      <c r="Y497" s="330">
        <v>1</v>
      </c>
      <c r="Z497" s="348">
        <f t="shared" si="178"/>
        <v>4.49</v>
      </c>
      <c r="AB497" s="328">
        <f t="shared" si="179"/>
        <v>0</v>
      </c>
      <c r="AC497" s="328">
        <f t="shared" si="180"/>
        <v>0</v>
      </c>
    </row>
    <row r="498" spans="1:29">
      <c r="A498" s="318"/>
      <c r="B498" s="319"/>
      <c r="C498" s="318"/>
      <c r="D498" s="318"/>
      <c r="E498" s="319"/>
      <c r="F498" s="319"/>
      <c r="G498" s="318" t="s">
        <v>956</v>
      </c>
      <c r="H498" s="318">
        <v>4.49</v>
      </c>
      <c r="I498" s="318">
        <v>1</v>
      </c>
      <c r="J498" s="318">
        <f t="shared" si="174"/>
        <v>1</v>
      </c>
      <c r="K498" s="318">
        <f t="shared" si="175"/>
        <v>4.49</v>
      </c>
      <c r="L498" s="318" t="s">
        <v>342</v>
      </c>
      <c r="M498" s="318" t="s">
        <v>359</v>
      </c>
      <c r="N498" s="318">
        <v>1</v>
      </c>
      <c r="O498" s="619">
        <f t="shared" si="176"/>
        <v>4.49</v>
      </c>
      <c r="P498" s="750">
        <v>1</v>
      </c>
      <c r="Q498" s="750"/>
      <c r="R498" s="337">
        <v>1</v>
      </c>
      <c r="S498" s="348">
        <f t="shared" si="182"/>
        <v>4.49</v>
      </c>
      <c r="T498" s="319" t="s">
        <v>3442</v>
      </c>
      <c r="V498" s="328">
        <f t="shared" si="181"/>
        <v>4.49</v>
      </c>
      <c r="W498" s="320">
        <v>1</v>
      </c>
      <c r="X498" s="348">
        <f t="shared" si="177"/>
        <v>4.49</v>
      </c>
      <c r="Y498" s="330">
        <v>1</v>
      </c>
      <c r="Z498" s="348">
        <f t="shared" si="178"/>
        <v>4.49</v>
      </c>
      <c r="AB498" s="328">
        <f t="shared" si="179"/>
        <v>0</v>
      </c>
      <c r="AC498" s="328">
        <f t="shared" si="180"/>
        <v>0</v>
      </c>
    </row>
    <row r="499" spans="1:29">
      <c r="A499" s="318"/>
      <c r="B499" s="319"/>
      <c r="C499" s="318"/>
      <c r="D499" s="318"/>
      <c r="E499" s="319"/>
      <c r="F499" s="319"/>
      <c r="G499" s="318" t="s">
        <v>957</v>
      </c>
      <c r="H499" s="318">
        <v>4.49</v>
      </c>
      <c r="I499" s="318">
        <v>1</v>
      </c>
      <c r="J499" s="318">
        <f t="shared" si="174"/>
        <v>1</v>
      </c>
      <c r="K499" s="318">
        <f t="shared" si="175"/>
        <v>4.49</v>
      </c>
      <c r="L499" s="352" t="s">
        <v>2587</v>
      </c>
      <c r="M499" s="318" t="s">
        <v>361</v>
      </c>
      <c r="N499" s="318">
        <v>1</v>
      </c>
      <c r="O499" s="619">
        <f t="shared" si="176"/>
        <v>4.49</v>
      </c>
      <c r="P499" s="750">
        <v>1</v>
      </c>
      <c r="Q499" s="750"/>
      <c r="R499" s="337">
        <v>1</v>
      </c>
      <c r="S499" s="348">
        <f t="shared" si="182"/>
        <v>4.49</v>
      </c>
      <c r="T499" s="319" t="s">
        <v>3442</v>
      </c>
      <c r="V499" s="328">
        <f t="shared" si="181"/>
        <v>4.49</v>
      </c>
      <c r="W499" s="320">
        <v>1</v>
      </c>
      <c r="X499" s="348">
        <f t="shared" si="177"/>
        <v>4.49</v>
      </c>
      <c r="Y499" s="330">
        <v>1</v>
      </c>
      <c r="Z499" s="348">
        <f t="shared" si="178"/>
        <v>4.49</v>
      </c>
      <c r="AB499" s="328">
        <f t="shared" si="179"/>
        <v>0</v>
      </c>
      <c r="AC499" s="328">
        <f t="shared" si="180"/>
        <v>0</v>
      </c>
    </row>
    <row r="500" spans="1:29">
      <c r="A500" s="318"/>
      <c r="B500" s="319"/>
      <c r="C500" s="318"/>
      <c r="D500" s="318"/>
      <c r="E500" s="319"/>
      <c r="F500" s="319"/>
      <c r="G500" s="318" t="s">
        <v>958</v>
      </c>
      <c r="H500" s="318">
        <v>4.49</v>
      </c>
      <c r="I500" s="318">
        <v>1</v>
      </c>
      <c r="J500" s="318">
        <f t="shared" si="174"/>
        <v>1</v>
      </c>
      <c r="K500" s="318">
        <f t="shared" si="175"/>
        <v>4.49</v>
      </c>
      <c r="L500" s="318" t="s">
        <v>341</v>
      </c>
      <c r="M500" s="318" t="s">
        <v>356</v>
      </c>
      <c r="N500" s="318">
        <v>1</v>
      </c>
      <c r="O500" s="619">
        <f t="shared" si="176"/>
        <v>4.49</v>
      </c>
      <c r="P500" s="750">
        <v>1</v>
      </c>
      <c r="Q500" s="750"/>
      <c r="R500" s="337">
        <v>1</v>
      </c>
      <c r="S500" s="348">
        <f t="shared" si="182"/>
        <v>4.49</v>
      </c>
      <c r="T500" s="319" t="s">
        <v>3442</v>
      </c>
      <c r="V500" s="328">
        <f t="shared" si="181"/>
        <v>4.49</v>
      </c>
      <c r="W500" s="320">
        <v>1</v>
      </c>
      <c r="X500" s="348">
        <f t="shared" si="177"/>
        <v>4.49</v>
      </c>
      <c r="Y500" s="330">
        <v>1</v>
      </c>
      <c r="Z500" s="348">
        <f t="shared" si="178"/>
        <v>4.49</v>
      </c>
      <c r="AB500" s="328">
        <f t="shared" si="179"/>
        <v>0</v>
      </c>
      <c r="AC500" s="328">
        <f t="shared" si="180"/>
        <v>0</v>
      </c>
    </row>
    <row r="501" spans="1:29" ht="15" thickBot="1">
      <c r="A501" s="318"/>
      <c r="B501" s="319"/>
      <c r="C501" s="318"/>
      <c r="D501" s="318"/>
      <c r="E501" s="319"/>
      <c r="F501" s="319"/>
      <c r="G501" s="318" t="s">
        <v>959</v>
      </c>
      <c r="H501" s="318">
        <v>4.49</v>
      </c>
      <c r="I501" s="318">
        <v>1</v>
      </c>
      <c r="J501" s="318">
        <f t="shared" si="174"/>
        <v>1</v>
      </c>
      <c r="K501" s="318">
        <f t="shared" si="175"/>
        <v>4.49</v>
      </c>
      <c r="L501" s="318" t="s">
        <v>336</v>
      </c>
      <c r="M501" s="318" t="s">
        <v>337</v>
      </c>
      <c r="N501" s="318">
        <v>1</v>
      </c>
      <c r="O501" s="619">
        <f t="shared" si="176"/>
        <v>4.49</v>
      </c>
      <c r="P501" s="750">
        <v>1</v>
      </c>
      <c r="Q501" s="750"/>
      <c r="R501" s="592">
        <v>1</v>
      </c>
      <c r="S501" s="348">
        <f t="shared" si="182"/>
        <v>4.49</v>
      </c>
      <c r="T501" s="319" t="s">
        <v>3442</v>
      </c>
      <c r="V501" s="328">
        <f t="shared" si="181"/>
        <v>4.49</v>
      </c>
      <c r="W501" s="320">
        <v>1</v>
      </c>
      <c r="X501" s="348">
        <f t="shared" si="177"/>
        <v>4.49</v>
      </c>
      <c r="Y501" s="330">
        <v>1</v>
      </c>
      <c r="Z501" s="348">
        <f t="shared" si="178"/>
        <v>4.49</v>
      </c>
      <c r="AB501" s="328">
        <f t="shared" si="179"/>
        <v>0</v>
      </c>
      <c r="AC501" s="328">
        <f t="shared" si="180"/>
        <v>0</v>
      </c>
    </row>
    <row r="502" spans="1:29" ht="15.6" thickTop="1" thickBot="1">
      <c r="A502" s="318"/>
      <c r="B502" s="319"/>
      <c r="C502" s="318"/>
      <c r="D502" s="318"/>
      <c r="E502" s="319"/>
      <c r="F502" s="336" t="s">
        <v>558</v>
      </c>
      <c r="G502" s="649" t="s">
        <v>960</v>
      </c>
      <c r="H502" s="319">
        <v>4.4400000000000004</v>
      </c>
      <c r="I502" s="318">
        <v>1</v>
      </c>
      <c r="J502" s="318">
        <f t="shared" si="174"/>
        <v>1</v>
      </c>
      <c r="K502" s="318">
        <f t="shared" si="175"/>
        <v>4.4400000000000004</v>
      </c>
      <c r="L502" s="350" t="s">
        <v>2904</v>
      </c>
      <c r="M502" s="350" t="s">
        <v>2905</v>
      </c>
      <c r="N502" s="318">
        <v>0.83</v>
      </c>
      <c r="O502" s="619">
        <f t="shared" si="176"/>
        <v>3.6852</v>
      </c>
      <c r="P502" s="750"/>
      <c r="Q502" s="747"/>
      <c r="R502" s="624"/>
      <c r="S502" s="348">
        <f t="shared" si="182"/>
        <v>0</v>
      </c>
      <c r="T502" s="583" t="s">
        <v>3211</v>
      </c>
      <c r="V502" s="333">
        <v>4.226</v>
      </c>
      <c r="W502" s="320"/>
      <c r="X502" s="348">
        <f t="shared" si="177"/>
        <v>0</v>
      </c>
      <c r="Y502" s="330"/>
      <c r="Z502" s="348">
        <f t="shared" si="178"/>
        <v>0</v>
      </c>
      <c r="AB502" s="333">
        <f t="shared" si="179"/>
        <v>-3.6852</v>
      </c>
      <c r="AC502" s="333">
        <f t="shared" si="180"/>
        <v>0</v>
      </c>
    </row>
    <row r="503" spans="1:29" ht="15.6" thickTop="1" thickBot="1">
      <c r="A503" s="318"/>
      <c r="B503" s="319"/>
      <c r="C503" s="318"/>
      <c r="D503" s="318"/>
      <c r="E503" s="319"/>
      <c r="F503" s="336" t="s">
        <v>558</v>
      </c>
      <c r="G503" s="649" t="s">
        <v>961</v>
      </c>
      <c r="H503" s="319">
        <v>4.41</v>
      </c>
      <c r="I503" s="318">
        <v>1</v>
      </c>
      <c r="J503" s="318">
        <f t="shared" si="174"/>
        <v>1</v>
      </c>
      <c r="K503" s="318">
        <f t="shared" si="175"/>
        <v>4.41</v>
      </c>
      <c r="L503" s="352" t="s">
        <v>2906</v>
      </c>
      <c r="M503" s="350" t="s">
        <v>2907</v>
      </c>
      <c r="N503" s="318">
        <v>0.83</v>
      </c>
      <c r="O503" s="619">
        <f t="shared" si="176"/>
        <v>3.6602999999999999</v>
      </c>
      <c r="P503" s="750"/>
      <c r="Q503" s="747"/>
      <c r="R503" s="624"/>
      <c r="S503" s="348">
        <f t="shared" si="182"/>
        <v>0</v>
      </c>
      <c r="T503" s="583" t="s">
        <v>3211</v>
      </c>
      <c r="V503" s="333">
        <v>4.2009999999999996</v>
      </c>
      <c r="W503" s="320"/>
      <c r="X503" s="348">
        <f t="shared" si="177"/>
        <v>0</v>
      </c>
      <c r="Y503" s="330"/>
      <c r="Z503" s="348">
        <f t="shared" si="178"/>
        <v>0</v>
      </c>
      <c r="AB503" s="333">
        <f t="shared" si="179"/>
        <v>-3.6602999999999999</v>
      </c>
      <c r="AC503" s="333">
        <f t="shared" si="180"/>
        <v>0</v>
      </c>
    </row>
    <row r="504" spans="1:29" ht="15" thickTop="1">
      <c r="A504" s="318"/>
      <c r="B504" s="319"/>
      <c r="C504" s="318"/>
      <c r="D504" s="318"/>
      <c r="E504" s="319"/>
      <c r="F504" s="319"/>
      <c r="G504" s="318" t="s">
        <v>962</v>
      </c>
      <c r="H504" s="319">
        <v>3.81</v>
      </c>
      <c r="I504" s="318">
        <v>1</v>
      </c>
      <c r="J504" s="318">
        <f t="shared" si="174"/>
        <v>1</v>
      </c>
      <c r="K504" s="318">
        <f t="shared" si="175"/>
        <v>3.81</v>
      </c>
      <c r="L504" s="318">
        <v>1563</v>
      </c>
      <c r="M504" s="318">
        <v>133</v>
      </c>
      <c r="N504" s="318">
        <v>1</v>
      </c>
      <c r="O504" s="619">
        <f t="shared" si="176"/>
        <v>3.81</v>
      </c>
      <c r="P504" s="750">
        <v>1</v>
      </c>
      <c r="Q504" s="750"/>
      <c r="R504" s="337">
        <v>1</v>
      </c>
      <c r="S504" s="348">
        <f t="shared" si="182"/>
        <v>3.81</v>
      </c>
      <c r="T504" s="319"/>
      <c r="V504" s="333">
        <v>3.802</v>
      </c>
      <c r="W504" s="320">
        <v>1</v>
      </c>
      <c r="X504" s="348">
        <f t="shared" si="177"/>
        <v>3.802</v>
      </c>
      <c r="Y504" s="330">
        <v>1</v>
      </c>
      <c r="Z504" s="348">
        <f t="shared" si="178"/>
        <v>3.802</v>
      </c>
      <c r="AB504" s="333">
        <f t="shared" si="179"/>
        <v>-8.0000000000000071E-3</v>
      </c>
      <c r="AC504" s="333">
        <f t="shared" si="180"/>
        <v>-8.0000000000000071E-3</v>
      </c>
    </row>
    <row r="505" spans="1:29">
      <c r="A505" s="318"/>
      <c r="B505" s="319"/>
      <c r="C505" s="318"/>
      <c r="D505" s="318"/>
      <c r="E505" s="319"/>
      <c r="F505" s="319"/>
      <c r="G505" s="318" t="s">
        <v>963</v>
      </c>
      <c r="H505" s="319">
        <v>3.81</v>
      </c>
      <c r="I505" s="318">
        <v>1</v>
      </c>
      <c r="J505" s="318">
        <f t="shared" si="174"/>
        <v>1</v>
      </c>
      <c r="K505" s="318">
        <f t="shared" si="175"/>
        <v>3.81</v>
      </c>
      <c r="L505" s="350" t="s">
        <v>2598</v>
      </c>
      <c r="M505" s="350" t="s">
        <v>2599</v>
      </c>
      <c r="N505" s="318">
        <v>1</v>
      </c>
      <c r="O505" s="619">
        <f t="shared" si="176"/>
        <v>3.81</v>
      </c>
      <c r="P505" s="750">
        <v>1</v>
      </c>
      <c r="Q505" s="750"/>
      <c r="R505" s="337">
        <v>1</v>
      </c>
      <c r="S505" s="348">
        <f t="shared" si="182"/>
        <v>3.81</v>
      </c>
      <c r="T505" s="319"/>
      <c r="V505" s="333">
        <v>3.802</v>
      </c>
      <c r="W505" s="320">
        <v>1</v>
      </c>
      <c r="X505" s="348">
        <f t="shared" si="177"/>
        <v>3.802</v>
      </c>
      <c r="Y505" s="330">
        <v>1</v>
      </c>
      <c r="Z505" s="348">
        <f t="shared" si="178"/>
        <v>3.802</v>
      </c>
      <c r="AB505" s="333">
        <f t="shared" si="179"/>
        <v>-8.0000000000000071E-3</v>
      </c>
      <c r="AC505" s="333">
        <f t="shared" si="180"/>
        <v>-8.0000000000000071E-3</v>
      </c>
    </row>
    <row r="506" spans="1:29">
      <c r="A506" s="318"/>
      <c r="B506" s="319"/>
      <c r="C506" s="318"/>
      <c r="D506" s="318"/>
      <c r="E506" s="319"/>
      <c r="F506" s="336"/>
      <c r="G506" s="318" t="s">
        <v>964</v>
      </c>
      <c r="H506" s="319">
        <v>3.81</v>
      </c>
      <c r="I506" s="318">
        <v>1</v>
      </c>
      <c r="J506" s="318">
        <f t="shared" si="174"/>
        <v>1</v>
      </c>
      <c r="K506" s="318">
        <f t="shared" si="175"/>
        <v>3.81</v>
      </c>
      <c r="L506" s="472">
        <v>156716301818</v>
      </c>
      <c r="M506" s="349">
        <v>133146165</v>
      </c>
      <c r="N506" s="318">
        <v>1</v>
      </c>
      <c r="O506" s="619">
        <f t="shared" si="176"/>
        <v>3.81</v>
      </c>
      <c r="P506" s="750">
        <v>1</v>
      </c>
      <c r="Q506" s="750"/>
      <c r="R506" s="337">
        <v>1</v>
      </c>
      <c r="S506" s="348">
        <f t="shared" si="182"/>
        <v>3.81</v>
      </c>
      <c r="T506" s="319"/>
      <c r="V506" s="333">
        <v>3.802</v>
      </c>
      <c r="W506" s="320">
        <v>1</v>
      </c>
      <c r="X506" s="348">
        <f t="shared" si="177"/>
        <v>3.802</v>
      </c>
      <c r="Y506" s="330">
        <v>1</v>
      </c>
      <c r="Z506" s="348">
        <f t="shared" si="178"/>
        <v>3.802</v>
      </c>
      <c r="AB506" s="333">
        <f t="shared" si="179"/>
        <v>-8.0000000000000071E-3</v>
      </c>
      <c r="AC506" s="333">
        <f t="shared" si="180"/>
        <v>-8.0000000000000071E-3</v>
      </c>
    </row>
    <row r="507" spans="1:29" ht="14.4" customHeight="1">
      <c r="A507" s="318"/>
      <c r="B507" s="319"/>
      <c r="C507" s="318"/>
      <c r="D507" s="318"/>
      <c r="E507" s="319"/>
      <c r="F507" s="319"/>
      <c r="G507" s="318" t="s">
        <v>965</v>
      </c>
      <c r="H507" s="319">
        <v>3.91</v>
      </c>
      <c r="I507" s="318">
        <v>1</v>
      </c>
      <c r="J507" s="318">
        <f t="shared" si="174"/>
        <v>1</v>
      </c>
      <c r="K507" s="318">
        <f t="shared" si="175"/>
        <v>3.91</v>
      </c>
      <c r="L507" s="472">
        <v>156716301818</v>
      </c>
      <c r="M507" s="349">
        <v>133146165</v>
      </c>
      <c r="N507" s="318">
        <v>1</v>
      </c>
      <c r="O507" s="619">
        <f t="shared" si="176"/>
        <v>3.91</v>
      </c>
      <c r="P507" s="750">
        <v>1</v>
      </c>
      <c r="Q507" s="750"/>
      <c r="R507" s="337">
        <v>1</v>
      </c>
      <c r="S507" s="348">
        <f t="shared" si="182"/>
        <v>3.91</v>
      </c>
      <c r="T507" s="319"/>
      <c r="V507" s="333">
        <v>3.802</v>
      </c>
      <c r="W507" s="320">
        <v>1</v>
      </c>
      <c r="X507" s="348">
        <f t="shared" si="177"/>
        <v>3.802</v>
      </c>
      <c r="Y507" s="330">
        <v>1</v>
      </c>
      <c r="Z507" s="348">
        <f t="shared" si="178"/>
        <v>3.802</v>
      </c>
      <c r="AB507" s="333">
        <f t="shared" si="179"/>
        <v>-0.1080000000000001</v>
      </c>
      <c r="AC507" s="333">
        <f t="shared" si="180"/>
        <v>-0.1080000000000001</v>
      </c>
    </row>
    <row r="508" spans="1:29">
      <c r="A508" s="318"/>
      <c r="B508" s="319"/>
      <c r="C508" s="318"/>
      <c r="D508" s="318"/>
      <c r="E508" s="319"/>
      <c r="F508" s="336" t="s">
        <v>558</v>
      </c>
      <c r="G508" s="318" t="s">
        <v>966</v>
      </c>
      <c r="H508" s="319">
        <v>4.41</v>
      </c>
      <c r="I508" s="318">
        <v>1</v>
      </c>
      <c r="J508" s="318">
        <f t="shared" si="174"/>
        <v>1</v>
      </c>
      <c r="K508" s="318">
        <f t="shared" si="175"/>
        <v>4.41</v>
      </c>
      <c r="L508" s="352" t="s">
        <v>2910</v>
      </c>
      <c r="M508" s="350" t="s">
        <v>2908</v>
      </c>
      <c r="N508" s="318">
        <v>1</v>
      </c>
      <c r="O508" s="619">
        <f t="shared" si="176"/>
        <v>4.41</v>
      </c>
      <c r="P508" s="750">
        <v>1</v>
      </c>
      <c r="Q508" s="750"/>
      <c r="R508" s="337">
        <v>1</v>
      </c>
      <c r="S508" s="348">
        <f t="shared" si="182"/>
        <v>4.41</v>
      </c>
      <c r="T508" s="319"/>
      <c r="V508" s="333">
        <v>4.2009999999999996</v>
      </c>
      <c r="W508" s="320"/>
      <c r="X508" s="348">
        <f t="shared" si="177"/>
        <v>0</v>
      </c>
      <c r="Y508" s="330"/>
      <c r="Z508" s="348">
        <f t="shared" si="178"/>
        <v>0</v>
      </c>
      <c r="AB508" s="333">
        <f t="shared" si="179"/>
        <v>-4.41</v>
      </c>
      <c r="AC508" s="333">
        <f t="shared" si="180"/>
        <v>-4.41</v>
      </c>
    </row>
    <row r="509" spans="1:29">
      <c r="A509" s="318"/>
      <c r="B509" s="319"/>
      <c r="C509" s="318"/>
      <c r="D509" s="318"/>
      <c r="E509" s="319"/>
      <c r="F509" s="336" t="s">
        <v>558</v>
      </c>
      <c r="G509" s="318" t="s">
        <v>967</v>
      </c>
      <c r="H509" s="319">
        <v>4.4400000000000004</v>
      </c>
      <c r="I509" s="318">
        <v>1</v>
      </c>
      <c r="J509" s="318">
        <f t="shared" si="174"/>
        <v>1</v>
      </c>
      <c r="K509" s="318">
        <f t="shared" si="175"/>
        <v>4.4400000000000004</v>
      </c>
      <c r="L509" s="350" t="s">
        <v>2911</v>
      </c>
      <c r="M509" s="350" t="s">
        <v>2909</v>
      </c>
      <c r="N509" s="318">
        <v>1</v>
      </c>
      <c r="O509" s="619">
        <f t="shared" si="176"/>
        <v>4.4400000000000004</v>
      </c>
      <c r="P509" s="750">
        <v>1</v>
      </c>
      <c r="Q509" s="750"/>
      <c r="R509" s="337">
        <v>1</v>
      </c>
      <c r="S509" s="348">
        <f t="shared" si="182"/>
        <v>4.4400000000000004</v>
      </c>
      <c r="T509" s="319" t="s">
        <v>3444</v>
      </c>
      <c r="V509" s="333">
        <v>4.226</v>
      </c>
      <c r="W509" s="320"/>
      <c r="X509" s="348">
        <f t="shared" si="177"/>
        <v>0</v>
      </c>
      <c r="Y509" s="330"/>
      <c r="Z509" s="348">
        <f t="shared" si="178"/>
        <v>0</v>
      </c>
      <c r="AB509" s="333">
        <f t="shared" si="179"/>
        <v>-4.4400000000000004</v>
      </c>
      <c r="AC509" s="333">
        <f t="shared" si="180"/>
        <v>-4.4400000000000004</v>
      </c>
    </row>
    <row r="510" spans="1:29">
      <c r="A510" s="318"/>
      <c r="B510" s="319"/>
      <c r="C510" s="318"/>
      <c r="D510" s="318"/>
      <c r="E510" s="319"/>
      <c r="F510" s="319"/>
      <c r="G510" s="318" t="s">
        <v>968</v>
      </c>
      <c r="H510" s="318">
        <v>4.49</v>
      </c>
      <c r="I510" s="318">
        <v>1</v>
      </c>
      <c r="J510" s="318">
        <f t="shared" si="174"/>
        <v>1</v>
      </c>
      <c r="K510" s="318">
        <f t="shared" si="175"/>
        <v>4.49</v>
      </c>
      <c r="L510" s="318" t="s">
        <v>348</v>
      </c>
      <c r="M510" s="318" t="s">
        <v>357</v>
      </c>
      <c r="N510" s="318">
        <v>1</v>
      </c>
      <c r="O510" s="619">
        <f t="shared" si="176"/>
        <v>4.49</v>
      </c>
      <c r="P510" s="750">
        <v>1</v>
      </c>
      <c r="Q510" s="750"/>
      <c r="R510" s="337">
        <v>1</v>
      </c>
      <c r="S510" s="348">
        <f t="shared" si="182"/>
        <v>4.49</v>
      </c>
      <c r="T510" s="319" t="s">
        <v>3444</v>
      </c>
      <c r="V510" s="328">
        <f t="shared" ref="V510:V526" si="183">4.49</f>
        <v>4.49</v>
      </c>
      <c r="W510" s="320">
        <v>1</v>
      </c>
      <c r="X510" s="348">
        <f t="shared" si="177"/>
        <v>4.49</v>
      </c>
      <c r="Y510" s="330">
        <v>1</v>
      </c>
      <c r="Z510" s="348">
        <f t="shared" si="178"/>
        <v>4.49</v>
      </c>
      <c r="AB510" s="328">
        <f t="shared" si="179"/>
        <v>0</v>
      </c>
      <c r="AC510" s="328">
        <f t="shared" si="180"/>
        <v>0</v>
      </c>
    </row>
    <row r="511" spans="1:29">
      <c r="A511" s="318"/>
      <c r="B511" s="319"/>
      <c r="C511" s="318"/>
      <c r="D511" s="318"/>
      <c r="E511" s="319"/>
      <c r="F511" s="336"/>
      <c r="G511" s="318" t="s">
        <v>969</v>
      </c>
      <c r="H511" s="318">
        <v>4.49</v>
      </c>
      <c r="I511" s="318">
        <v>1</v>
      </c>
      <c r="J511" s="318">
        <f t="shared" si="174"/>
        <v>1</v>
      </c>
      <c r="K511" s="318">
        <f t="shared" si="175"/>
        <v>4.49</v>
      </c>
      <c r="L511" s="318" t="s">
        <v>346</v>
      </c>
      <c r="M511" s="318" t="s">
        <v>363</v>
      </c>
      <c r="N511" s="318">
        <v>1</v>
      </c>
      <c r="O511" s="619">
        <f t="shared" si="176"/>
        <v>4.49</v>
      </c>
      <c r="P511" s="750">
        <v>1</v>
      </c>
      <c r="Q511" s="750"/>
      <c r="R511" s="337">
        <v>1</v>
      </c>
      <c r="S511" s="348">
        <f t="shared" si="182"/>
        <v>4.49</v>
      </c>
      <c r="T511" s="319" t="s">
        <v>3441</v>
      </c>
      <c r="V511" s="328">
        <f t="shared" si="183"/>
        <v>4.49</v>
      </c>
      <c r="W511" s="320">
        <v>1</v>
      </c>
      <c r="X511" s="348">
        <f t="shared" si="177"/>
        <v>4.49</v>
      </c>
      <c r="Y511" s="330">
        <v>1</v>
      </c>
      <c r="Z511" s="348">
        <f t="shared" si="178"/>
        <v>4.49</v>
      </c>
      <c r="AB511" s="328">
        <f t="shared" si="179"/>
        <v>0</v>
      </c>
      <c r="AC511" s="328">
        <f t="shared" si="180"/>
        <v>0</v>
      </c>
    </row>
    <row r="512" spans="1:29">
      <c r="A512" s="318"/>
      <c r="B512" s="319"/>
      <c r="C512" s="318"/>
      <c r="D512" s="318"/>
      <c r="E512" s="319"/>
      <c r="F512" s="319"/>
      <c r="G512" s="318" t="s">
        <v>970</v>
      </c>
      <c r="H512" s="318">
        <v>4.49</v>
      </c>
      <c r="I512" s="318">
        <v>1</v>
      </c>
      <c r="J512" s="318">
        <f t="shared" si="174"/>
        <v>1</v>
      </c>
      <c r="K512" s="318">
        <f t="shared" si="175"/>
        <v>4.49</v>
      </c>
      <c r="L512" s="318" t="s">
        <v>330</v>
      </c>
      <c r="M512" s="318" t="s">
        <v>334</v>
      </c>
      <c r="N512" s="318">
        <v>1</v>
      </c>
      <c r="O512" s="619">
        <f t="shared" si="176"/>
        <v>4.49</v>
      </c>
      <c r="P512" s="750">
        <v>1</v>
      </c>
      <c r="Q512" s="750"/>
      <c r="R512" s="337">
        <v>1</v>
      </c>
      <c r="S512" s="348">
        <f t="shared" si="182"/>
        <v>4.49</v>
      </c>
      <c r="T512" s="319" t="s">
        <v>3441</v>
      </c>
      <c r="V512" s="328">
        <f t="shared" si="183"/>
        <v>4.49</v>
      </c>
      <c r="W512" s="320">
        <v>1</v>
      </c>
      <c r="X512" s="348">
        <f t="shared" si="177"/>
        <v>4.49</v>
      </c>
      <c r="Y512" s="330">
        <v>1</v>
      </c>
      <c r="Z512" s="348">
        <f t="shared" si="178"/>
        <v>4.49</v>
      </c>
      <c r="AB512" s="328">
        <f t="shared" si="179"/>
        <v>0</v>
      </c>
      <c r="AC512" s="328">
        <f t="shared" si="180"/>
        <v>0</v>
      </c>
    </row>
    <row r="513" spans="1:29">
      <c r="A513" s="318"/>
      <c r="B513" s="319"/>
      <c r="C513" s="318"/>
      <c r="D513" s="318"/>
      <c r="E513" s="319"/>
      <c r="F513" s="319"/>
      <c r="G513" s="318" t="s">
        <v>971</v>
      </c>
      <c r="H513" s="318">
        <v>4.49</v>
      </c>
      <c r="I513" s="318">
        <v>1</v>
      </c>
      <c r="J513" s="318">
        <f t="shared" si="174"/>
        <v>1</v>
      </c>
      <c r="K513" s="318">
        <f t="shared" si="175"/>
        <v>4.49</v>
      </c>
      <c r="L513" s="318" t="s">
        <v>330</v>
      </c>
      <c r="M513" s="318" t="s">
        <v>334</v>
      </c>
      <c r="N513" s="318">
        <v>1</v>
      </c>
      <c r="O513" s="619">
        <f t="shared" si="176"/>
        <v>4.49</v>
      </c>
      <c r="P513" s="750">
        <v>1</v>
      </c>
      <c r="Q513" s="750"/>
      <c r="R513" s="337">
        <v>1</v>
      </c>
      <c r="S513" s="348">
        <f t="shared" si="182"/>
        <v>4.49</v>
      </c>
      <c r="T513" s="319" t="s">
        <v>3441</v>
      </c>
      <c r="V513" s="328">
        <f t="shared" si="183"/>
        <v>4.49</v>
      </c>
      <c r="W513" s="320">
        <v>1</v>
      </c>
      <c r="X513" s="348">
        <f t="shared" si="177"/>
        <v>4.49</v>
      </c>
      <c r="Y513" s="330">
        <v>1</v>
      </c>
      <c r="Z513" s="348">
        <f t="shared" si="178"/>
        <v>4.49</v>
      </c>
      <c r="AB513" s="328">
        <f t="shared" si="179"/>
        <v>0</v>
      </c>
      <c r="AC513" s="328">
        <f t="shared" si="180"/>
        <v>0</v>
      </c>
    </row>
    <row r="514" spans="1:29">
      <c r="A514" s="318"/>
      <c r="B514" s="319"/>
      <c r="C514" s="318"/>
      <c r="D514" s="318"/>
      <c r="E514" s="319"/>
      <c r="F514" s="319"/>
      <c r="G514" s="318" t="s">
        <v>972</v>
      </c>
      <c r="H514" s="318">
        <v>4.49</v>
      </c>
      <c r="I514" s="318">
        <v>1</v>
      </c>
      <c r="J514" s="318">
        <f t="shared" si="174"/>
        <v>1</v>
      </c>
      <c r="K514" s="318">
        <f t="shared" si="175"/>
        <v>4.49</v>
      </c>
      <c r="L514" s="318" t="s">
        <v>332</v>
      </c>
      <c r="M514" s="318" t="s">
        <v>334</v>
      </c>
      <c r="N514" s="318">
        <v>1</v>
      </c>
      <c r="O514" s="619">
        <f t="shared" si="176"/>
        <v>4.49</v>
      </c>
      <c r="P514" s="750">
        <v>1</v>
      </c>
      <c r="Q514" s="750"/>
      <c r="R514" s="337">
        <v>1</v>
      </c>
      <c r="S514" s="348">
        <f t="shared" si="182"/>
        <v>4.49</v>
      </c>
      <c r="T514" s="319" t="s">
        <v>3441</v>
      </c>
      <c r="V514" s="328">
        <f t="shared" si="183"/>
        <v>4.49</v>
      </c>
      <c r="W514" s="320">
        <v>1</v>
      </c>
      <c r="X514" s="348">
        <f t="shared" si="177"/>
        <v>4.49</v>
      </c>
      <c r="Y514" s="330">
        <v>1</v>
      </c>
      <c r="Z514" s="348">
        <f t="shared" si="178"/>
        <v>4.49</v>
      </c>
      <c r="AB514" s="328">
        <f t="shared" si="179"/>
        <v>0</v>
      </c>
      <c r="AC514" s="328">
        <f t="shared" si="180"/>
        <v>0</v>
      </c>
    </row>
    <row r="515" spans="1:29">
      <c r="A515" s="318"/>
      <c r="B515" s="319"/>
      <c r="C515" s="318"/>
      <c r="D515" s="318"/>
      <c r="E515" s="319"/>
      <c r="F515" s="319"/>
      <c r="G515" s="318" t="s">
        <v>973</v>
      </c>
      <c r="H515" s="318">
        <v>4.49</v>
      </c>
      <c r="I515" s="318">
        <v>1</v>
      </c>
      <c r="J515" s="318">
        <f t="shared" si="174"/>
        <v>1</v>
      </c>
      <c r="K515" s="318">
        <f t="shared" si="175"/>
        <v>4.49</v>
      </c>
      <c r="L515" s="318">
        <v>1697</v>
      </c>
      <c r="M515" s="318">
        <v>156</v>
      </c>
      <c r="N515" s="318">
        <v>1</v>
      </c>
      <c r="O515" s="619">
        <f t="shared" si="176"/>
        <v>4.49</v>
      </c>
      <c r="P515" s="750">
        <v>1</v>
      </c>
      <c r="Q515" s="750"/>
      <c r="R515" s="337">
        <v>1</v>
      </c>
      <c r="S515" s="348">
        <f t="shared" si="182"/>
        <v>4.49</v>
      </c>
      <c r="T515" s="319" t="s">
        <v>3441</v>
      </c>
      <c r="V515" s="328">
        <f t="shared" si="183"/>
        <v>4.49</v>
      </c>
      <c r="W515" s="320">
        <v>1</v>
      </c>
      <c r="X515" s="348">
        <f t="shared" si="177"/>
        <v>4.49</v>
      </c>
      <c r="Y515" s="330">
        <v>1</v>
      </c>
      <c r="Z515" s="348">
        <f t="shared" si="178"/>
        <v>4.49</v>
      </c>
      <c r="AB515" s="328">
        <f t="shared" si="179"/>
        <v>0</v>
      </c>
      <c r="AC515" s="328">
        <f t="shared" si="180"/>
        <v>0</v>
      </c>
    </row>
    <row r="516" spans="1:29">
      <c r="A516" s="318"/>
      <c r="B516" s="319"/>
      <c r="C516" s="318"/>
      <c r="D516" s="318"/>
      <c r="E516" s="319"/>
      <c r="F516" s="319"/>
      <c r="G516" s="318" t="s">
        <v>974</v>
      </c>
      <c r="H516" s="318">
        <v>4.49</v>
      </c>
      <c r="I516" s="318">
        <v>1</v>
      </c>
      <c r="J516" s="318">
        <f t="shared" si="174"/>
        <v>1</v>
      </c>
      <c r="K516" s="318">
        <f t="shared" si="175"/>
        <v>4.49</v>
      </c>
      <c r="L516" s="350" t="s">
        <v>2585</v>
      </c>
      <c r="M516" s="318">
        <v>156</v>
      </c>
      <c r="N516" s="318">
        <v>1</v>
      </c>
      <c r="O516" s="619">
        <f t="shared" si="176"/>
        <v>4.49</v>
      </c>
      <c r="P516" s="750">
        <v>1</v>
      </c>
      <c r="Q516" s="750"/>
      <c r="R516" s="337">
        <v>1</v>
      </c>
      <c r="S516" s="348">
        <f t="shared" si="182"/>
        <v>4.49</v>
      </c>
      <c r="T516" s="319"/>
      <c r="V516" s="328">
        <f t="shared" si="183"/>
        <v>4.49</v>
      </c>
      <c r="W516" s="320">
        <v>1</v>
      </c>
      <c r="X516" s="348">
        <f t="shared" si="177"/>
        <v>4.49</v>
      </c>
      <c r="Y516" s="330">
        <v>1</v>
      </c>
      <c r="Z516" s="348">
        <f t="shared" si="178"/>
        <v>4.49</v>
      </c>
      <c r="AB516" s="328">
        <f t="shared" si="179"/>
        <v>0</v>
      </c>
      <c r="AC516" s="328">
        <f t="shared" si="180"/>
        <v>0</v>
      </c>
    </row>
    <row r="517" spans="1:29">
      <c r="A517" s="318"/>
      <c r="B517" s="319"/>
      <c r="C517" s="318"/>
      <c r="D517" s="318"/>
      <c r="E517" s="319"/>
      <c r="F517" s="336"/>
      <c r="G517" s="318" t="s">
        <v>975</v>
      </c>
      <c r="H517" s="318">
        <v>4.49</v>
      </c>
      <c r="I517" s="318">
        <v>1</v>
      </c>
      <c r="J517" s="318">
        <f t="shared" si="174"/>
        <v>1</v>
      </c>
      <c r="K517" s="318">
        <f t="shared" si="175"/>
        <v>4.49</v>
      </c>
      <c r="L517" s="350" t="s">
        <v>2586</v>
      </c>
      <c r="M517" s="318">
        <v>148</v>
      </c>
      <c r="N517" s="318">
        <v>1</v>
      </c>
      <c r="O517" s="619">
        <f t="shared" si="176"/>
        <v>4.49</v>
      </c>
      <c r="P517" s="750">
        <v>1</v>
      </c>
      <c r="Q517" s="750"/>
      <c r="R517" s="337">
        <v>1</v>
      </c>
      <c r="S517" s="348">
        <f t="shared" si="182"/>
        <v>4.49</v>
      </c>
      <c r="T517" s="319"/>
      <c r="V517" s="328">
        <f t="shared" si="183"/>
        <v>4.49</v>
      </c>
      <c r="W517" s="320">
        <v>1</v>
      </c>
      <c r="X517" s="348">
        <f t="shared" si="177"/>
        <v>4.49</v>
      </c>
      <c r="Y517" s="330">
        <v>1</v>
      </c>
      <c r="Z517" s="348">
        <f t="shared" si="178"/>
        <v>4.49</v>
      </c>
      <c r="AB517" s="328">
        <f t="shared" si="179"/>
        <v>0</v>
      </c>
      <c r="AC517" s="328">
        <f t="shared" si="180"/>
        <v>0</v>
      </c>
    </row>
    <row r="518" spans="1:29">
      <c r="A518" s="318"/>
      <c r="B518" s="319"/>
      <c r="C518" s="318"/>
      <c r="D518" s="318"/>
      <c r="E518" s="319"/>
      <c r="F518" s="336"/>
      <c r="G518" s="318" t="s">
        <v>976</v>
      </c>
      <c r="H518" s="318">
        <v>4.49</v>
      </c>
      <c r="I518" s="318">
        <v>1</v>
      </c>
      <c r="J518" s="318">
        <f t="shared" si="174"/>
        <v>1</v>
      </c>
      <c r="K518" s="318">
        <f t="shared" si="175"/>
        <v>4.49</v>
      </c>
      <c r="L518" s="318">
        <v>1645</v>
      </c>
      <c r="M518" s="318">
        <v>148</v>
      </c>
      <c r="N518" s="318">
        <v>1</v>
      </c>
      <c r="O518" s="619">
        <f t="shared" si="176"/>
        <v>4.49</v>
      </c>
      <c r="P518" s="750">
        <v>1</v>
      </c>
      <c r="Q518" s="750"/>
      <c r="R518" s="337">
        <v>1</v>
      </c>
      <c r="S518" s="348">
        <f t="shared" si="182"/>
        <v>4.49</v>
      </c>
      <c r="T518" s="319"/>
      <c r="V518" s="328">
        <f t="shared" si="183"/>
        <v>4.49</v>
      </c>
      <c r="W518" s="320">
        <v>1</v>
      </c>
      <c r="X518" s="348">
        <f t="shared" si="177"/>
        <v>4.49</v>
      </c>
      <c r="Y518" s="330">
        <v>1</v>
      </c>
      <c r="Z518" s="348">
        <f t="shared" si="178"/>
        <v>4.49</v>
      </c>
      <c r="AB518" s="328">
        <f t="shared" si="179"/>
        <v>0</v>
      </c>
      <c r="AC518" s="328">
        <f t="shared" si="180"/>
        <v>0</v>
      </c>
    </row>
    <row r="519" spans="1:29">
      <c r="A519" s="318"/>
      <c r="B519" s="319"/>
      <c r="C519" s="318"/>
      <c r="D519" s="318"/>
      <c r="E519" s="319"/>
      <c r="F519" s="336"/>
      <c r="G519" s="318" t="s">
        <v>977</v>
      </c>
      <c r="H519" s="318">
        <v>4.49</v>
      </c>
      <c r="I519" s="318">
        <v>1</v>
      </c>
      <c r="J519" s="318">
        <f t="shared" si="174"/>
        <v>1</v>
      </c>
      <c r="K519" s="318">
        <f t="shared" si="175"/>
        <v>4.49</v>
      </c>
      <c r="L519" s="318">
        <v>1648</v>
      </c>
      <c r="M519" s="318">
        <v>148</v>
      </c>
      <c r="N519" s="318">
        <v>1</v>
      </c>
      <c r="O519" s="619">
        <f t="shared" si="176"/>
        <v>4.49</v>
      </c>
      <c r="P519" s="750">
        <v>1</v>
      </c>
      <c r="Q519" s="750"/>
      <c r="R519" s="337">
        <v>1</v>
      </c>
      <c r="S519" s="348">
        <f t="shared" si="182"/>
        <v>4.49</v>
      </c>
      <c r="T519" s="319"/>
      <c r="V519" s="328">
        <f t="shared" si="183"/>
        <v>4.49</v>
      </c>
      <c r="W519" s="320">
        <v>1</v>
      </c>
      <c r="X519" s="348">
        <f t="shared" si="177"/>
        <v>4.49</v>
      </c>
      <c r="Y519" s="330">
        <v>1</v>
      </c>
      <c r="Z519" s="348">
        <f t="shared" si="178"/>
        <v>4.49</v>
      </c>
      <c r="AB519" s="328">
        <f t="shared" si="179"/>
        <v>0</v>
      </c>
      <c r="AC519" s="328">
        <f t="shared" si="180"/>
        <v>0</v>
      </c>
    </row>
    <row r="520" spans="1:29">
      <c r="A520" s="318"/>
      <c r="B520" s="319"/>
      <c r="C520" s="318"/>
      <c r="D520" s="318"/>
      <c r="E520" s="319"/>
      <c r="F520" s="336"/>
      <c r="G520" s="318" t="s">
        <v>978</v>
      </c>
      <c r="H520" s="318">
        <v>4.49</v>
      </c>
      <c r="I520" s="318">
        <v>1</v>
      </c>
      <c r="J520" s="318">
        <f t="shared" si="174"/>
        <v>1</v>
      </c>
      <c r="K520" s="318">
        <f t="shared" si="175"/>
        <v>4.49</v>
      </c>
      <c r="L520" s="318">
        <v>1648</v>
      </c>
      <c r="M520" s="318">
        <v>148</v>
      </c>
      <c r="N520" s="318">
        <v>1</v>
      </c>
      <c r="O520" s="619">
        <f t="shared" si="176"/>
        <v>4.49</v>
      </c>
      <c r="P520" s="750">
        <v>1</v>
      </c>
      <c r="Q520" s="750"/>
      <c r="R520" s="337">
        <v>1</v>
      </c>
      <c r="S520" s="348">
        <f t="shared" si="182"/>
        <v>4.49</v>
      </c>
      <c r="T520" s="319"/>
      <c r="V520" s="328">
        <f t="shared" si="183"/>
        <v>4.49</v>
      </c>
      <c r="W520" s="320">
        <v>1</v>
      </c>
      <c r="X520" s="348">
        <f t="shared" si="177"/>
        <v>4.49</v>
      </c>
      <c r="Y520" s="330">
        <v>1</v>
      </c>
      <c r="Z520" s="348">
        <f t="shared" si="178"/>
        <v>4.49</v>
      </c>
      <c r="AB520" s="328">
        <f t="shared" si="179"/>
        <v>0</v>
      </c>
      <c r="AC520" s="328">
        <f t="shared" si="180"/>
        <v>0</v>
      </c>
    </row>
    <row r="521" spans="1:29">
      <c r="A521" s="318"/>
      <c r="B521" s="319"/>
      <c r="C521" s="318"/>
      <c r="D521" s="318"/>
      <c r="E521" s="319"/>
      <c r="F521" s="336"/>
      <c r="G521" s="318" t="s">
        <v>979</v>
      </c>
      <c r="H521" s="318">
        <v>4.49</v>
      </c>
      <c r="I521" s="318">
        <v>1</v>
      </c>
      <c r="J521" s="318">
        <f t="shared" si="174"/>
        <v>1</v>
      </c>
      <c r="K521" s="318">
        <f t="shared" si="175"/>
        <v>4.49</v>
      </c>
      <c r="L521" s="318">
        <v>1648</v>
      </c>
      <c r="M521" s="318">
        <v>148</v>
      </c>
      <c r="N521" s="318">
        <v>1</v>
      </c>
      <c r="O521" s="619">
        <f t="shared" si="176"/>
        <v>4.49</v>
      </c>
      <c r="P521" s="750">
        <v>1</v>
      </c>
      <c r="Q521" s="750"/>
      <c r="R521" s="337">
        <v>1</v>
      </c>
      <c r="S521" s="348">
        <f t="shared" si="182"/>
        <v>4.49</v>
      </c>
      <c r="T521" s="319"/>
      <c r="V521" s="328">
        <f t="shared" si="183"/>
        <v>4.49</v>
      </c>
      <c r="W521" s="320">
        <v>1</v>
      </c>
      <c r="X521" s="348">
        <f t="shared" si="177"/>
        <v>4.49</v>
      </c>
      <c r="Y521" s="330">
        <v>1</v>
      </c>
      <c r="Z521" s="348">
        <f t="shared" si="178"/>
        <v>4.49</v>
      </c>
      <c r="AB521" s="328">
        <f t="shared" si="179"/>
        <v>0</v>
      </c>
      <c r="AC521" s="328">
        <f t="shared" si="180"/>
        <v>0</v>
      </c>
    </row>
    <row r="522" spans="1:29">
      <c r="A522" s="318"/>
      <c r="B522" s="319"/>
      <c r="C522" s="318"/>
      <c r="D522" s="318"/>
      <c r="E522" s="319"/>
      <c r="F522" s="336"/>
      <c r="G522" s="318" t="s">
        <v>980</v>
      </c>
      <c r="H522" s="318">
        <v>4.49</v>
      </c>
      <c r="I522" s="318">
        <v>1</v>
      </c>
      <c r="J522" s="318">
        <f t="shared" si="174"/>
        <v>1</v>
      </c>
      <c r="K522" s="318">
        <f t="shared" si="175"/>
        <v>4.49</v>
      </c>
      <c r="L522" s="318">
        <v>1648</v>
      </c>
      <c r="M522" s="318">
        <v>148</v>
      </c>
      <c r="N522" s="318">
        <v>1</v>
      </c>
      <c r="O522" s="619">
        <f t="shared" si="176"/>
        <v>4.49</v>
      </c>
      <c r="P522" s="750">
        <v>1</v>
      </c>
      <c r="Q522" s="750"/>
      <c r="R522" s="337">
        <v>1</v>
      </c>
      <c r="S522" s="348">
        <f t="shared" si="182"/>
        <v>4.49</v>
      </c>
      <c r="T522" s="319"/>
      <c r="V522" s="328">
        <f t="shared" si="183"/>
        <v>4.49</v>
      </c>
      <c r="W522" s="320">
        <v>1</v>
      </c>
      <c r="X522" s="348">
        <f t="shared" si="177"/>
        <v>4.49</v>
      </c>
      <c r="Y522" s="330">
        <v>1</v>
      </c>
      <c r="Z522" s="348">
        <f t="shared" si="178"/>
        <v>4.49</v>
      </c>
      <c r="AB522" s="328">
        <f t="shared" si="179"/>
        <v>0</v>
      </c>
      <c r="AC522" s="328">
        <f t="shared" si="180"/>
        <v>0</v>
      </c>
    </row>
    <row r="523" spans="1:29">
      <c r="A523" s="318"/>
      <c r="B523" s="319"/>
      <c r="C523" s="318"/>
      <c r="D523" s="318"/>
      <c r="E523" s="319"/>
      <c r="F523" s="336"/>
      <c r="G523" s="318" t="s">
        <v>981</v>
      </c>
      <c r="H523" s="318">
        <v>4.49</v>
      </c>
      <c r="I523" s="318">
        <v>1</v>
      </c>
      <c r="J523" s="318">
        <f t="shared" si="174"/>
        <v>1</v>
      </c>
      <c r="K523" s="318">
        <f t="shared" si="175"/>
        <v>4.49</v>
      </c>
      <c r="L523" s="318">
        <v>1648</v>
      </c>
      <c r="M523" s="318">
        <v>148</v>
      </c>
      <c r="N523" s="318">
        <v>1</v>
      </c>
      <c r="O523" s="619">
        <f t="shared" si="176"/>
        <v>4.49</v>
      </c>
      <c r="P523" s="750">
        <v>1</v>
      </c>
      <c r="Q523" s="750"/>
      <c r="R523" s="337">
        <v>1</v>
      </c>
      <c r="S523" s="348">
        <f t="shared" si="182"/>
        <v>4.49</v>
      </c>
      <c r="T523" s="319"/>
      <c r="V523" s="328">
        <f t="shared" si="183"/>
        <v>4.49</v>
      </c>
      <c r="W523" s="320">
        <v>1</v>
      </c>
      <c r="X523" s="348">
        <f t="shared" si="177"/>
        <v>4.49</v>
      </c>
      <c r="Y523" s="330">
        <v>1</v>
      </c>
      <c r="Z523" s="348">
        <f t="shared" si="178"/>
        <v>4.49</v>
      </c>
      <c r="AB523" s="328">
        <f t="shared" si="179"/>
        <v>0</v>
      </c>
      <c r="AC523" s="328">
        <f t="shared" si="180"/>
        <v>0</v>
      </c>
    </row>
    <row r="524" spans="1:29">
      <c r="A524" s="318"/>
      <c r="B524" s="319"/>
      <c r="C524" s="318"/>
      <c r="D524" s="318"/>
      <c r="E524" s="319"/>
      <c r="F524" s="336"/>
      <c r="G524" s="318" t="s">
        <v>982</v>
      </c>
      <c r="H524" s="318">
        <v>4.49</v>
      </c>
      <c r="I524" s="318">
        <v>1</v>
      </c>
      <c r="J524" s="318">
        <f t="shared" si="174"/>
        <v>1</v>
      </c>
      <c r="K524" s="318">
        <f t="shared" si="175"/>
        <v>4.49</v>
      </c>
      <c r="L524" s="318">
        <v>1645</v>
      </c>
      <c r="M524" s="318">
        <v>148</v>
      </c>
      <c r="N524" s="318">
        <v>1</v>
      </c>
      <c r="O524" s="619">
        <f t="shared" si="176"/>
        <v>4.49</v>
      </c>
      <c r="P524" s="750">
        <v>1</v>
      </c>
      <c r="Q524" s="750"/>
      <c r="R524" s="337">
        <v>1</v>
      </c>
      <c r="S524" s="348">
        <f t="shared" si="182"/>
        <v>4.49</v>
      </c>
      <c r="T524" s="319"/>
      <c r="V524" s="328">
        <f t="shared" si="183"/>
        <v>4.49</v>
      </c>
      <c r="W524" s="320">
        <v>1</v>
      </c>
      <c r="X524" s="348">
        <f t="shared" si="177"/>
        <v>4.49</v>
      </c>
      <c r="Y524" s="330">
        <v>1</v>
      </c>
      <c r="Z524" s="348">
        <f t="shared" si="178"/>
        <v>4.49</v>
      </c>
      <c r="AB524" s="328">
        <f t="shared" si="179"/>
        <v>0</v>
      </c>
      <c r="AC524" s="328">
        <f t="shared" si="180"/>
        <v>0</v>
      </c>
    </row>
    <row r="525" spans="1:29">
      <c r="A525" s="318"/>
      <c r="B525" s="319"/>
      <c r="C525" s="318"/>
      <c r="D525" s="318"/>
      <c r="E525" s="319"/>
      <c r="F525" s="336"/>
      <c r="G525" s="318" t="s">
        <v>983</v>
      </c>
      <c r="H525" s="318">
        <v>4.49</v>
      </c>
      <c r="I525" s="318">
        <v>1</v>
      </c>
      <c r="J525" s="318">
        <f t="shared" si="174"/>
        <v>1</v>
      </c>
      <c r="K525" s="318">
        <f t="shared" si="175"/>
        <v>4.49</v>
      </c>
      <c r="L525" s="318">
        <v>1645</v>
      </c>
      <c r="M525" s="318">
        <v>148</v>
      </c>
      <c r="N525" s="318">
        <v>1</v>
      </c>
      <c r="O525" s="619">
        <f t="shared" si="176"/>
        <v>4.49</v>
      </c>
      <c r="P525" s="750">
        <v>1</v>
      </c>
      <c r="Q525" s="750"/>
      <c r="R525" s="337">
        <v>1</v>
      </c>
      <c r="S525" s="348">
        <f t="shared" si="182"/>
        <v>4.49</v>
      </c>
      <c r="T525" s="319"/>
      <c r="V525" s="328">
        <f t="shared" si="183"/>
        <v>4.49</v>
      </c>
      <c r="W525" s="320">
        <v>1</v>
      </c>
      <c r="X525" s="348">
        <f t="shared" si="177"/>
        <v>4.49</v>
      </c>
      <c r="Y525" s="330">
        <v>1</v>
      </c>
      <c r="Z525" s="348">
        <f t="shared" si="178"/>
        <v>4.49</v>
      </c>
      <c r="AB525" s="328">
        <f t="shared" si="179"/>
        <v>0</v>
      </c>
      <c r="AC525" s="328">
        <f t="shared" si="180"/>
        <v>0</v>
      </c>
    </row>
    <row r="526" spans="1:29">
      <c r="A526" s="318"/>
      <c r="B526" s="319"/>
      <c r="C526" s="318"/>
      <c r="D526" s="318"/>
      <c r="E526" s="319"/>
      <c r="F526" s="336"/>
      <c r="G526" s="318" t="s">
        <v>984</v>
      </c>
      <c r="H526" s="318">
        <v>4.49</v>
      </c>
      <c r="I526" s="318">
        <v>1</v>
      </c>
      <c r="J526" s="318">
        <f t="shared" si="174"/>
        <v>1</v>
      </c>
      <c r="K526" s="318">
        <f t="shared" si="175"/>
        <v>4.49</v>
      </c>
      <c r="L526" s="318">
        <v>1645</v>
      </c>
      <c r="M526" s="318">
        <v>148</v>
      </c>
      <c r="N526" s="318">
        <v>1</v>
      </c>
      <c r="O526" s="619">
        <f t="shared" si="176"/>
        <v>4.49</v>
      </c>
      <c r="P526" s="750">
        <v>1</v>
      </c>
      <c r="Q526" s="750"/>
      <c r="R526" s="337">
        <v>1</v>
      </c>
      <c r="S526" s="348">
        <f t="shared" si="182"/>
        <v>4.49</v>
      </c>
      <c r="T526" s="319"/>
      <c r="V526" s="328">
        <f t="shared" si="183"/>
        <v>4.49</v>
      </c>
      <c r="W526" s="320">
        <v>1</v>
      </c>
      <c r="X526" s="348">
        <f t="shared" si="177"/>
        <v>4.49</v>
      </c>
      <c r="Y526" s="330">
        <v>1</v>
      </c>
      <c r="Z526" s="348">
        <f t="shared" si="178"/>
        <v>4.49</v>
      </c>
      <c r="AB526" s="328">
        <f t="shared" si="179"/>
        <v>0</v>
      </c>
      <c r="AC526" s="328">
        <f t="shared" si="180"/>
        <v>0</v>
      </c>
    </row>
    <row r="527" spans="1:29">
      <c r="A527" s="318"/>
      <c r="B527" s="319"/>
      <c r="C527" s="318"/>
      <c r="D527" s="318"/>
      <c r="E527" s="319"/>
      <c r="F527" s="336" t="s">
        <v>696</v>
      </c>
      <c r="G527" s="318" t="s">
        <v>985</v>
      </c>
      <c r="H527" s="318">
        <v>3.02</v>
      </c>
      <c r="I527" s="318">
        <v>1</v>
      </c>
      <c r="J527" s="318">
        <f t="shared" si="174"/>
        <v>1</v>
      </c>
      <c r="K527" s="318">
        <f t="shared" si="175"/>
        <v>3.02</v>
      </c>
      <c r="L527" s="352" t="s">
        <v>2302</v>
      </c>
      <c r="M527" s="350" t="s">
        <v>2303</v>
      </c>
      <c r="N527" s="318">
        <v>1</v>
      </c>
      <c r="O527" s="619">
        <f t="shared" si="176"/>
        <v>3.02</v>
      </c>
      <c r="P527" s="750">
        <v>1</v>
      </c>
      <c r="Q527" s="750"/>
      <c r="R527" s="337">
        <v>1</v>
      </c>
      <c r="S527" s="348">
        <f t="shared" si="182"/>
        <v>3.02</v>
      </c>
      <c r="T527" s="319" t="s">
        <v>3445</v>
      </c>
      <c r="V527" s="328">
        <f>2.445+1.195-0.6</f>
        <v>3.0399999999999996</v>
      </c>
      <c r="W527" s="320">
        <v>1</v>
      </c>
      <c r="X527" s="348">
        <f t="shared" si="177"/>
        <v>3.0399999999999996</v>
      </c>
      <c r="Y527" s="330">
        <v>1</v>
      </c>
      <c r="Z527" s="348">
        <f t="shared" si="178"/>
        <v>3.0399999999999996</v>
      </c>
      <c r="AB527" s="328">
        <f t="shared" si="179"/>
        <v>1.9999999999999574E-2</v>
      </c>
      <c r="AC527" s="328">
        <f t="shared" si="180"/>
        <v>1.9999999999999574E-2</v>
      </c>
    </row>
    <row r="528" spans="1:29">
      <c r="A528" s="318"/>
      <c r="B528" s="319"/>
      <c r="C528" s="318"/>
      <c r="D528" s="318"/>
      <c r="E528" s="319"/>
      <c r="F528" s="336"/>
      <c r="G528" s="318" t="s">
        <v>986</v>
      </c>
      <c r="H528" s="318">
        <v>2.8</v>
      </c>
      <c r="I528" s="318">
        <v>1</v>
      </c>
      <c r="J528" s="318">
        <f t="shared" si="174"/>
        <v>1</v>
      </c>
      <c r="K528" s="318">
        <f t="shared" si="175"/>
        <v>2.8</v>
      </c>
      <c r="L528" s="352" t="s">
        <v>2759</v>
      </c>
      <c r="M528" s="350" t="s">
        <v>2756</v>
      </c>
      <c r="N528" s="318">
        <v>1</v>
      </c>
      <c r="O528" s="619">
        <f t="shared" si="176"/>
        <v>2.8</v>
      </c>
      <c r="P528" s="750">
        <v>1</v>
      </c>
      <c r="Q528" s="750"/>
      <c r="R528" s="337">
        <v>1</v>
      </c>
      <c r="S528" s="348">
        <f t="shared" si="182"/>
        <v>2.8</v>
      </c>
      <c r="T528" s="319" t="s">
        <v>3445</v>
      </c>
      <c r="V528" s="328">
        <v>2.7919999999999998</v>
      </c>
      <c r="W528" s="320">
        <v>1</v>
      </c>
      <c r="X528" s="348">
        <f t="shared" si="177"/>
        <v>2.7919999999999998</v>
      </c>
      <c r="Y528" s="330">
        <v>1</v>
      </c>
      <c r="Z528" s="348">
        <f t="shared" si="178"/>
        <v>2.7919999999999998</v>
      </c>
      <c r="AB528" s="328">
        <f t="shared" si="179"/>
        <v>-8.0000000000000071E-3</v>
      </c>
      <c r="AC528" s="328">
        <f t="shared" si="180"/>
        <v>-8.0000000000000071E-3</v>
      </c>
    </row>
    <row r="529" spans="1:29">
      <c r="A529" s="318"/>
      <c r="B529" s="319"/>
      <c r="C529" s="318"/>
      <c r="D529" s="318"/>
      <c r="E529" s="319"/>
      <c r="F529" s="319"/>
      <c r="G529" s="318"/>
      <c r="H529" s="318"/>
      <c r="I529" s="318"/>
      <c r="J529" s="382" t="s">
        <v>389</v>
      </c>
      <c r="K529" s="321">
        <f>SUM(K484:K528)</f>
        <v>194.39000000000013</v>
      </c>
      <c r="L529" s="318"/>
      <c r="M529" s="318"/>
      <c r="N529" s="382" t="s">
        <v>389</v>
      </c>
      <c r="O529" s="748">
        <f>SUM(O484:O528)</f>
        <v>174.92550000000008</v>
      </c>
      <c r="P529" s="751" t="s">
        <v>389</v>
      </c>
      <c r="Q529" s="751"/>
      <c r="R529" s="382"/>
      <c r="S529" s="321">
        <f>SUM(S484:S528)</f>
        <v>158.60000000000002</v>
      </c>
      <c r="T529" s="319"/>
      <c r="V529" s="328"/>
      <c r="W529" s="321" t="s">
        <v>389</v>
      </c>
      <c r="X529" s="338">
        <f>SUM(X484:X528)</f>
        <v>149.08999999999997</v>
      </c>
      <c r="Y529" s="321" t="s">
        <v>389</v>
      </c>
      <c r="Z529" s="321">
        <f>SUM(Z484:Z528)</f>
        <v>149.08999999999997</v>
      </c>
      <c r="AB529" s="328"/>
      <c r="AC529" s="328"/>
    </row>
    <row r="530" spans="1:29" ht="6.75" customHeight="1">
      <c r="A530" s="316"/>
      <c r="B530" s="317"/>
      <c r="C530" s="316"/>
      <c r="D530" s="316"/>
      <c r="E530" s="317"/>
      <c r="F530" s="317"/>
      <c r="G530" s="316"/>
      <c r="H530" s="316"/>
      <c r="I530" s="316"/>
      <c r="J530" s="316"/>
      <c r="K530" s="316"/>
      <c r="L530" s="316"/>
      <c r="M530" s="316"/>
      <c r="N530" s="316"/>
      <c r="O530" s="749"/>
      <c r="P530" s="633"/>
      <c r="Q530" s="633"/>
      <c r="R530" s="949"/>
      <c r="S530" s="339"/>
      <c r="T530" s="317"/>
      <c r="V530" s="332"/>
      <c r="W530" s="316"/>
      <c r="X530" s="339"/>
      <c r="Y530" s="316"/>
      <c r="Z530" s="339"/>
      <c r="AB530" s="332"/>
      <c r="AC530" s="332"/>
    </row>
    <row r="531" spans="1:29">
      <c r="A531" s="318">
        <v>14</v>
      </c>
      <c r="B531" s="319" t="s">
        <v>383</v>
      </c>
      <c r="C531" s="318">
        <v>600</v>
      </c>
      <c r="D531" s="318">
        <v>19</v>
      </c>
      <c r="E531" s="319">
        <v>1</v>
      </c>
      <c r="F531" s="336"/>
      <c r="G531" s="318" t="s">
        <v>987</v>
      </c>
      <c r="H531" s="318">
        <v>1.7</v>
      </c>
      <c r="I531" s="318">
        <v>1</v>
      </c>
      <c r="J531" s="318">
        <f t="shared" ref="J531:J539" si="184">IF(N531&gt;0,1,0)</f>
        <v>1</v>
      </c>
      <c r="K531" s="318">
        <f t="shared" ref="K531:K540" si="185">H531*J531</f>
        <v>1.7</v>
      </c>
      <c r="L531" s="318">
        <v>1630</v>
      </c>
      <c r="M531" s="318">
        <v>146</v>
      </c>
      <c r="N531" s="318">
        <v>1</v>
      </c>
      <c r="O531" s="619">
        <f t="shared" ref="O531:O540" si="186">H531*N531</f>
        <v>1.7</v>
      </c>
      <c r="P531" s="750">
        <v>1</v>
      </c>
      <c r="Q531" s="750"/>
      <c r="R531" s="337">
        <v>1</v>
      </c>
      <c r="S531" s="348">
        <f>H531*R531</f>
        <v>1.7</v>
      </c>
      <c r="T531" s="319"/>
      <c r="V531" s="328">
        <f>1.69</f>
        <v>1.69</v>
      </c>
      <c r="W531" s="320">
        <v>1</v>
      </c>
      <c r="X531" s="348">
        <f t="shared" ref="X531:X540" si="187">V531*W531</f>
        <v>1.69</v>
      </c>
      <c r="Y531" s="330">
        <v>1</v>
      </c>
      <c r="Z531" s="348">
        <f t="shared" ref="Z531:Z540" si="188">V531*Y531</f>
        <v>1.69</v>
      </c>
      <c r="AB531" s="328">
        <f t="shared" ref="AB531:AB540" si="189">X531-O531</f>
        <v>-1.0000000000000009E-2</v>
      </c>
      <c r="AC531" s="328">
        <f t="shared" ref="AC531:AC540" si="190">Z531-S531</f>
        <v>-1.0000000000000009E-2</v>
      </c>
    </row>
    <row r="532" spans="1:29">
      <c r="A532" s="318"/>
      <c r="B532" s="319"/>
      <c r="C532" s="318"/>
      <c r="D532" s="318"/>
      <c r="E532" s="319"/>
      <c r="F532" s="319"/>
      <c r="G532" s="318" t="s">
        <v>988</v>
      </c>
      <c r="H532" s="318">
        <v>4.99</v>
      </c>
      <c r="I532" s="318">
        <v>1</v>
      </c>
      <c r="J532" s="318">
        <f t="shared" si="184"/>
        <v>1</v>
      </c>
      <c r="K532" s="318">
        <f t="shared" si="185"/>
        <v>4.99</v>
      </c>
      <c r="L532" s="318">
        <v>1720</v>
      </c>
      <c r="M532" s="318">
        <v>159</v>
      </c>
      <c r="N532" s="318">
        <v>1</v>
      </c>
      <c r="O532" s="619">
        <f t="shared" si="186"/>
        <v>4.99</v>
      </c>
      <c r="P532" s="750">
        <v>1</v>
      </c>
      <c r="Q532" s="750"/>
      <c r="R532" s="337">
        <v>1</v>
      </c>
      <c r="S532" s="348">
        <f>H532*R532</f>
        <v>4.99</v>
      </c>
      <c r="T532" s="319"/>
      <c r="V532" s="328">
        <v>4.99</v>
      </c>
      <c r="W532" s="320">
        <v>1</v>
      </c>
      <c r="X532" s="348">
        <f t="shared" si="187"/>
        <v>4.99</v>
      </c>
      <c r="Y532" s="330">
        <v>1</v>
      </c>
      <c r="Z532" s="348">
        <f t="shared" si="188"/>
        <v>4.99</v>
      </c>
      <c r="AB532" s="328">
        <f t="shared" si="189"/>
        <v>0</v>
      </c>
      <c r="AC532" s="328">
        <f t="shared" si="190"/>
        <v>0</v>
      </c>
    </row>
    <row r="533" spans="1:29">
      <c r="A533" s="318"/>
      <c r="B533" s="319"/>
      <c r="C533" s="318"/>
      <c r="D533" s="318"/>
      <c r="E533" s="319"/>
      <c r="F533" s="319"/>
      <c r="G533" s="318" t="s">
        <v>989</v>
      </c>
      <c r="H533" s="318">
        <v>4.49</v>
      </c>
      <c r="I533" s="318">
        <v>1</v>
      </c>
      <c r="J533" s="318">
        <f t="shared" si="184"/>
        <v>1</v>
      </c>
      <c r="K533" s="318">
        <f t="shared" si="185"/>
        <v>4.49</v>
      </c>
      <c r="L533" s="318">
        <v>1288</v>
      </c>
      <c r="M533" s="318" t="s">
        <v>231</v>
      </c>
      <c r="N533" s="318">
        <v>1</v>
      </c>
      <c r="O533" s="619">
        <f t="shared" si="186"/>
        <v>4.49</v>
      </c>
      <c r="P533" s="750">
        <v>1</v>
      </c>
      <c r="Q533" s="750"/>
      <c r="R533" s="337">
        <v>1</v>
      </c>
      <c r="S533" s="348">
        <f t="shared" ref="S533:S576" si="191">H533*R533</f>
        <v>4.49</v>
      </c>
      <c r="T533" s="319"/>
      <c r="V533" s="328">
        <f t="shared" ref="V533:V549" si="192">4.49</f>
        <v>4.49</v>
      </c>
      <c r="W533" s="320">
        <v>1</v>
      </c>
      <c r="X533" s="348">
        <f t="shared" si="187"/>
        <v>4.49</v>
      </c>
      <c r="Y533" s="330">
        <v>1</v>
      </c>
      <c r="Z533" s="348">
        <f t="shared" si="188"/>
        <v>4.49</v>
      </c>
      <c r="AB533" s="328">
        <f t="shared" si="189"/>
        <v>0</v>
      </c>
      <c r="AC533" s="328">
        <f t="shared" si="190"/>
        <v>0</v>
      </c>
    </row>
    <row r="534" spans="1:29">
      <c r="A534" s="318"/>
      <c r="B534" s="319"/>
      <c r="C534" s="318"/>
      <c r="D534" s="318"/>
      <c r="E534" s="319"/>
      <c r="F534" s="319"/>
      <c r="G534" s="318" t="s">
        <v>990</v>
      </c>
      <c r="H534" s="318">
        <v>4.49</v>
      </c>
      <c r="I534" s="318">
        <v>1</v>
      </c>
      <c r="J534" s="318">
        <f t="shared" si="184"/>
        <v>1</v>
      </c>
      <c r="K534" s="318">
        <f t="shared" si="185"/>
        <v>4.49</v>
      </c>
      <c r="L534" s="318">
        <v>1288</v>
      </c>
      <c r="M534" s="318" t="s">
        <v>231</v>
      </c>
      <c r="N534" s="318">
        <v>1</v>
      </c>
      <c r="O534" s="619">
        <f t="shared" si="186"/>
        <v>4.49</v>
      </c>
      <c r="P534" s="750">
        <v>1</v>
      </c>
      <c r="Q534" s="750"/>
      <c r="R534" s="337">
        <v>1</v>
      </c>
      <c r="S534" s="348">
        <f t="shared" si="191"/>
        <v>4.49</v>
      </c>
      <c r="T534" s="319"/>
      <c r="V534" s="328">
        <f t="shared" si="192"/>
        <v>4.49</v>
      </c>
      <c r="W534" s="320">
        <v>1</v>
      </c>
      <c r="X534" s="348">
        <f t="shared" si="187"/>
        <v>4.49</v>
      </c>
      <c r="Y534" s="330">
        <v>1</v>
      </c>
      <c r="Z534" s="348">
        <f t="shared" si="188"/>
        <v>4.49</v>
      </c>
      <c r="AB534" s="328">
        <f t="shared" si="189"/>
        <v>0</v>
      </c>
      <c r="AC534" s="328">
        <f t="shared" si="190"/>
        <v>0</v>
      </c>
    </row>
    <row r="535" spans="1:29">
      <c r="A535" s="318"/>
      <c r="B535" s="319"/>
      <c r="C535" s="318"/>
      <c r="D535" s="318"/>
      <c r="E535" s="319"/>
      <c r="F535" s="319"/>
      <c r="G535" s="318" t="s">
        <v>991</v>
      </c>
      <c r="H535" s="318">
        <v>4.49</v>
      </c>
      <c r="I535" s="318">
        <v>1</v>
      </c>
      <c r="J535" s="318">
        <f t="shared" si="184"/>
        <v>1</v>
      </c>
      <c r="K535" s="318">
        <f t="shared" si="185"/>
        <v>4.49</v>
      </c>
      <c r="L535" s="318">
        <v>1288</v>
      </c>
      <c r="M535" s="318" t="s">
        <v>231</v>
      </c>
      <c r="N535" s="318">
        <v>1</v>
      </c>
      <c r="O535" s="619">
        <f t="shared" si="186"/>
        <v>4.49</v>
      </c>
      <c r="P535" s="750">
        <v>1</v>
      </c>
      <c r="Q535" s="750"/>
      <c r="R535" s="337">
        <v>1</v>
      </c>
      <c r="S535" s="348">
        <f t="shared" si="191"/>
        <v>4.49</v>
      </c>
      <c r="T535" s="319"/>
      <c r="V535" s="328">
        <f t="shared" si="192"/>
        <v>4.49</v>
      </c>
      <c r="W535" s="320">
        <v>1</v>
      </c>
      <c r="X535" s="348">
        <f t="shared" si="187"/>
        <v>4.49</v>
      </c>
      <c r="Y535" s="330">
        <v>1</v>
      </c>
      <c r="Z535" s="348">
        <f t="shared" si="188"/>
        <v>4.49</v>
      </c>
      <c r="AB535" s="328">
        <f t="shared" si="189"/>
        <v>0</v>
      </c>
      <c r="AC535" s="328">
        <f t="shared" si="190"/>
        <v>0</v>
      </c>
    </row>
    <row r="536" spans="1:29">
      <c r="A536" s="318"/>
      <c r="B536" s="319"/>
      <c r="C536" s="318"/>
      <c r="D536" s="318"/>
      <c r="E536" s="319"/>
      <c r="F536" s="319"/>
      <c r="G536" s="318" t="s">
        <v>992</v>
      </c>
      <c r="H536" s="318">
        <v>4.49</v>
      </c>
      <c r="I536" s="318">
        <v>1</v>
      </c>
      <c r="J536" s="318">
        <f t="shared" si="184"/>
        <v>1</v>
      </c>
      <c r="K536" s="318">
        <f t="shared" si="185"/>
        <v>4.49</v>
      </c>
      <c r="L536" s="318">
        <v>1288</v>
      </c>
      <c r="M536" s="318" t="s">
        <v>231</v>
      </c>
      <c r="N536" s="318">
        <v>1</v>
      </c>
      <c r="O536" s="619">
        <f t="shared" si="186"/>
        <v>4.49</v>
      </c>
      <c r="P536" s="750">
        <v>1</v>
      </c>
      <c r="Q536" s="750"/>
      <c r="R536" s="337">
        <v>1</v>
      </c>
      <c r="S536" s="348">
        <f t="shared" si="191"/>
        <v>4.49</v>
      </c>
      <c r="T536" s="319"/>
      <c r="V536" s="328">
        <f t="shared" si="192"/>
        <v>4.49</v>
      </c>
      <c r="W536" s="320">
        <v>1</v>
      </c>
      <c r="X536" s="348">
        <f t="shared" si="187"/>
        <v>4.49</v>
      </c>
      <c r="Y536" s="330">
        <v>1</v>
      </c>
      <c r="Z536" s="348">
        <f t="shared" si="188"/>
        <v>4.49</v>
      </c>
      <c r="AB536" s="328">
        <f t="shared" si="189"/>
        <v>0</v>
      </c>
      <c r="AC536" s="328">
        <f t="shared" si="190"/>
        <v>0</v>
      </c>
    </row>
    <row r="537" spans="1:29">
      <c r="A537" s="318"/>
      <c r="B537" s="319"/>
      <c r="C537" s="318"/>
      <c r="D537" s="318"/>
      <c r="E537" s="319"/>
      <c r="F537" s="319"/>
      <c r="G537" s="318" t="s">
        <v>993</v>
      </c>
      <c r="H537" s="318">
        <v>4.49</v>
      </c>
      <c r="I537" s="318">
        <v>1</v>
      </c>
      <c r="J537" s="318">
        <f t="shared" si="184"/>
        <v>1</v>
      </c>
      <c r="K537" s="318">
        <f t="shared" si="185"/>
        <v>4.49</v>
      </c>
      <c r="L537" s="318">
        <v>1292</v>
      </c>
      <c r="M537" s="318" t="s">
        <v>231</v>
      </c>
      <c r="N537" s="318">
        <v>1</v>
      </c>
      <c r="O537" s="619">
        <f t="shared" si="186"/>
        <v>4.49</v>
      </c>
      <c r="P537" s="750">
        <v>1</v>
      </c>
      <c r="Q537" s="750"/>
      <c r="R537" s="337">
        <v>1</v>
      </c>
      <c r="S537" s="348">
        <f t="shared" si="191"/>
        <v>4.49</v>
      </c>
      <c r="T537" s="319"/>
      <c r="V537" s="328">
        <f t="shared" si="192"/>
        <v>4.49</v>
      </c>
      <c r="W537" s="320">
        <v>1</v>
      </c>
      <c r="X537" s="348">
        <f t="shared" si="187"/>
        <v>4.49</v>
      </c>
      <c r="Y537" s="330">
        <v>1</v>
      </c>
      <c r="Z537" s="348">
        <f t="shared" si="188"/>
        <v>4.49</v>
      </c>
      <c r="AB537" s="328">
        <f t="shared" si="189"/>
        <v>0</v>
      </c>
      <c r="AC537" s="328">
        <f t="shared" si="190"/>
        <v>0</v>
      </c>
    </row>
    <row r="538" spans="1:29">
      <c r="A538" s="318"/>
      <c r="B538" s="319"/>
      <c r="C538" s="318"/>
      <c r="D538" s="318"/>
      <c r="E538" s="319"/>
      <c r="F538" s="319"/>
      <c r="G538" s="318" t="s">
        <v>994</v>
      </c>
      <c r="H538" s="318">
        <v>4.49</v>
      </c>
      <c r="I538" s="318">
        <v>1</v>
      </c>
      <c r="J538" s="318">
        <f t="shared" si="184"/>
        <v>1</v>
      </c>
      <c r="K538" s="318">
        <f t="shared" si="185"/>
        <v>4.49</v>
      </c>
      <c r="L538" s="318">
        <v>1292</v>
      </c>
      <c r="M538" s="318" t="s">
        <v>231</v>
      </c>
      <c r="N538" s="318">
        <v>1</v>
      </c>
      <c r="O538" s="619">
        <f t="shared" si="186"/>
        <v>4.49</v>
      </c>
      <c r="P538" s="750">
        <v>1</v>
      </c>
      <c r="Q538" s="750"/>
      <c r="R538" s="337">
        <v>1</v>
      </c>
      <c r="S538" s="348">
        <f t="shared" si="191"/>
        <v>4.49</v>
      </c>
      <c r="T538" s="319"/>
      <c r="V538" s="328">
        <f t="shared" si="192"/>
        <v>4.49</v>
      </c>
      <c r="W538" s="320">
        <v>1</v>
      </c>
      <c r="X538" s="348">
        <f t="shared" si="187"/>
        <v>4.49</v>
      </c>
      <c r="Y538" s="330">
        <v>1</v>
      </c>
      <c r="Z538" s="348">
        <f t="shared" si="188"/>
        <v>4.49</v>
      </c>
      <c r="AB538" s="328">
        <f t="shared" si="189"/>
        <v>0</v>
      </c>
      <c r="AC538" s="328">
        <f t="shared" si="190"/>
        <v>0</v>
      </c>
    </row>
    <row r="539" spans="1:29" ht="14.4" customHeight="1" thickBot="1">
      <c r="A539" s="318"/>
      <c r="B539" s="319"/>
      <c r="C539" s="318"/>
      <c r="D539" s="318"/>
      <c r="E539" s="319"/>
      <c r="F539" s="319"/>
      <c r="G539" s="318" t="s">
        <v>995</v>
      </c>
      <c r="H539" s="318">
        <v>4.49</v>
      </c>
      <c r="I539" s="318">
        <v>1</v>
      </c>
      <c r="J539" s="318">
        <f t="shared" si="184"/>
        <v>1</v>
      </c>
      <c r="K539" s="318">
        <f t="shared" si="185"/>
        <v>4.49</v>
      </c>
      <c r="L539" s="318">
        <v>1292</v>
      </c>
      <c r="M539" s="318" t="s">
        <v>231</v>
      </c>
      <c r="N539" s="318">
        <v>1</v>
      </c>
      <c r="O539" s="619">
        <f t="shared" si="186"/>
        <v>4.49</v>
      </c>
      <c r="P539" s="750">
        <v>1</v>
      </c>
      <c r="Q539" s="750"/>
      <c r="R539" s="592">
        <v>1</v>
      </c>
      <c r="S539" s="348">
        <f t="shared" si="191"/>
        <v>4.49</v>
      </c>
      <c r="T539" s="319"/>
      <c r="V539" s="328">
        <f t="shared" si="192"/>
        <v>4.49</v>
      </c>
      <c r="W539" s="320">
        <v>1</v>
      </c>
      <c r="X539" s="348">
        <f t="shared" si="187"/>
        <v>4.49</v>
      </c>
      <c r="Y539" s="330">
        <v>1</v>
      </c>
      <c r="Z539" s="348">
        <f t="shared" si="188"/>
        <v>4.49</v>
      </c>
      <c r="AB539" s="328">
        <f t="shared" si="189"/>
        <v>0</v>
      </c>
      <c r="AC539" s="328">
        <f t="shared" si="190"/>
        <v>0</v>
      </c>
    </row>
    <row r="540" spans="1:29" ht="21.6" collapsed="1" thickTop="1" thickBot="1">
      <c r="A540" s="318"/>
      <c r="B540" s="319"/>
      <c r="C540" s="318"/>
      <c r="D540" s="318"/>
      <c r="E540" s="319"/>
      <c r="F540" s="336" t="s">
        <v>604</v>
      </c>
      <c r="G540" s="318" t="s">
        <v>996</v>
      </c>
      <c r="H540" s="318">
        <v>4.8</v>
      </c>
      <c r="I540" s="318">
        <v>1</v>
      </c>
      <c r="J540" s="318">
        <v>1</v>
      </c>
      <c r="K540" s="318">
        <f t="shared" si="185"/>
        <v>4.8</v>
      </c>
      <c r="L540" s="352" t="s">
        <v>3368</v>
      </c>
      <c r="M540" s="350" t="s">
        <v>3405</v>
      </c>
      <c r="N540" s="318">
        <v>1</v>
      </c>
      <c r="O540" s="619">
        <f t="shared" si="186"/>
        <v>4.8</v>
      </c>
      <c r="P540" s="750">
        <v>1</v>
      </c>
      <c r="Q540" s="747"/>
      <c r="R540" s="624">
        <v>1</v>
      </c>
      <c r="S540" s="348">
        <f t="shared" si="191"/>
        <v>4.8</v>
      </c>
      <c r="T540" s="319" t="s">
        <v>3447</v>
      </c>
      <c r="V540" s="328">
        <f t="shared" si="192"/>
        <v>4.49</v>
      </c>
      <c r="W540" s="320"/>
      <c r="X540" s="348">
        <f t="shared" si="187"/>
        <v>0</v>
      </c>
      <c r="Y540" s="330"/>
      <c r="Z540" s="348">
        <f t="shared" si="188"/>
        <v>0</v>
      </c>
      <c r="AB540" s="328">
        <f t="shared" si="189"/>
        <v>-4.8</v>
      </c>
      <c r="AC540" s="328">
        <f t="shared" si="190"/>
        <v>-4.8</v>
      </c>
    </row>
    <row r="541" spans="1:29" ht="15" thickTop="1">
      <c r="A541" s="584"/>
      <c r="B541" s="585"/>
      <c r="C541" s="584"/>
      <c r="D541" s="584"/>
      <c r="E541" s="585"/>
      <c r="F541" s="585" t="s">
        <v>384</v>
      </c>
      <c r="G541" s="584" t="s">
        <v>515</v>
      </c>
      <c r="H541" s="584"/>
      <c r="I541" s="584"/>
      <c r="J541" s="584"/>
      <c r="K541" s="584"/>
      <c r="L541" s="584"/>
      <c r="M541" s="584"/>
      <c r="N541" s="584"/>
      <c r="O541" s="631" t="s">
        <v>2321</v>
      </c>
      <c r="P541" s="750"/>
      <c r="Q541" s="750"/>
      <c r="R541" s="337"/>
      <c r="S541" s="348">
        <f t="shared" si="191"/>
        <v>0</v>
      </c>
      <c r="T541" s="1024" t="s">
        <v>561</v>
      </c>
      <c r="V541" s="328"/>
      <c r="W541" s="318"/>
      <c r="X541" s="384" t="s">
        <v>2321</v>
      </c>
      <c r="Y541" s="337"/>
      <c r="Z541" s="350" t="s">
        <v>2321</v>
      </c>
      <c r="AB541" s="328"/>
      <c r="AC541" s="328"/>
    </row>
    <row r="542" spans="1:29">
      <c r="A542" s="584"/>
      <c r="B542" s="585"/>
      <c r="C542" s="584"/>
      <c r="D542" s="584"/>
      <c r="E542" s="585"/>
      <c r="F542" s="585" t="s">
        <v>384</v>
      </c>
      <c r="G542" s="584" t="s">
        <v>516</v>
      </c>
      <c r="H542" s="584"/>
      <c r="I542" s="584"/>
      <c r="J542" s="584"/>
      <c r="K542" s="584"/>
      <c r="L542" s="584"/>
      <c r="M542" s="584"/>
      <c r="N542" s="584"/>
      <c r="O542" s="631" t="s">
        <v>2321</v>
      </c>
      <c r="P542" s="750"/>
      <c r="Q542" s="750"/>
      <c r="R542" s="337"/>
      <c r="S542" s="348">
        <f t="shared" si="191"/>
        <v>0</v>
      </c>
      <c r="T542" s="1025"/>
      <c r="V542" s="328"/>
      <c r="W542" s="318"/>
      <c r="X542" s="384" t="s">
        <v>2321</v>
      </c>
      <c r="Y542" s="337"/>
      <c r="Z542" s="350" t="s">
        <v>2321</v>
      </c>
      <c r="AB542" s="328"/>
      <c r="AC542" s="328"/>
    </row>
    <row r="543" spans="1:29">
      <c r="A543" s="584"/>
      <c r="B543" s="585"/>
      <c r="C543" s="584"/>
      <c r="D543" s="584"/>
      <c r="E543" s="585"/>
      <c r="F543" s="585" t="s">
        <v>384</v>
      </c>
      <c r="G543" s="584" t="s">
        <v>517</v>
      </c>
      <c r="H543" s="584"/>
      <c r="I543" s="584"/>
      <c r="J543" s="584"/>
      <c r="K543" s="584"/>
      <c r="L543" s="584"/>
      <c r="M543" s="584"/>
      <c r="N543" s="584"/>
      <c r="O543" s="631" t="s">
        <v>2321</v>
      </c>
      <c r="P543" s="750"/>
      <c r="Q543" s="750"/>
      <c r="R543" s="337"/>
      <c r="S543" s="348">
        <f t="shared" si="191"/>
        <v>0</v>
      </c>
      <c r="T543" s="1025"/>
      <c r="V543" s="328"/>
      <c r="W543" s="318"/>
      <c r="X543" s="384" t="s">
        <v>2321</v>
      </c>
      <c r="Y543" s="337"/>
      <c r="Z543" s="350" t="s">
        <v>2321</v>
      </c>
      <c r="AB543" s="328"/>
      <c r="AC543" s="328"/>
    </row>
    <row r="544" spans="1:29" ht="15" thickBot="1">
      <c r="A544" s="584"/>
      <c r="B544" s="585"/>
      <c r="C544" s="584"/>
      <c r="D544" s="584"/>
      <c r="E544" s="585"/>
      <c r="F544" s="585" t="s">
        <v>384</v>
      </c>
      <c r="G544" s="584" t="s">
        <v>518</v>
      </c>
      <c r="H544" s="584"/>
      <c r="I544" s="584"/>
      <c r="J544" s="584"/>
      <c r="K544" s="584"/>
      <c r="L544" s="584"/>
      <c r="M544" s="584"/>
      <c r="N544" s="584"/>
      <c r="O544" s="631" t="s">
        <v>2321</v>
      </c>
      <c r="P544" s="750"/>
      <c r="Q544" s="750"/>
      <c r="R544" s="592"/>
      <c r="S544" s="348">
        <f t="shared" si="191"/>
        <v>0</v>
      </c>
      <c r="T544" s="1026"/>
      <c r="V544" s="328"/>
      <c r="W544" s="318"/>
      <c r="X544" s="384" t="s">
        <v>2321</v>
      </c>
      <c r="Y544" s="337"/>
      <c r="Z544" s="350" t="s">
        <v>2321</v>
      </c>
      <c r="AB544" s="328"/>
      <c r="AC544" s="328"/>
    </row>
    <row r="545" spans="1:29" ht="21.6" thickTop="1" thickBot="1">
      <c r="A545" s="318"/>
      <c r="B545" s="319"/>
      <c r="C545" s="318"/>
      <c r="D545" s="318"/>
      <c r="E545" s="319"/>
      <c r="F545" s="336" t="s">
        <v>604</v>
      </c>
      <c r="G545" s="318" t="s">
        <v>997</v>
      </c>
      <c r="H545" s="318">
        <v>4.8</v>
      </c>
      <c r="I545" s="318">
        <v>1</v>
      </c>
      <c r="J545" s="318">
        <v>1</v>
      </c>
      <c r="K545" s="318">
        <f t="shared" ref="K545:K576" si="193">H545*J545</f>
        <v>4.8</v>
      </c>
      <c r="L545" s="352" t="s">
        <v>3369</v>
      </c>
      <c r="M545" s="350" t="s">
        <v>3404</v>
      </c>
      <c r="N545" s="318">
        <v>1</v>
      </c>
      <c r="O545" s="619">
        <f t="shared" ref="O545:O576" si="194">H545*N545</f>
        <v>4.8</v>
      </c>
      <c r="P545" s="750">
        <v>1</v>
      </c>
      <c r="Q545" s="747"/>
      <c r="R545" s="624">
        <v>1</v>
      </c>
      <c r="S545" s="348">
        <f t="shared" si="191"/>
        <v>4.8</v>
      </c>
      <c r="T545" s="319" t="s">
        <v>3447</v>
      </c>
      <c r="V545" s="328">
        <f t="shared" si="192"/>
        <v>4.49</v>
      </c>
      <c r="W545" s="320"/>
      <c r="X545" s="348">
        <f t="shared" ref="X545:X576" si="195">V545*W545</f>
        <v>0</v>
      </c>
      <c r="Y545" s="330"/>
      <c r="Z545" s="348">
        <f t="shared" ref="Z545:Z576" si="196">V545*Y545</f>
        <v>0</v>
      </c>
      <c r="AB545" s="328">
        <f t="shared" ref="AB545:AB576" si="197">X545-O545</f>
        <v>-4.8</v>
      </c>
      <c r="AC545" s="328">
        <f t="shared" ref="AC545:AC576" si="198">Z545-S545</f>
        <v>-4.8</v>
      </c>
    </row>
    <row r="546" spans="1:29" ht="15" thickTop="1">
      <c r="A546" s="318"/>
      <c r="B546" s="319"/>
      <c r="C546" s="318"/>
      <c r="D546" s="318"/>
      <c r="E546" s="319"/>
      <c r="F546" s="319"/>
      <c r="G546" s="318" t="s">
        <v>998</v>
      </c>
      <c r="H546" s="318">
        <v>4.49</v>
      </c>
      <c r="I546" s="318">
        <v>1</v>
      </c>
      <c r="J546" s="318">
        <f t="shared" ref="J546:J576" si="199">IF(N546&gt;0,1,0)</f>
        <v>1</v>
      </c>
      <c r="K546" s="318">
        <f t="shared" si="193"/>
        <v>4.49</v>
      </c>
      <c r="L546" s="318">
        <v>1288</v>
      </c>
      <c r="M546" s="318" t="s">
        <v>231</v>
      </c>
      <c r="N546" s="318">
        <v>1</v>
      </c>
      <c r="O546" s="619">
        <f t="shared" si="194"/>
        <v>4.49</v>
      </c>
      <c r="P546" s="750">
        <v>1</v>
      </c>
      <c r="Q546" s="750"/>
      <c r="R546" s="337">
        <v>1</v>
      </c>
      <c r="S546" s="348">
        <f t="shared" si="191"/>
        <v>4.49</v>
      </c>
      <c r="T546" s="319"/>
      <c r="V546" s="328">
        <f t="shared" si="192"/>
        <v>4.49</v>
      </c>
      <c r="W546" s="320">
        <v>1</v>
      </c>
      <c r="X546" s="348">
        <f t="shared" si="195"/>
        <v>4.49</v>
      </c>
      <c r="Y546" s="330"/>
      <c r="Z546" s="348">
        <f t="shared" si="196"/>
        <v>0</v>
      </c>
      <c r="AB546" s="328">
        <f t="shared" si="197"/>
        <v>0</v>
      </c>
      <c r="AC546" s="328">
        <f t="shared" si="198"/>
        <v>-4.49</v>
      </c>
    </row>
    <row r="547" spans="1:29">
      <c r="A547" s="318"/>
      <c r="B547" s="319"/>
      <c r="C547" s="318"/>
      <c r="D547" s="318"/>
      <c r="E547" s="319"/>
      <c r="F547" s="319"/>
      <c r="G547" s="318" t="s">
        <v>999</v>
      </c>
      <c r="H547" s="318">
        <v>4.49</v>
      </c>
      <c r="I547" s="318">
        <v>1</v>
      </c>
      <c r="J547" s="318">
        <f t="shared" si="199"/>
        <v>1</v>
      </c>
      <c r="K547" s="318">
        <f t="shared" si="193"/>
        <v>4.49</v>
      </c>
      <c r="L547" s="318">
        <v>1288</v>
      </c>
      <c r="M547" s="318" t="s">
        <v>231</v>
      </c>
      <c r="N547" s="318">
        <v>1</v>
      </c>
      <c r="O547" s="619">
        <f t="shared" si="194"/>
        <v>4.49</v>
      </c>
      <c r="P547" s="750">
        <v>1</v>
      </c>
      <c r="Q547" s="750"/>
      <c r="R547" s="337">
        <v>1</v>
      </c>
      <c r="S547" s="348">
        <f t="shared" si="191"/>
        <v>4.49</v>
      </c>
      <c r="T547" s="319"/>
      <c r="V547" s="328">
        <f t="shared" si="192"/>
        <v>4.49</v>
      </c>
      <c r="W547" s="320">
        <v>1</v>
      </c>
      <c r="X547" s="348">
        <f t="shared" si="195"/>
        <v>4.49</v>
      </c>
      <c r="Y547" s="330">
        <v>1</v>
      </c>
      <c r="Z547" s="454">
        <f t="shared" si="196"/>
        <v>4.49</v>
      </c>
      <c r="AB547" s="328">
        <f t="shared" si="197"/>
        <v>0</v>
      </c>
      <c r="AC547" s="328">
        <f t="shared" si="198"/>
        <v>0</v>
      </c>
    </row>
    <row r="548" spans="1:29">
      <c r="A548" s="318"/>
      <c r="B548" s="319"/>
      <c r="C548" s="318"/>
      <c r="D548" s="318"/>
      <c r="E548" s="319"/>
      <c r="F548" s="319"/>
      <c r="G548" s="318" t="s">
        <v>1000</v>
      </c>
      <c r="H548" s="318">
        <v>4.49</v>
      </c>
      <c r="I548" s="318">
        <v>1</v>
      </c>
      <c r="J548" s="318">
        <f t="shared" si="199"/>
        <v>1</v>
      </c>
      <c r="K548" s="318">
        <f t="shared" si="193"/>
        <v>4.49</v>
      </c>
      <c r="L548" s="318">
        <v>1288</v>
      </c>
      <c r="M548" s="318" t="s">
        <v>231</v>
      </c>
      <c r="N548" s="318">
        <v>1</v>
      </c>
      <c r="O548" s="619">
        <f t="shared" si="194"/>
        <v>4.49</v>
      </c>
      <c r="P548" s="750">
        <v>1</v>
      </c>
      <c r="Q548" s="750"/>
      <c r="R548" s="337">
        <v>1</v>
      </c>
      <c r="S548" s="348">
        <f t="shared" si="191"/>
        <v>4.49</v>
      </c>
      <c r="T548" s="319"/>
      <c r="V548" s="328">
        <f t="shared" si="192"/>
        <v>4.49</v>
      </c>
      <c r="W548" s="320">
        <v>1</v>
      </c>
      <c r="X548" s="348">
        <f t="shared" si="195"/>
        <v>4.49</v>
      </c>
      <c r="Y548" s="330">
        <v>1</v>
      </c>
      <c r="Z548" s="348">
        <f t="shared" si="196"/>
        <v>4.49</v>
      </c>
      <c r="AB548" s="328">
        <f t="shared" si="197"/>
        <v>0</v>
      </c>
      <c r="AC548" s="328">
        <f t="shared" si="198"/>
        <v>0</v>
      </c>
    </row>
    <row r="549" spans="1:29">
      <c r="A549" s="318"/>
      <c r="B549" s="319"/>
      <c r="C549" s="318"/>
      <c r="D549" s="318"/>
      <c r="E549" s="319"/>
      <c r="F549" s="336"/>
      <c r="G549" s="318" t="s">
        <v>1001</v>
      </c>
      <c r="H549" s="318">
        <v>4.49</v>
      </c>
      <c r="I549" s="318">
        <v>1</v>
      </c>
      <c r="J549" s="318">
        <f t="shared" si="199"/>
        <v>1</v>
      </c>
      <c r="K549" s="318">
        <f t="shared" si="193"/>
        <v>4.49</v>
      </c>
      <c r="L549" s="350" t="s">
        <v>2787</v>
      </c>
      <c r="M549" s="350" t="s">
        <v>2857</v>
      </c>
      <c r="N549" s="318">
        <v>1</v>
      </c>
      <c r="O549" s="619">
        <f t="shared" si="194"/>
        <v>4.49</v>
      </c>
      <c r="P549" s="750">
        <v>1</v>
      </c>
      <c r="Q549" s="750"/>
      <c r="R549" s="337">
        <v>1</v>
      </c>
      <c r="S549" s="348">
        <f t="shared" si="191"/>
        <v>4.49</v>
      </c>
      <c r="T549" s="319"/>
      <c r="V549" s="328">
        <f t="shared" si="192"/>
        <v>4.49</v>
      </c>
      <c r="W549" s="320">
        <v>1</v>
      </c>
      <c r="X549" s="348">
        <f t="shared" si="195"/>
        <v>4.49</v>
      </c>
      <c r="Y549" s="330">
        <v>1</v>
      </c>
      <c r="Z549" s="348">
        <f t="shared" si="196"/>
        <v>4.49</v>
      </c>
      <c r="AB549" s="328">
        <f t="shared" si="197"/>
        <v>0</v>
      </c>
      <c r="AC549" s="328">
        <f t="shared" si="198"/>
        <v>0</v>
      </c>
    </row>
    <row r="550" spans="1:29">
      <c r="A550" s="318"/>
      <c r="B550" s="319"/>
      <c r="C550" s="318"/>
      <c r="D550" s="318"/>
      <c r="E550" s="319"/>
      <c r="F550" s="336"/>
      <c r="G550" s="318" t="s">
        <v>1002</v>
      </c>
      <c r="H550" s="319">
        <v>1.83</v>
      </c>
      <c r="I550" s="318">
        <v>1</v>
      </c>
      <c r="J550" s="318">
        <f t="shared" si="199"/>
        <v>1</v>
      </c>
      <c r="K550" s="318">
        <f t="shared" si="193"/>
        <v>1.83</v>
      </c>
      <c r="L550" s="318"/>
      <c r="M550" s="318"/>
      <c r="N550" s="318">
        <v>1</v>
      </c>
      <c r="O550" s="619">
        <f t="shared" si="194"/>
        <v>1.83</v>
      </c>
      <c r="P550" s="750">
        <v>1</v>
      </c>
      <c r="Q550" s="750"/>
      <c r="R550" s="337">
        <v>1</v>
      </c>
      <c r="S550" s="348">
        <f t="shared" si="191"/>
        <v>1.83</v>
      </c>
      <c r="T550" s="319"/>
      <c r="V550" s="333">
        <v>1.8</v>
      </c>
      <c r="W550" s="320">
        <v>1</v>
      </c>
      <c r="X550" s="348">
        <f t="shared" si="195"/>
        <v>1.8</v>
      </c>
      <c r="Y550" s="330">
        <v>1</v>
      </c>
      <c r="Z550" s="348">
        <f t="shared" si="196"/>
        <v>1.8</v>
      </c>
      <c r="AB550" s="333">
        <f t="shared" si="197"/>
        <v>-3.0000000000000027E-2</v>
      </c>
      <c r="AC550" s="333">
        <f t="shared" si="198"/>
        <v>-3.0000000000000027E-2</v>
      </c>
    </row>
    <row r="551" spans="1:29">
      <c r="A551" s="318"/>
      <c r="B551" s="319"/>
      <c r="C551" s="318"/>
      <c r="D551" s="318"/>
      <c r="E551" s="319"/>
      <c r="F551" s="319"/>
      <c r="G551" s="318" t="s">
        <v>1003</v>
      </c>
      <c r="H551" s="319">
        <v>3.15</v>
      </c>
      <c r="I551" s="318">
        <v>1</v>
      </c>
      <c r="J551" s="318">
        <f t="shared" si="199"/>
        <v>1</v>
      </c>
      <c r="K551" s="318">
        <f t="shared" si="193"/>
        <v>3.15</v>
      </c>
      <c r="L551" s="318"/>
      <c r="M551" s="318"/>
      <c r="N551" s="318">
        <v>1</v>
      </c>
      <c r="O551" s="619">
        <f t="shared" si="194"/>
        <v>3.15</v>
      </c>
      <c r="P551" s="750">
        <v>1</v>
      </c>
      <c r="Q551" s="750"/>
      <c r="R551" s="337">
        <v>1</v>
      </c>
      <c r="S551" s="348">
        <f t="shared" si="191"/>
        <v>3.15</v>
      </c>
      <c r="T551" s="319"/>
      <c r="V551" s="333">
        <v>3.14</v>
      </c>
      <c r="W551" s="320">
        <v>1</v>
      </c>
      <c r="X551" s="348">
        <f t="shared" si="195"/>
        <v>3.14</v>
      </c>
      <c r="Y551" s="330">
        <v>1</v>
      </c>
      <c r="Z551" s="348">
        <f t="shared" si="196"/>
        <v>3.14</v>
      </c>
      <c r="AB551" s="333">
        <f t="shared" si="197"/>
        <v>-9.9999999999997868E-3</v>
      </c>
      <c r="AC551" s="333">
        <f t="shared" si="198"/>
        <v>-9.9999999999997868E-3</v>
      </c>
    </row>
    <row r="552" spans="1:29">
      <c r="A552" s="318"/>
      <c r="B552" s="319"/>
      <c r="C552" s="318"/>
      <c r="D552" s="318"/>
      <c r="E552" s="319"/>
      <c r="F552" s="319"/>
      <c r="G552" s="318" t="s">
        <v>1004</v>
      </c>
      <c r="H552" s="319">
        <v>4.3499999999999996</v>
      </c>
      <c r="I552" s="318">
        <v>1</v>
      </c>
      <c r="J552" s="318">
        <f t="shared" si="199"/>
        <v>1</v>
      </c>
      <c r="K552" s="318">
        <f t="shared" si="193"/>
        <v>4.3499999999999996</v>
      </c>
      <c r="L552" s="318">
        <v>1279</v>
      </c>
      <c r="M552" s="318" t="s">
        <v>228</v>
      </c>
      <c r="N552" s="318">
        <v>1</v>
      </c>
      <c r="O552" s="619">
        <f t="shared" si="194"/>
        <v>4.3499999999999996</v>
      </c>
      <c r="P552" s="750">
        <v>1</v>
      </c>
      <c r="Q552" s="750"/>
      <c r="R552" s="337">
        <v>1</v>
      </c>
      <c r="S552" s="348">
        <f t="shared" si="191"/>
        <v>4.3499999999999996</v>
      </c>
      <c r="T552" s="319"/>
      <c r="V552" s="333">
        <v>4.34</v>
      </c>
      <c r="W552" s="320">
        <v>1</v>
      </c>
      <c r="X552" s="348">
        <f t="shared" si="195"/>
        <v>4.34</v>
      </c>
      <c r="Y552" s="330">
        <v>1</v>
      </c>
      <c r="Z552" s="348">
        <f t="shared" si="196"/>
        <v>4.34</v>
      </c>
      <c r="AB552" s="333">
        <f t="shared" si="197"/>
        <v>-9.9999999999997868E-3</v>
      </c>
      <c r="AC552" s="333">
        <f t="shared" si="198"/>
        <v>-9.9999999999997868E-3</v>
      </c>
    </row>
    <row r="553" spans="1:29">
      <c r="A553" s="318"/>
      <c r="B553" s="319"/>
      <c r="C553" s="318"/>
      <c r="D553" s="318"/>
      <c r="E553" s="319"/>
      <c r="F553" s="336"/>
      <c r="G553" s="318" t="s">
        <v>1005</v>
      </c>
      <c r="H553" s="319">
        <v>4.3499999999999996</v>
      </c>
      <c r="I553" s="318">
        <v>1</v>
      </c>
      <c r="J553" s="318">
        <f t="shared" si="199"/>
        <v>1</v>
      </c>
      <c r="K553" s="318">
        <f t="shared" si="193"/>
        <v>4.3499999999999996</v>
      </c>
      <c r="L553" s="318">
        <v>1279</v>
      </c>
      <c r="M553" s="318" t="s">
        <v>228</v>
      </c>
      <c r="N553" s="318">
        <v>1</v>
      </c>
      <c r="O553" s="619">
        <f t="shared" si="194"/>
        <v>4.3499999999999996</v>
      </c>
      <c r="P553" s="750">
        <v>1</v>
      </c>
      <c r="Q553" s="750"/>
      <c r="R553" s="337">
        <v>1</v>
      </c>
      <c r="S553" s="348">
        <f t="shared" si="191"/>
        <v>4.3499999999999996</v>
      </c>
      <c r="T553" s="319"/>
      <c r="V553" s="333">
        <v>4.34</v>
      </c>
      <c r="W553" s="320">
        <v>1</v>
      </c>
      <c r="X553" s="348">
        <f t="shared" si="195"/>
        <v>4.34</v>
      </c>
      <c r="Y553" s="330">
        <v>1</v>
      </c>
      <c r="Z553" s="348">
        <f t="shared" si="196"/>
        <v>4.34</v>
      </c>
      <c r="AB553" s="333">
        <f t="shared" si="197"/>
        <v>-9.9999999999997868E-3</v>
      </c>
      <c r="AC553" s="333">
        <f t="shared" si="198"/>
        <v>-9.9999999999997868E-3</v>
      </c>
    </row>
    <row r="554" spans="1:29" ht="14.4" customHeight="1">
      <c r="A554" s="318"/>
      <c r="B554" s="319"/>
      <c r="C554" s="318"/>
      <c r="D554" s="318"/>
      <c r="E554" s="319"/>
      <c r="F554" s="319"/>
      <c r="G554" s="318" t="s">
        <v>1006</v>
      </c>
      <c r="H554" s="319">
        <v>4.3499999999999996</v>
      </c>
      <c r="I554" s="318">
        <v>1</v>
      </c>
      <c r="J554" s="318">
        <f t="shared" si="199"/>
        <v>1</v>
      </c>
      <c r="K554" s="318">
        <f t="shared" si="193"/>
        <v>4.3499999999999996</v>
      </c>
      <c r="L554" s="318">
        <v>1279</v>
      </c>
      <c r="M554" s="318" t="s">
        <v>228</v>
      </c>
      <c r="N554" s="318">
        <v>1</v>
      </c>
      <c r="O554" s="619">
        <f t="shared" si="194"/>
        <v>4.3499999999999996</v>
      </c>
      <c r="P554" s="750">
        <v>1</v>
      </c>
      <c r="Q554" s="750"/>
      <c r="R554" s="337">
        <v>1</v>
      </c>
      <c r="S554" s="348">
        <f t="shared" si="191"/>
        <v>4.3499999999999996</v>
      </c>
      <c r="T554" s="319"/>
      <c r="V554" s="333">
        <v>4.34</v>
      </c>
      <c r="W554" s="320">
        <v>1</v>
      </c>
      <c r="X554" s="348">
        <f t="shared" si="195"/>
        <v>4.34</v>
      </c>
      <c r="Y554" s="330">
        <v>1</v>
      </c>
      <c r="Z554" s="348">
        <f t="shared" si="196"/>
        <v>4.34</v>
      </c>
      <c r="AB554" s="333">
        <f t="shared" si="197"/>
        <v>-9.9999999999997868E-3</v>
      </c>
      <c r="AC554" s="333">
        <f t="shared" si="198"/>
        <v>-9.9999999999997868E-3</v>
      </c>
    </row>
    <row r="555" spans="1:29">
      <c r="A555" s="318"/>
      <c r="B555" s="319"/>
      <c r="C555" s="318"/>
      <c r="D555" s="318"/>
      <c r="E555" s="319"/>
      <c r="F555" s="336"/>
      <c r="G555" s="318" t="s">
        <v>1007</v>
      </c>
      <c r="H555" s="319">
        <v>4.3499999999999996</v>
      </c>
      <c r="I555" s="318">
        <v>1</v>
      </c>
      <c r="J555" s="318">
        <f t="shared" si="199"/>
        <v>1</v>
      </c>
      <c r="K555" s="318">
        <f t="shared" si="193"/>
        <v>4.3499999999999996</v>
      </c>
      <c r="L555" s="318">
        <v>1294</v>
      </c>
      <c r="M555" s="318" t="s">
        <v>233</v>
      </c>
      <c r="N555" s="318">
        <v>1</v>
      </c>
      <c r="O555" s="619">
        <f t="shared" si="194"/>
        <v>4.3499999999999996</v>
      </c>
      <c r="P555" s="750">
        <v>1</v>
      </c>
      <c r="Q555" s="750"/>
      <c r="R555" s="337">
        <v>1</v>
      </c>
      <c r="S555" s="348">
        <f t="shared" si="191"/>
        <v>4.3499999999999996</v>
      </c>
      <c r="T555" s="319"/>
      <c r="V555" s="333">
        <v>4.34</v>
      </c>
      <c r="W555" s="320">
        <v>1</v>
      </c>
      <c r="X555" s="348">
        <f t="shared" si="195"/>
        <v>4.34</v>
      </c>
      <c r="Y555" s="330">
        <v>1</v>
      </c>
      <c r="Z555" s="348">
        <f t="shared" si="196"/>
        <v>4.34</v>
      </c>
      <c r="AB555" s="333">
        <f t="shared" si="197"/>
        <v>-9.9999999999997868E-3</v>
      </c>
      <c r="AC555" s="333">
        <f t="shared" si="198"/>
        <v>-9.9999999999997868E-3</v>
      </c>
    </row>
    <row r="556" spans="1:29">
      <c r="A556" s="318"/>
      <c r="B556" s="319"/>
      <c r="C556" s="318"/>
      <c r="D556" s="318"/>
      <c r="E556" s="319"/>
      <c r="F556" s="336"/>
      <c r="G556" s="318" t="s">
        <v>1008</v>
      </c>
      <c r="H556" s="319">
        <v>3.34</v>
      </c>
      <c r="I556" s="318">
        <v>1</v>
      </c>
      <c r="J556" s="318">
        <f t="shared" si="199"/>
        <v>1</v>
      </c>
      <c r="K556" s="318">
        <f t="shared" si="193"/>
        <v>3.34</v>
      </c>
      <c r="L556" s="318">
        <v>1540</v>
      </c>
      <c r="M556" s="318">
        <v>130</v>
      </c>
      <c r="N556" s="318">
        <v>1</v>
      </c>
      <c r="O556" s="619">
        <f t="shared" si="194"/>
        <v>3.34</v>
      </c>
      <c r="P556" s="750">
        <v>1</v>
      </c>
      <c r="Q556" s="750"/>
      <c r="R556" s="337">
        <v>1</v>
      </c>
      <c r="S556" s="348">
        <f t="shared" si="191"/>
        <v>3.34</v>
      </c>
      <c r="T556" s="319"/>
      <c r="V556" s="333">
        <v>3.33</v>
      </c>
      <c r="W556" s="320">
        <v>1</v>
      </c>
      <c r="X556" s="348">
        <f t="shared" si="195"/>
        <v>3.33</v>
      </c>
      <c r="Y556" s="330">
        <v>1</v>
      </c>
      <c r="Z556" s="348">
        <f t="shared" si="196"/>
        <v>3.33</v>
      </c>
      <c r="AB556" s="333">
        <f t="shared" si="197"/>
        <v>-9.9999999999997868E-3</v>
      </c>
      <c r="AC556" s="333">
        <f t="shared" si="198"/>
        <v>-9.9999999999997868E-3</v>
      </c>
    </row>
    <row r="557" spans="1:29">
      <c r="A557" s="318"/>
      <c r="B557" s="319"/>
      <c r="C557" s="318"/>
      <c r="D557" s="318"/>
      <c r="E557" s="319"/>
      <c r="F557" s="319"/>
      <c r="G557" s="318" t="s">
        <v>1009</v>
      </c>
      <c r="H557" s="318">
        <v>1.83</v>
      </c>
      <c r="I557" s="318">
        <v>1</v>
      </c>
      <c r="J557" s="318">
        <f t="shared" si="199"/>
        <v>1</v>
      </c>
      <c r="K557" s="318">
        <f t="shared" si="193"/>
        <v>1.83</v>
      </c>
      <c r="L557" s="318">
        <v>1540</v>
      </c>
      <c r="M557" s="318">
        <v>130</v>
      </c>
      <c r="N557" s="318">
        <v>1</v>
      </c>
      <c r="O557" s="619">
        <f t="shared" si="194"/>
        <v>1.83</v>
      </c>
      <c r="P557" s="750">
        <v>1</v>
      </c>
      <c r="Q557" s="750"/>
      <c r="R557" s="337">
        <v>1</v>
      </c>
      <c r="S557" s="348">
        <f t="shared" si="191"/>
        <v>1.83</v>
      </c>
      <c r="T557" s="319"/>
      <c r="V557" s="328">
        <v>1.8</v>
      </c>
      <c r="W557" s="320">
        <v>1</v>
      </c>
      <c r="X557" s="348">
        <f t="shared" si="195"/>
        <v>1.8</v>
      </c>
      <c r="Y557" s="330">
        <v>1</v>
      </c>
      <c r="Z557" s="348">
        <f t="shared" si="196"/>
        <v>1.8</v>
      </c>
      <c r="AB557" s="328">
        <f t="shared" si="197"/>
        <v>-3.0000000000000027E-2</v>
      </c>
      <c r="AC557" s="328">
        <f t="shared" si="198"/>
        <v>-3.0000000000000027E-2</v>
      </c>
    </row>
    <row r="558" spans="1:29">
      <c r="A558" s="318"/>
      <c r="B558" s="319"/>
      <c r="C558" s="318"/>
      <c r="D558" s="318"/>
      <c r="E558" s="319"/>
      <c r="F558" s="336"/>
      <c r="G558" s="318" t="s">
        <v>1010</v>
      </c>
      <c r="H558" s="318">
        <v>4.49</v>
      </c>
      <c r="I558" s="318">
        <v>1</v>
      </c>
      <c r="J558" s="318">
        <f t="shared" si="199"/>
        <v>1</v>
      </c>
      <c r="K558" s="318">
        <f t="shared" si="193"/>
        <v>4.49</v>
      </c>
      <c r="L558" s="318" t="s">
        <v>223</v>
      </c>
      <c r="M558" s="318" t="s">
        <v>224</v>
      </c>
      <c r="N558" s="318">
        <v>1</v>
      </c>
      <c r="O558" s="619">
        <f t="shared" si="194"/>
        <v>4.49</v>
      </c>
      <c r="P558" s="750">
        <v>1</v>
      </c>
      <c r="Q558" s="750"/>
      <c r="R558" s="337">
        <v>1</v>
      </c>
      <c r="S558" s="348">
        <f t="shared" si="191"/>
        <v>4.49</v>
      </c>
      <c r="T558" s="319"/>
      <c r="V558" s="328">
        <f t="shared" ref="V558:V574" si="200">4.49</f>
        <v>4.49</v>
      </c>
      <c r="W558" s="320">
        <v>1</v>
      </c>
      <c r="X558" s="348">
        <f t="shared" si="195"/>
        <v>4.49</v>
      </c>
      <c r="Y558" s="330">
        <v>1</v>
      </c>
      <c r="Z558" s="348">
        <f t="shared" si="196"/>
        <v>4.49</v>
      </c>
      <c r="AB558" s="328">
        <f t="shared" si="197"/>
        <v>0</v>
      </c>
      <c r="AC558" s="328">
        <f t="shared" si="198"/>
        <v>0</v>
      </c>
    </row>
    <row r="559" spans="1:29">
      <c r="A559" s="318"/>
      <c r="B559" s="319"/>
      <c r="C559" s="318"/>
      <c r="D559" s="318"/>
      <c r="E559" s="319"/>
      <c r="F559" s="319"/>
      <c r="G559" s="318" t="s">
        <v>1011</v>
      </c>
      <c r="H559" s="318">
        <v>4.49</v>
      </c>
      <c r="I559" s="318">
        <v>1</v>
      </c>
      <c r="J559" s="318">
        <f t="shared" si="199"/>
        <v>1</v>
      </c>
      <c r="K559" s="318">
        <f t="shared" si="193"/>
        <v>4.49</v>
      </c>
      <c r="L559" s="318" t="s">
        <v>223</v>
      </c>
      <c r="M559" s="318" t="s">
        <v>224</v>
      </c>
      <c r="N559" s="318">
        <v>1</v>
      </c>
      <c r="O559" s="619">
        <f t="shared" si="194"/>
        <v>4.49</v>
      </c>
      <c r="P559" s="750">
        <v>1</v>
      </c>
      <c r="Q559" s="750"/>
      <c r="R559" s="337">
        <v>1</v>
      </c>
      <c r="S559" s="348">
        <f t="shared" si="191"/>
        <v>4.49</v>
      </c>
      <c r="T559" s="319"/>
      <c r="V559" s="328">
        <f t="shared" si="200"/>
        <v>4.49</v>
      </c>
      <c r="W559" s="320">
        <v>1</v>
      </c>
      <c r="X559" s="348">
        <f t="shared" si="195"/>
        <v>4.49</v>
      </c>
      <c r="Y559" s="330">
        <v>1</v>
      </c>
      <c r="Z559" s="348">
        <f t="shared" si="196"/>
        <v>4.49</v>
      </c>
      <c r="AB559" s="328">
        <f t="shared" si="197"/>
        <v>0</v>
      </c>
      <c r="AC559" s="328">
        <f t="shared" si="198"/>
        <v>0</v>
      </c>
    </row>
    <row r="560" spans="1:29">
      <c r="A560" s="318"/>
      <c r="B560" s="319"/>
      <c r="C560" s="318"/>
      <c r="D560" s="318"/>
      <c r="E560" s="319"/>
      <c r="F560" s="319"/>
      <c r="G560" s="318" t="s">
        <v>1012</v>
      </c>
      <c r="H560" s="318">
        <v>4.49</v>
      </c>
      <c r="I560" s="318">
        <v>1</v>
      </c>
      <c r="J560" s="318">
        <f t="shared" si="199"/>
        <v>1</v>
      </c>
      <c r="K560" s="318">
        <f t="shared" si="193"/>
        <v>4.49</v>
      </c>
      <c r="L560" s="318" t="s">
        <v>223</v>
      </c>
      <c r="M560" s="318" t="s">
        <v>224</v>
      </c>
      <c r="N560" s="318">
        <v>1</v>
      </c>
      <c r="O560" s="619">
        <f t="shared" si="194"/>
        <v>4.49</v>
      </c>
      <c r="P560" s="750">
        <v>1</v>
      </c>
      <c r="Q560" s="750"/>
      <c r="R560" s="337">
        <v>1</v>
      </c>
      <c r="S560" s="348">
        <f t="shared" si="191"/>
        <v>4.49</v>
      </c>
      <c r="T560" s="319"/>
      <c r="V560" s="328">
        <f t="shared" si="200"/>
        <v>4.49</v>
      </c>
      <c r="W560" s="320">
        <v>1</v>
      </c>
      <c r="X560" s="348">
        <f t="shared" si="195"/>
        <v>4.49</v>
      </c>
      <c r="Y560" s="330">
        <v>1</v>
      </c>
      <c r="Z560" s="348">
        <f t="shared" si="196"/>
        <v>4.49</v>
      </c>
      <c r="AB560" s="328">
        <f t="shared" si="197"/>
        <v>0</v>
      </c>
      <c r="AC560" s="328">
        <f t="shared" si="198"/>
        <v>0</v>
      </c>
    </row>
    <row r="561" spans="1:29">
      <c r="A561" s="318"/>
      <c r="B561" s="319"/>
      <c r="C561" s="318"/>
      <c r="D561" s="318"/>
      <c r="E561" s="319"/>
      <c r="F561" s="319"/>
      <c r="G561" s="318" t="s">
        <v>1013</v>
      </c>
      <c r="H561" s="318">
        <v>4.49</v>
      </c>
      <c r="I561" s="318">
        <v>1</v>
      </c>
      <c r="J561" s="318">
        <f t="shared" si="199"/>
        <v>1</v>
      </c>
      <c r="K561" s="318">
        <f t="shared" si="193"/>
        <v>4.49</v>
      </c>
      <c r="L561" s="318" t="s">
        <v>223</v>
      </c>
      <c r="M561" s="318" t="s">
        <v>224</v>
      </c>
      <c r="N561" s="318">
        <v>1</v>
      </c>
      <c r="O561" s="619">
        <f t="shared" si="194"/>
        <v>4.49</v>
      </c>
      <c r="P561" s="750">
        <v>1</v>
      </c>
      <c r="Q561" s="750"/>
      <c r="R561" s="337">
        <v>1</v>
      </c>
      <c r="S561" s="348">
        <f t="shared" si="191"/>
        <v>4.49</v>
      </c>
      <c r="T561" s="319"/>
      <c r="V561" s="328">
        <f t="shared" si="200"/>
        <v>4.49</v>
      </c>
      <c r="W561" s="320">
        <v>1</v>
      </c>
      <c r="X561" s="348">
        <f t="shared" si="195"/>
        <v>4.49</v>
      </c>
      <c r="Y561" s="330">
        <v>1</v>
      </c>
      <c r="Z561" s="348">
        <f t="shared" si="196"/>
        <v>4.49</v>
      </c>
      <c r="AB561" s="328">
        <f t="shared" si="197"/>
        <v>0</v>
      </c>
      <c r="AC561" s="328">
        <f t="shared" si="198"/>
        <v>0</v>
      </c>
    </row>
    <row r="562" spans="1:29">
      <c r="A562" s="318"/>
      <c r="B562" s="319"/>
      <c r="C562" s="318"/>
      <c r="D562" s="318"/>
      <c r="E562" s="319"/>
      <c r="F562" s="319"/>
      <c r="G562" s="318" t="s">
        <v>1014</v>
      </c>
      <c r="H562" s="318">
        <v>4.49</v>
      </c>
      <c r="I562" s="318">
        <v>1</v>
      </c>
      <c r="J562" s="318">
        <f t="shared" si="199"/>
        <v>1</v>
      </c>
      <c r="K562" s="318">
        <f t="shared" si="193"/>
        <v>4.49</v>
      </c>
      <c r="L562" s="318">
        <v>1280</v>
      </c>
      <c r="M562" s="318" t="s">
        <v>228</v>
      </c>
      <c r="N562" s="318">
        <v>1</v>
      </c>
      <c r="O562" s="619">
        <f t="shared" si="194"/>
        <v>4.49</v>
      </c>
      <c r="P562" s="750">
        <v>1</v>
      </c>
      <c r="Q562" s="750"/>
      <c r="R562" s="337">
        <v>1</v>
      </c>
      <c r="S562" s="348">
        <f t="shared" si="191"/>
        <v>4.49</v>
      </c>
      <c r="T562" s="319"/>
      <c r="V562" s="328">
        <f t="shared" si="200"/>
        <v>4.49</v>
      </c>
      <c r="W562" s="320">
        <v>1</v>
      </c>
      <c r="X562" s="348">
        <f t="shared" si="195"/>
        <v>4.49</v>
      </c>
      <c r="Y562" s="330">
        <v>1</v>
      </c>
      <c r="Z562" s="348">
        <f t="shared" si="196"/>
        <v>4.49</v>
      </c>
      <c r="AB562" s="328">
        <f t="shared" si="197"/>
        <v>0</v>
      </c>
      <c r="AC562" s="328">
        <f t="shared" si="198"/>
        <v>0</v>
      </c>
    </row>
    <row r="563" spans="1:29">
      <c r="A563" s="318"/>
      <c r="B563" s="319"/>
      <c r="C563" s="318"/>
      <c r="D563" s="318"/>
      <c r="E563" s="319"/>
      <c r="F563" s="319"/>
      <c r="G563" s="318" t="s">
        <v>1015</v>
      </c>
      <c r="H563" s="318">
        <v>4.49</v>
      </c>
      <c r="I563" s="318">
        <v>1</v>
      </c>
      <c r="J563" s="318">
        <f t="shared" si="199"/>
        <v>1</v>
      </c>
      <c r="K563" s="318">
        <f t="shared" si="193"/>
        <v>4.49</v>
      </c>
      <c r="L563" s="318">
        <v>1280</v>
      </c>
      <c r="M563" s="318" t="s">
        <v>228</v>
      </c>
      <c r="N563" s="318">
        <v>1</v>
      </c>
      <c r="O563" s="619">
        <f t="shared" si="194"/>
        <v>4.49</v>
      </c>
      <c r="P563" s="750">
        <v>1</v>
      </c>
      <c r="Q563" s="750"/>
      <c r="R563" s="337">
        <v>1</v>
      </c>
      <c r="S563" s="348">
        <f t="shared" si="191"/>
        <v>4.49</v>
      </c>
      <c r="T563" s="319"/>
      <c r="V563" s="328">
        <f t="shared" si="200"/>
        <v>4.49</v>
      </c>
      <c r="W563" s="320">
        <v>1</v>
      </c>
      <c r="X563" s="348">
        <f t="shared" si="195"/>
        <v>4.49</v>
      </c>
      <c r="Y563" s="330">
        <v>1</v>
      </c>
      <c r="Z563" s="348">
        <f t="shared" si="196"/>
        <v>4.49</v>
      </c>
      <c r="AB563" s="328">
        <f t="shared" si="197"/>
        <v>0</v>
      </c>
      <c r="AC563" s="328">
        <f t="shared" si="198"/>
        <v>0</v>
      </c>
    </row>
    <row r="564" spans="1:29">
      <c r="A564" s="318"/>
      <c r="B564" s="319"/>
      <c r="C564" s="318"/>
      <c r="D564" s="318"/>
      <c r="E564" s="319"/>
      <c r="F564" s="336"/>
      <c r="G564" s="318" t="s">
        <v>1016</v>
      </c>
      <c r="H564" s="318">
        <v>4.49</v>
      </c>
      <c r="I564" s="318">
        <v>1</v>
      </c>
      <c r="J564" s="318">
        <f t="shared" si="199"/>
        <v>1</v>
      </c>
      <c r="K564" s="318">
        <f t="shared" si="193"/>
        <v>4.49</v>
      </c>
      <c r="L564" s="318">
        <v>1280</v>
      </c>
      <c r="M564" s="318" t="s">
        <v>228</v>
      </c>
      <c r="N564" s="318">
        <v>1</v>
      </c>
      <c r="O564" s="619">
        <f t="shared" si="194"/>
        <v>4.49</v>
      </c>
      <c r="P564" s="750">
        <v>1</v>
      </c>
      <c r="Q564" s="750"/>
      <c r="R564" s="337">
        <v>1</v>
      </c>
      <c r="S564" s="348">
        <f t="shared" si="191"/>
        <v>4.49</v>
      </c>
      <c r="T564" s="319"/>
      <c r="V564" s="328">
        <f t="shared" si="200"/>
        <v>4.49</v>
      </c>
      <c r="W564" s="320">
        <v>1</v>
      </c>
      <c r="X564" s="348">
        <f t="shared" si="195"/>
        <v>4.49</v>
      </c>
      <c r="Y564" s="330">
        <v>1</v>
      </c>
      <c r="Z564" s="348">
        <f t="shared" si="196"/>
        <v>4.49</v>
      </c>
      <c r="AB564" s="328">
        <f t="shared" si="197"/>
        <v>0</v>
      </c>
      <c r="AC564" s="328">
        <f t="shared" si="198"/>
        <v>0</v>
      </c>
    </row>
    <row r="565" spans="1:29">
      <c r="A565" s="318"/>
      <c r="B565" s="319"/>
      <c r="C565" s="318"/>
      <c r="D565" s="318"/>
      <c r="E565" s="319"/>
      <c r="F565" s="336"/>
      <c r="G565" s="318" t="s">
        <v>1017</v>
      </c>
      <c r="H565" s="318">
        <v>4.49</v>
      </c>
      <c r="I565" s="318">
        <v>1</v>
      </c>
      <c r="J565" s="318">
        <f t="shared" si="199"/>
        <v>1</v>
      </c>
      <c r="K565" s="318">
        <f t="shared" si="193"/>
        <v>4.49</v>
      </c>
      <c r="L565" s="318">
        <v>1280</v>
      </c>
      <c r="M565" s="318" t="s">
        <v>228</v>
      </c>
      <c r="N565" s="318">
        <v>1</v>
      </c>
      <c r="O565" s="619">
        <f t="shared" si="194"/>
        <v>4.49</v>
      </c>
      <c r="P565" s="750">
        <v>1</v>
      </c>
      <c r="Q565" s="750"/>
      <c r="R565" s="337">
        <v>1</v>
      </c>
      <c r="S565" s="348">
        <f t="shared" si="191"/>
        <v>4.49</v>
      </c>
      <c r="T565" s="319"/>
      <c r="V565" s="328">
        <f t="shared" si="200"/>
        <v>4.49</v>
      </c>
      <c r="W565" s="320">
        <v>1</v>
      </c>
      <c r="X565" s="348">
        <f t="shared" si="195"/>
        <v>4.49</v>
      </c>
      <c r="Y565" s="330">
        <v>1</v>
      </c>
      <c r="Z565" s="348">
        <f t="shared" si="196"/>
        <v>4.49</v>
      </c>
      <c r="AB565" s="328">
        <f t="shared" si="197"/>
        <v>0</v>
      </c>
      <c r="AC565" s="328">
        <f t="shared" si="198"/>
        <v>0</v>
      </c>
    </row>
    <row r="566" spans="1:29">
      <c r="A566" s="318"/>
      <c r="B566" s="319"/>
      <c r="C566" s="318"/>
      <c r="D566" s="318"/>
      <c r="E566" s="319"/>
      <c r="F566" s="336"/>
      <c r="G566" s="318" t="s">
        <v>1018</v>
      </c>
      <c r="H566" s="318">
        <v>4.49</v>
      </c>
      <c r="I566" s="318">
        <v>1</v>
      </c>
      <c r="J566" s="318">
        <f t="shared" si="199"/>
        <v>1</v>
      </c>
      <c r="K566" s="318">
        <f t="shared" si="193"/>
        <v>4.49</v>
      </c>
      <c r="L566" s="318">
        <v>1280</v>
      </c>
      <c r="M566" s="318" t="s">
        <v>228</v>
      </c>
      <c r="N566" s="318">
        <v>1</v>
      </c>
      <c r="O566" s="619">
        <f t="shared" si="194"/>
        <v>4.49</v>
      </c>
      <c r="P566" s="750">
        <v>1</v>
      </c>
      <c r="Q566" s="750"/>
      <c r="R566" s="337">
        <v>1</v>
      </c>
      <c r="S566" s="348">
        <f t="shared" si="191"/>
        <v>4.49</v>
      </c>
      <c r="T566" s="319"/>
      <c r="V566" s="328">
        <f t="shared" si="200"/>
        <v>4.49</v>
      </c>
      <c r="W566" s="320">
        <v>1</v>
      </c>
      <c r="X566" s="348">
        <f t="shared" si="195"/>
        <v>4.49</v>
      </c>
      <c r="Y566" s="330">
        <v>1</v>
      </c>
      <c r="Z566" s="348">
        <f t="shared" si="196"/>
        <v>4.49</v>
      </c>
      <c r="AB566" s="328">
        <f t="shared" si="197"/>
        <v>0</v>
      </c>
      <c r="AC566" s="328">
        <f t="shared" si="198"/>
        <v>0</v>
      </c>
    </row>
    <row r="567" spans="1:29">
      <c r="A567" s="318"/>
      <c r="B567" s="319"/>
      <c r="C567" s="318"/>
      <c r="D567" s="318"/>
      <c r="E567" s="319"/>
      <c r="F567" s="336"/>
      <c r="G567" s="318" t="s">
        <v>1019</v>
      </c>
      <c r="H567" s="318">
        <v>4.49</v>
      </c>
      <c r="I567" s="318">
        <v>1</v>
      </c>
      <c r="J567" s="318">
        <f t="shared" si="199"/>
        <v>1</v>
      </c>
      <c r="K567" s="318">
        <f t="shared" si="193"/>
        <v>4.49</v>
      </c>
      <c r="L567" s="318">
        <v>1280</v>
      </c>
      <c r="M567" s="318" t="s">
        <v>228</v>
      </c>
      <c r="N567" s="318">
        <v>1</v>
      </c>
      <c r="O567" s="619">
        <f t="shared" si="194"/>
        <v>4.49</v>
      </c>
      <c r="P567" s="750">
        <v>1</v>
      </c>
      <c r="Q567" s="750"/>
      <c r="R567" s="337">
        <v>1</v>
      </c>
      <c r="S567" s="348">
        <f t="shared" si="191"/>
        <v>4.49</v>
      </c>
      <c r="T567" s="319"/>
      <c r="V567" s="328">
        <f t="shared" si="200"/>
        <v>4.49</v>
      </c>
      <c r="W567" s="320">
        <v>1</v>
      </c>
      <c r="X567" s="348">
        <f t="shared" si="195"/>
        <v>4.49</v>
      </c>
      <c r="Y567" s="330">
        <v>1</v>
      </c>
      <c r="Z567" s="348">
        <f t="shared" si="196"/>
        <v>4.49</v>
      </c>
      <c r="AB567" s="328">
        <f t="shared" si="197"/>
        <v>0</v>
      </c>
      <c r="AC567" s="328">
        <f t="shared" si="198"/>
        <v>0</v>
      </c>
    </row>
    <row r="568" spans="1:29">
      <c r="A568" s="318"/>
      <c r="B568" s="319"/>
      <c r="C568" s="318"/>
      <c r="D568" s="318"/>
      <c r="E568" s="319"/>
      <c r="F568" s="336"/>
      <c r="G568" s="318" t="s">
        <v>1020</v>
      </c>
      <c r="H568" s="318">
        <v>4.49</v>
      </c>
      <c r="I568" s="318">
        <v>1</v>
      </c>
      <c r="J568" s="318">
        <f t="shared" si="199"/>
        <v>1</v>
      </c>
      <c r="K568" s="318">
        <f t="shared" si="193"/>
        <v>4.49</v>
      </c>
      <c r="L568" s="318">
        <v>1280</v>
      </c>
      <c r="M568" s="318" t="s">
        <v>228</v>
      </c>
      <c r="N568" s="318">
        <v>1</v>
      </c>
      <c r="O568" s="619">
        <f t="shared" si="194"/>
        <v>4.49</v>
      </c>
      <c r="P568" s="750">
        <v>1</v>
      </c>
      <c r="Q568" s="750"/>
      <c r="R568" s="337">
        <v>1</v>
      </c>
      <c r="S568" s="348">
        <f t="shared" si="191"/>
        <v>4.49</v>
      </c>
      <c r="T568" s="319"/>
      <c r="V568" s="328">
        <f t="shared" si="200"/>
        <v>4.49</v>
      </c>
      <c r="W568" s="320">
        <v>1</v>
      </c>
      <c r="X568" s="348">
        <f t="shared" si="195"/>
        <v>4.49</v>
      </c>
      <c r="Y568" s="330">
        <v>1</v>
      </c>
      <c r="Z568" s="348">
        <f t="shared" si="196"/>
        <v>4.49</v>
      </c>
      <c r="AB568" s="328">
        <f t="shared" si="197"/>
        <v>0</v>
      </c>
      <c r="AC568" s="328">
        <f t="shared" si="198"/>
        <v>0</v>
      </c>
    </row>
    <row r="569" spans="1:29">
      <c r="A569" s="318"/>
      <c r="B569" s="319"/>
      <c r="C569" s="318"/>
      <c r="D569" s="318"/>
      <c r="E569" s="319"/>
      <c r="F569" s="336"/>
      <c r="G569" s="318" t="s">
        <v>1021</v>
      </c>
      <c r="H569" s="318">
        <v>4.49</v>
      </c>
      <c r="I569" s="318">
        <v>1</v>
      </c>
      <c r="J569" s="318">
        <f t="shared" si="199"/>
        <v>1</v>
      </c>
      <c r="K569" s="318">
        <f t="shared" si="193"/>
        <v>4.49</v>
      </c>
      <c r="L569" s="318">
        <v>1280</v>
      </c>
      <c r="M569" s="318" t="s">
        <v>228</v>
      </c>
      <c r="N569" s="318">
        <v>1</v>
      </c>
      <c r="O569" s="619">
        <f t="shared" si="194"/>
        <v>4.49</v>
      </c>
      <c r="P569" s="750">
        <v>1</v>
      </c>
      <c r="Q569" s="750"/>
      <c r="R569" s="337">
        <v>1</v>
      </c>
      <c r="S569" s="348">
        <f t="shared" si="191"/>
        <v>4.49</v>
      </c>
      <c r="T569" s="319"/>
      <c r="V569" s="328">
        <f t="shared" si="200"/>
        <v>4.49</v>
      </c>
      <c r="W569" s="320">
        <v>1</v>
      </c>
      <c r="X569" s="348">
        <f t="shared" si="195"/>
        <v>4.49</v>
      </c>
      <c r="Y569" s="330">
        <v>1</v>
      </c>
      <c r="Z569" s="348">
        <f t="shared" si="196"/>
        <v>4.49</v>
      </c>
      <c r="AB569" s="328">
        <f t="shared" si="197"/>
        <v>0</v>
      </c>
      <c r="AC569" s="328">
        <f t="shared" si="198"/>
        <v>0</v>
      </c>
    </row>
    <row r="570" spans="1:29">
      <c r="A570" s="318"/>
      <c r="B570" s="319"/>
      <c r="C570" s="318"/>
      <c r="D570" s="318"/>
      <c r="E570" s="319"/>
      <c r="F570" s="336"/>
      <c r="G570" s="318" t="s">
        <v>1022</v>
      </c>
      <c r="H570" s="318">
        <v>4.49</v>
      </c>
      <c r="I570" s="318">
        <v>1</v>
      </c>
      <c r="J570" s="318">
        <f t="shared" si="199"/>
        <v>1</v>
      </c>
      <c r="K570" s="318">
        <f t="shared" si="193"/>
        <v>4.49</v>
      </c>
      <c r="L570" s="318">
        <v>1279</v>
      </c>
      <c r="M570" s="318" t="s">
        <v>228</v>
      </c>
      <c r="N570" s="318">
        <v>1</v>
      </c>
      <c r="O570" s="619">
        <f t="shared" si="194"/>
        <v>4.49</v>
      </c>
      <c r="P570" s="750">
        <v>1</v>
      </c>
      <c r="Q570" s="750"/>
      <c r="R570" s="337">
        <v>1</v>
      </c>
      <c r="S570" s="348">
        <f t="shared" si="191"/>
        <v>4.49</v>
      </c>
      <c r="T570" s="319"/>
      <c r="V570" s="328">
        <f t="shared" si="200"/>
        <v>4.49</v>
      </c>
      <c r="W570" s="320">
        <v>1</v>
      </c>
      <c r="X570" s="348">
        <f t="shared" si="195"/>
        <v>4.49</v>
      </c>
      <c r="Y570" s="330">
        <v>1</v>
      </c>
      <c r="Z570" s="348">
        <f t="shared" si="196"/>
        <v>4.49</v>
      </c>
      <c r="AB570" s="328">
        <f t="shared" si="197"/>
        <v>0</v>
      </c>
      <c r="AC570" s="328">
        <f t="shared" si="198"/>
        <v>0</v>
      </c>
    </row>
    <row r="571" spans="1:29">
      <c r="A571" s="318"/>
      <c r="B571" s="319"/>
      <c r="C571" s="318"/>
      <c r="D571" s="318"/>
      <c r="E571" s="319"/>
      <c r="F571" s="336"/>
      <c r="G571" s="318" t="s">
        <v>1023</v>
      </c>
      <c r="H571" s="318">
        <v>4.49</v>
      </c>
      <c r="I571" s="318">
        <v>1</v>
      </c>
      <c r="J571" s="318">
        <f t="shared" si="199"/>
        <v>1</v>
      </c>
      <c r="K571" s="318">
        <f t="shared" si="193"/>
        <v>4.49</v>
      </c>
      <c r="L571" s="318">
        <v>1279</v>
      </c>
      <c r="M571" s="318" t="s">
        <v>228</v>
      </c>
      <c r="N571" s="318">
        <v>1</v>
      </c>
      <c r="O571" s="619">
        <f t="shared" si="194"/>
        <v>4.49</v>
      </c>
      <c r="P571" s="750">
        <v>1</v>
      </c>
      <c r="Q571" s="750"/>
      <c r="R571" s="337">
        <v>1</v>
      </c>
      <c r="S571" s="348">
        <f t="shared" si="191"/>
        <v>4.49</v>
      </c>
      <c r="T571" s="319"/>
      <c r="V571" s="328">
        <f t="shared" si="200"/>
        <v>4.49</v>
      </c>
      <c r="W571" s="320">
        <v>1</v>
      </c>
      <c r="X571" s="348">
        <f t="shared" si="195"/>
        <v>4.49</v>
      </c>
      <c r="Y571" s="330">
        <v>1</v>
      </c>
      <c r="Z571" s="348">
        <f t="shared" si="196"/>
        <v>4.49</v>
      </c>
      <c r="AB571" s="328">
        <f t="shared" si="197"/>
        <v>0</v>
      </c>
      <c r="AC571" s="328">
        <f t="shared" si="198"/>
        <v>0</v>
      </c>
    </row>
    <row r="572" spans="1:29">
      <c r="A572" s="318"/>
      <c r="B572" s="319"/>
      <c r="C572" s="318"/>
      <c r="D572" s="318"/>
      <c r="E572" s="319"/>
      <c r="F572" s="336"/>
      <c r="G572" s="318" t="s">
        <v>1024</v>
      </c>
      <c r="H572" s="318">
        <v>4.49</v>
      </c>
      <c r="I572" s="318">
        <v>1</v>
      </c>
      <c r="J572" s="318">
        <f t="shared" si="199"/>
        <v>1</v>
      </c>
      <c r="K572" s="318">
        <f t="shared" si="193"/>
        <v>4.49</v>
      </c>
      <c r="L572" s="318">
        <v>1279</v>
      </c>
      <c r="M572" s="318" t="s">
        <v>228</v>
      </c>
      <c r="N572" s="318">
        <v>1</v>
      </c>
      <c r="O572" s="619">
        <f t="shared" si="194"/>
        <v>4.49</v>
      </c>
      <c r="P572" s="750">
        <v>1</v>
      </c>
      <c r="Q572" s="750"/>
      <c r="R572" s="337">
        <v>1</v>
      </c>
      <c r="S572" s="348">
        <f t="shared" si="191"/>
        <v>4.49</v>
      </c>
      <c r="T572" s="319"/>
      <c r="V572" s="328">
        <f t="shared" si="200"/>
        <v>4.49</v>
      </c>
      <c r="W572" s="320">
        <v>1</v>
      </c>
      <c r="X572" s="348">
        <f t="shared" si="195"/>
        <v>4.49</v>
      </c>
      <c r="Y572" s="330">
        <v>1</v>
      </c>
      <c r="Z572" s="348">
        <f t="shared" si="196"/>
        <v>4.49</v>
      </c>
      <c r="AB572" s="328">
        <f t="shared" si="197"/>
        <v>0</v>
      </c>
      <c r="AC572" s="328">
        <f t="shared" si="198"/>
        <v>0</v>
      </c>
    </row>
    <row r="573" spans="1:29">
      <c r="A573" s="318"/>
      <c r="B573" s="319"/>
      <c r="C573" s="318"/>
      <c r="D573" s="318"/>
      <c r="E573" s="319"/>
      <c r="F573" s="336"/>
      <c r="G573" s="318" t="s">
        <v>1025</v>
      </c>
      <c r="H573" s="318">
        <v>4.49</v>
      </c>
      <c r="I573" s="318">
        <v>1</v>
      </c>
      <c r="J573" s="318">
        <f t="shared" si="199"/>
        <v>1</v>
      </c>
      <c r="K573" s="318">
        <f t="shared" si="193"/>
        <v>4.49</v>
      </c>
      <c r="L573" s="318">
        <v>1279</v>
      </c>
      <c r="M573" s="318" t="s">
        <v>228</v>
      </c>
      <c r="N573" s="318">
        <v>1</v>
      </c>
      <c r="O573" s="619">
        <f t="shared" si="194"/>
        <v>4.49</v>
      </c>
      <c r="P573" s="750">
        <v>1</v>
      </c>
      <c r="Q573" s="750"/>
      <c r="R573" s="337">
        <v>1</v>
      </c>
      <c r="S573" s="348">
        <f t="shared" si="191"/>
        <v>4.49</v>
      </c>
      <c r="T573" s="319"/>
      <c r="V573" s="328">
        <f t="shared" si="200"/>
        <v>4.49</v>
      </c>
      <c r="W573" s="320">
        <v>1</v>
      </c>
      <c r="X573" s="348">
        <f t="shared" si="195"/>
        <v>4.49</v>
      </c>
      <c r="Y573" s="330">
        <v>1</v>
      </c>
      <c r="Z573" s="348">
        <f t="shared" si="196"/>
        <v>4.49</v>
      </c>
      <c r="AB573" s="328">
        <f t="shared" si="197"/>
        <v>0</v>
      </c>
      <c r="AC573" s="328">
        <f t="shared" si="198"/>
        <v>0</v>
      </c>
    </row>
    <row r="574" spans="1:29">
      <c r="A574" s="318"/>
      <c r="B574" s="319"/>
      <c r="C574" s="318"/>
      <c r="D574" s="318"/>
      <c r="E574" s="319"/>
      <c r="F574" s="336"/>
      <c r="G574" s="318" t="s">
        <v>1026</v>
      </c>
      <c r="H574" s="318">
        <v>4.49</v>
      </c>
      <c r="I574" s="318">
        <v>1</v>
      </c>
      <c r="J574" s="318">
        <f t="shared" si="199"/>
        <v>1</v>
      </c>
      <c r="K574" s="318">
        <f t="shared" si="193"/>
        <v>4.49</v>
      </c>
      <c r="L574" s="318">
        <v>1279</v>
      </c>
      <c r="M574" s="318" t="s">
        <v>228</v>
      </c>
      <c r="N574" s="318">
        <v>1</v>
      </c>
      <c r="O574" s="619">
        <f t="shared" si="194"/>
        <v>4.49</v>
      </c>
      <c r="P574" s="750">
        <v>1</v>
      </c>
      <c r="Q574" s="750"/>
      <c r="R574" s="337">
        <v>1</v>
      </c>
      <c r="S574" s="348">
        <f t="shared" si="191"/>
        <v>4.49</v>
      </c>
      <c r="T574" s="319"/>
      <c r="V574" s="328">
        <f t="shared" si="200"/>
        <v>4.49</v>
      </c>
      <c r="W574" s="320">
        <v>1</v>
      </c>
      <c r="X574" s="348">
        <f t="shared" si="195"/>
        <v>4.49</v>
      </c>
      <c r="Y574" s="330">
        <v>1</v>
      </c>
      <c r="Z574" s="348">
        <f t="shared" si="196"/>
        <v>4.49</v>
      </c>
      <c r="AB574" s="328">
        <f t="shared" si="197"/>
        <v>0</v>
      </c>
      <c r="AC574" s="328">
        <f t="shared" si="198"/>
        <v>0</v>
      </c>
    </row>
    <row r="575" spans="1:29">
      <c r="A575" s="318"/>
      <c r="B575" s="319"/>
      <c r="C575" s="318"/>
      <c r="D575" s="318"/>
      <c r="E575" s="319"/>
      <c r="F575" s="336"/>
      <c r="G575" s="318" t="s">
        <v>1027</v>
      </c>
      <c r="H575" s="318">
        <v>4.49</v>
      </c>
      <c r="I575" s="318">
        <v>1</v>
      </c>
      <c r="J575" s="318">
        <f t="shared" si="199"/>
        <v>1</v>
      </c>
      <c r="K575" s="318">
        <f t="shared" si="193"/>
        <v>4.49</v>
      </c>
      <c r="L575" s="318">
        <v>1630</v>
      </c>
      <c r="M575" s="318">
        <v>146</v>
      </c>
      <c r="N575" s="318">
        <v>1</v>
      </c>
      <c r="O575" s="619">
        <f t="shared" si="194"/>
        <v>4.49</v>
      </c>
      <c r="P575" s="750">
        <v>1</v>
      </c>
      <c r="Q575" s="750"/>
      <c r="R575" s="337">
        <v>1</v>
      </c>
      <c r="S575" s="348">
        <f t="shared" si="191"/>
        <v>4.49</v>
      </c>
      <c r="T575" s="319"/>
      <c r="V575" s="328">
        <v>4.99</v>
      </c>
      <c r="W575" s="320">
        <v>1</v>
      </c>
      <c r="X575" s="348">
        <f t="shared" si="195"/>
        <v>4.99</v>
      </c>
      <c r="Y575" s="330">
        <v>1</v>
      </c>
      <c r="Z575" s="348">
        <f t="shared" si="196"/>
        <v>4.99</v>
      </c>
      <c r="AB575" s="328">
        <f t="shared" si="197"/>
        <v>0.5</v>
      </c>
      <c r="AC575" s="328">
        <f t="shared" si="198"/>
        <v>0.5</v>
      </c>
    </row>
    <row r="576" spans="1:29">
      <c r="A576" s="318"/>
      <c r="B576" s="319"/>
      <c r="C576" s="318"/>
      <c r="D576" s="318"/>
      <c r="E576" s="319"/>
      <c r="F576" s="336"/>
      <c r="G576" s="318" t="s">
        <v>1028</v>
      </c>
      <c r="H576" s="318">
        <v>1.7</v>
      </c>
      <c r="I576" s="318">
        <v>1</v>
      </c>
      <c r="J576" s="318">
        <f t="shared" si="199"/>
        <v>1</v>
      </c>
      <c r="K576" s="318">
        <f t="shared" si="193"/>
        <v>1.7</v>
      </c>
      <c r="L576" s="318">
        <v>1540</v>
      </c>
      <c r="M576" s="318">
        <v>130</v>
      </c>
      <c r="N576" s="318">
        <v>1</v>
      </c>
      <c r="O576" s="619">
        <f t="shared" si="194"/>
        <v>1.7</v>
      </c>
      <c r="P576" s="750">
        <v>1</v>
      </c>
      <c r="Q576" s="750"/>
      <c r="R576" s="337">
        <v>1</v>
      </c>
      <c r="S576" s="348">
        <f t="shared" si="191"/>
        <v>1.7</v>
      </c>
      <c r="T576" s="319"/>
      <c r="V576" s="328">
        <v>1.69</v>
      </c>
      <c r="W576" s="320">
        <v>1</v>
      </c>
      <c r="X576" s="348">
        <f t="shared" si="195"/>
        <v>1.69</v>
      </c>
      <c r="Y576" s="330">
        <v>1</v>
      </c>
      <c r="Z576" s="348">
        <f t="shared" si="196"/>
        <v>1.69</v>
      </c>
      <c r="AB576" s="328">
        <f t="shared" si="197"/>
        <v>-1.0000000000000009E-2</v>
      </c>
      <c r="AC576" s="328">
        <f t="shared" si="198"/>
        <v>-1.0000000000000009E-2</v>
      </c>
    </row>
    <row r="577" spans="1:29">
      <c r="A577" s="318"/>
      <c r="B577" s="319"/>
      <c r="C577" s="318"/>
      <c r="D577" s="318"/>
      <c r="E577" s="319"/>
      <c r="F577" s="319"/>
      <c r="G577" s="318"/>
      <c r="H577" s="318"/>
      <c r="I577" s="318"/>
      <c r="J577" s="382" t="s">
        <v>389</v>
      </c>
      <c r="K577" s="321">
        <f>SUM(K531:K576)</f>
        <v>175.75000000000003</v>
      </c>
      <c r="L577" s="318"/>
      <c r="M577" s="318"/>
      <c r="N577" s="382" t="s">
        <v>389</v>
      </c>
      <c r="O577" s="748">
        <f>SUM(O531:O576)</f>
        <v>175.75000000000003</v>
      </c>
      <c r="P577" s="751" t="s">
        <v>389</v>
      </c>
      <c r="Q577" s="751"/>
      <c r="R577" s="382"/>
      <c r="S577" s="321">
        <f>SUM(S531:S576)</f>
        <v>175.75000000000003</v>
      </c>
      <c r="T577" s="319"/>
      <c r="V577" s="328"/>
      <c r="W577" s="321" t="s">
        <v>389</v>
      </c>
      <c r="X577" s="338">
        <f>SUM(X531:X576)</f>
        <v>166.51000000000005</v>
      </c>
      <c r="Y577" s="321" t="s">
        <v>389</v>
      </c>
      <c r="Z577" s="321">
        <f>SUM(Z531:Z576)</f>
        <v>162.02000000000004</v>
      </c>
      <c r="AB577" s="328"/>
      <c r="AC577" s="328"/>
    </row>
    <row r="578" spans="1:29" ht="6.75" customHeight="1">
      <c r="A578" s="316"/>
      <c r="B578" s="317"/>
      <c r="C578" s="316"/>
      <c r="D578" s="316"/>
      <c r="E578" s="317"/>
      <c r="F578" s="317"/>
      <c r="G578" s="316"/>
      <c r="H578" s="316"/>
      <c r="I578" s="316"/>
      <c r="J578" s="316"/>
      <c r="K578" s="316"/>
      <c r="L578" s="316"/>
      <c r="M578" s="316"/>
      <c r="N578" s="316"/>
      <c r="O578" s="749"/>
      <c r="P578" s="633"/>
      <c r="Q578" s="633"/>
      <c r="R578" s="949"/>
      <c r="S578" s="339"/>
      <c r="T578" s="317"/>
      <c r="V578" s="332"/>
      <c r="W578" s="316"/>
      <c r="X578" s="339"/>
      <c r="Y578" s="316"/>
      <c r="Z578" s="339"/>
      <c r="AB578" s="332"/>
      <c r="AC578" s="332"/>
    </row>
    <row r="579" spans="1:29">
      <c r="A579" s="318">
        <v>15</v>
      </c>
      <c r="B579" s="319" t="s">
        <v>383</v>
      </c>
      <c r="C579" s="318">
        <v>600</v>
      </c>
      <c r="D579" s="318">
        <v>20</v>
      </c>
      <c r="E579" s="319">
        <v>1</v>
      </c>
      <c r="F579" s="336"/>
      <c r="G579" s="318" t="s">
        <v>1029</v>
      </c>
      <c r="H579" s="318">
        <v>2.87</v>
      </c>
      <c r="I579" s="318">
        <v>1</v>
      </c>
      <c r="J579" s="318">
        <f>IF(N579&gt;0,1,0)</f>
        <v>1</v>
      </c>
      <c r="K579" s="318">
        <f>H579*J579</f>
        <v>2.87</v>
      </c>
      <c r="L579" s="350" t="s">
        <v>2693</v>
      </c>
      <c r="M579" s="350" t="s">
        <v>2712</v>
      </c>
      <c r="N579" s="318">
        <v>1</v>
      </c>
      <c r="O579" s="619">
        <f>H579*N579</f>
        <v>2.87</v>
      </c>
      <c r="P579" s="750">
        <v>1</v>
      </c>
      <c r="Q579" s="750"/>
      <c r="R579" s="337">
        <v>1</v>
      </c>
      <c r="S579" s="348">
        <f>H579*R579</f>
        <v>2.87</v>
      </c>
      <c r="T579" s="319"/>
      <c r="V579" s="328">
        <f>2.355</f>
        <v>2.355</v>
      </c>
      <c r="W579" s="458">
        <f>2/3</f>
        <v>0.66666666666666663</v>
      </c>
      <c r="X579" s="348">
        <f>V579*W579</f>
        <v>1.5699999999999998</v>
      </c>
      <c r="Y579" s="330">
        <f>2/3</f>
        <v>0.66666666666666663</v>
      </c>
      <c r="Z579" s="348">
        <f>V579*Y579</f>
        <v>1.5699999999999998</v>
      </c>
      <c r="AB579" s="328">
        <f>X579-O579</f>
        <v>-1.3000000000000003</v>
      </c>
      <c r="AC579" s="328">
        <f>Z579-S579</f>
        <v>-1.3000000000000003</v>
      </c>
    </row>
    <row r="580" spans="1:29">
      <c r="A580" s="318"/>
      <c r="B580" s="319"/>
      <c r="C580" s="318"/>
      <c r="D580" s="318"/>
      <c r="E580" s="319"/>
      <c r="F580" s="319"/>
      <c r="G580" s="318" t="s">
        <v>1030</v>
      </c>
      <c r="H580" s="318">
        <v>4.49</v>
      </c>
      <c r="I580" s="318">
        <v>1</v>
      </c>
      <c r="J580" s="318">
        <f>IF(N580&gt;0,1,0)</f>
        <v>1</v>
      </c>
      <c r="K580" s="318">
        <f>H580*J580</f>
        <v>4.49</v>
      </c>
      <c r="L580" s="318">
        <v>1458</v>
      </c>
      <c r="M580" s="318">
        <v>1112</v>
      </c>
      <c r="N580" s="318">
        <v>1</v>
      </c>
      <c r="O580" s="619">
        <f>H580*N580</f>
        <v>4.49</v>
      </c>
      <c r="P580" s="755">
        <v>1</v>
      </c>
      <c r="Q580" s="755"/>
      <c r="R580" s="341">
        <v>1</v>
      </c>
      <c r="S580" s="348">
        <f>H580*R580</f>
        <v>4.49</v>
      </c>
      <c r="T580" s="319"/>
      <c r="V580" s="328">
        <v>4.99</v>
      </c>
      <c r="W580" s="320">
        <v>1</v>
      </c>
      <c r="X580" s="348">
        <f>V580*W580</f>
        <v>4.99</v>
      </c>
      <c r="Y580" s="320"/>
      <c r="Z580" s="348">
        <f>V580*Y580</f>
        <v>0</v>
      </c>
      <c r="AB580" s="328">
        <f>X580-O580</f>
        <v>0.5</v>
      </c>
      <c r="AC580" s="328">
        <f>Z580-S580</f>
        <v>-4.49</v>
      </c>
    </row>
    <row r="581" spans="1:29" ht="15" thickBot="1">
      <c r="A581" s="318"/>
      <c r="B581" s="319"/>
      <c r="C581" s="318"/>
      <c r="D581" s="318"/>
      <c r="E581" s="319"/>
      <c r="F581" s="319"/>
      <c r="G581" s="318" t="s">
        <v>1031</v>
      </c>
      <c r="H581" s="318">
        <v>4.49</v>
      </c>
      <c r="I581" s="318">
        <v>1</v>
      </c>
      <c r="J581" s="318">
        <f>IF(N581&gt;0,1,0)</f>
        <v>1</v>
      </c>
      <c r="K581" s="318">
        <f>H581*J581</f>
        <v>4.49</v>
      </c>
      <c r="L581" s="318">
        <v>1469</v>
      </c>
      <c r="M581" s="318">
        <v>115</v>
      </c>
      <c r="N581" s="318">
        <v>1</v>
      </c>
      <c r="O581" s="619">
        <f>H581*N581</f>
        <v>4.49</v>
      </c>
      <c r="P581" s="755">
        <v>1</v>
      </c>
      <c r="Q581" s="755"/>
      <c r="R581" s="593">
        <v>1</v>
      </c>
      <c r="S581" s="348">
        <f t="shared" ref="S581:S623" si="201">H581*R581</f>
        <v>4.49</v>
      </c>
      <c r="T581" s="319"/>
      <c r="V581" s="328">
        <f t="shared" ref="V581:V596" si="202">4.49</f>
        <v>4.49</v>
      </c>
      <c r="W581" s="320">
        <v>1</v>
      </c>
      <c r="X581" s="348">
        <f>V581*W581</f>
        <v>4.49</v>
      </c>
      <c r="Y581" s="330"/>
      <c r="Z581" s="348">
        <f>V581*Y581</f>
        <v>0</v>
      </c>
      <c r="AB581" s="328">
        <f>X581-O581</f>
        <v>0</v>
      </c>
      <c r="AC581" s="328">
        <f>Z581-S581</f>
        <v>-4.49</v>
      </c>
    </row>
    <row r="582" spans="1:29" ht="21.6" thickTop="1" thickBot="1">
      <c r="A582" s="318"/>
      <c r="B582" s="319"/>
      <c r="C582" s="318"/>
      <c r="D582" s="318"/>
      <c r="E582" s="319"/>
      <c r="F582" s="336" t="s">
        <v>604</v>
      </c>
      <c r="G582" s="318" t="s">
        <v>1032</v>
      </c>
      <c r="H582" s="318">
        <v>4.8</v>
      </c>
      <c r="I582" s="318">
        <v>1</v>
      </c>
      <c r="J582" s="318">
        <v>1</v>
      </c>
      <c r="K582" s="318">
        <f>H582*J582</f>
        <v>4.8</v>
      </c>
      <c r="L582" s="350" t="s">
        <v>3229</v>
      </c>
      <c r="M582" s="350" t="s">
        <v>3243</v>
      </c>
      <c r="N582" s="318">
        <v>1</v>
      </c>
      <c r="O582" s="619">
        <f>H582*N582</f>
        <v>4.8</v>
      </c>
      <c r="P582" s="750">
        <v>1</v>
      </c>
      <c r="Q582" s="747"/>
      <c r="R582" s="624">
        <v>1</v>
      </c>
      <c r="S582" s="348">
        <f t="shared" si="201"/>
        <v>4.8</v>
      </c>
      <c r="T582" s="319" t="s">
        <v>3451</v>
      </c>
      <c r="V582" s="328">
        <f t="shared" si="202"/>
        <v>4.49</v>
      </c>
      <c r="W582" s="320"/>
      <c r="X582" s="348">
        <f>V582*W582</f>
        <v>0</v>
      </c>
      <c r="Y582" s="330"/>
      <c r="Z582" s="348">
        <f>V582*Y582</f>
        <v>0</v>
      </c>
      <c r="AB582" s="328">
        <f>X582-O582</f>
        <v>-4.8</v>
      </c>
      <c r="AC582" s="328">
        <f>Z582-S582</f>
        <v>-4.8</v>
      </c>
    </row>
    <row r="583" spans="1:29" ht="15" thickTop="1">
      <c r="A583" s="584"/>
      <c r="B583" s="585"/>
      <c r="C583" s="584"/>
      <c r="D583" s="584"/>
      <c r="E583" s="585"/>
      <c r="F583" s="585" t="s">
        <v>384</v>
      </c>
      <c r="G583" s="584"/>
      <c r="H583" s="584"/>
      <c r="I583" s="584"/>
      <c r="J583" s="584"/>
      <c r="K583" s="584"/>
      <c r="L583" s="584"/>
      <c r="M583" s="584"/>
      <c r="N583" s="584"/>
      <c r="O583" s="631" t="s">
        <v>2321</v>
      </c>
      <c r="P583" s="750"/>
      <c r="Q583" s="750"/>
      <c r="R583" s="337"/>
      <c r="S583" s="348">
        <f t="shared" si="201"/>
        <v>0</v>
      </c>
      <c r="T583" s="1024" t="s">
        <v>561</v>
      </c>
      <c r="V583" s="328"/>
      <c r="W583" s="318"/>
      <c r="X583" s="384" t="s">
        <v>2321</v>
      </c>
      <c r="Y583" s="337"/>
      <c r="Z583" s="350" t="s">
        <v>2321</v>
      </c>
      <c r="AB583" s="328"/>
      <c r="AC583" s="328"/>
    </row>
    <row r="584" spans="1:29">
      <c r="A584" s="584"/>
      <c r="B584" s="585"/>
      <c r="C584" s="584"/>
      <c r="D584" s="584"/>
      <c r="E584" s="585"/>
      <c r="F584" s="585" t="s">
        <v>384</v>
      </c>
      <c r="G584" s="584"/>
      <c r="H584" s="584"/>
      <c r="I584" s="584"/>
      <c r="J584" s="584"/>
      <c r="K584" s="584"/>
      <c r="L584" s="584"/>
      <c r="M584" s="584"/>
      <c r="N584" s="584"/>
      <c r="O584" s="631" t="s">
        <v>2321</v>
      </c>
      <c r="P584" s="750"/>
      <c r="Q584" s="750"/>
      <c r="R584" s="337"/>
      <c r="S584" s="348">
        <f t="shared" si="201"/>
        <v>0</v>
      </c>
      <c r="T584" s="1025"/>
      <c r="V584" s="328"/>
      <c r="W584" s="318"/>
      <c r="X584" s="384" t="s">
        <v>2321</v>
      </c>
      <c r="Y584" s="337"/>
      <c r="Z584" s="350" t="s">
        <v>2321</v>
      </c>
      <c r="AB584" s="328"/>
      <c r="AC584" s="328"/>
    </row>
    <row r="585" spans="1:29">
      <c r="A585" s="584"/>
      <c r="B585" s="585"/>
      <c r="C585" s="584"/>
      <c r="D585" s="584"/>
      <c r="E585" s="585"/>
      <c r="F585" s="585" t="s">
        <v>384</v>
      </c>
      <c r="G585" s="584"/>
      <c r="H585" s="584"/>
      <c r="I585" s="584"/>
      <c r="J585" s="584"/>
      <c r="K585" s="584"/>
      <c r="L585" s="584"/>
      <c r="M585" s="584"/>
      <c r="N585" s="584"/>
      <c r="O585" s="631" t="s">
        <v>2321</v>
      </c>
      <c r="P585" s="750"/>
      <c r="Q585" s="750"/>
      <c r="R585" s="337"/>
      <c r="S585" s="348">
        <f t="shared" si="201"/>
        <v>0</v>
      </c>
      <c r="T585" s="1025"/>
      <c r="V585" s="328"/>
      <c r="W585" s="318"/>
      <c r="X585" s="384" t="s">
        <v>2321</v>
      </c>
      <c r="Y585" s="337"/>
      <c r="Z585" s="350" t="s">
        <v>2321</v>
      </c>
      <c r="AB585" s="328"/>
      <c r="AC585" s="328"/>
    </row>
    <row r="586" spans="1:29" ht="15" thickBot="1">
      <c r="A586" s="584"/>
      <c r="B586" s="585"/>
      <c r="C586" s="584"/>
      <c r="D586" s="584"/>
      <c r="E586" s="585"/>
      <c r="F586" s="585" t="s">
        <v>384</v>
      </c>
      <c r="G586" s="584"/>
      <c r="H586" s="584"/>
      <c r="I586" s="584"/>
      <c r="J586" s="584"/>
      <c r="K586" s="584"/>
      <c r="L586" s="584"/>
      <c r="M586" s="584"/>
      <c r="N586" s="584"/>
      <c r="O586" s="631" t="s">
        <v>2321</v>
      </c>
      <c r="P586" s="750"/>
      <c r="Q586" s="750"/>
      <c r="R586" s="592"/>
      <c r="S586" s="348">
        <f t="shared" si="201"/>
        <v>0</v>
      </c>
      <c r="T586" s="1026"/>
      <c r="V586" s="328"/>
      <c r="W586" s="318"/>
      <c r="X586" s="384" t="s">
        <v>2321</v>
      </c>
      <c r="Y586" s="337"/>
      <c r="Z586" s="350" t="s">
        <v>2321</v>
      </c>
      <c r="AB586" s="328"/>
      <c r="AC586" s="328"/>
    </row>
    <row r="587" spans="1:29" ht="14.4" customHeight="1" thickTop="1" thickBot="1">
      <c r="A587" s="318"/>
      <c r="B587" s="319"/>
      <c r="C587" s="318"/>
      <c r="D587" s="318"/>
      <c r="E587" s="319"/>
      <c r="F587" s="336" t="s">
        <v>604</v>
      </c>
      <c r="G587" s="318" t="s">
        <v>1033</v>
      </c>
      <c r="H587" s="318">
        <v>4.8</v>
      </c>
      <c r="I587" s="318">
        <v>1</v>
      </c>
      <c r="J587" s="318">
        <v>1</v>
      </c>
      <c r="K587" s="318">
        <f t="shared" ref="K587:K623" si="203">H587*J587</f>
        <v>4.8</v>
      </c>
      <c r="L587" s="350" t="s">
        <v>3261</v>
      </c>
      <c r="M587" s="350" t="s">
        <v>3244</v>
      </c>
      <c r="N587" s="318">
        <v>1</v>
      </c>
      <c r="O587" s="619">
        <f t="shared" ref="O587:O623" si="204">H587*N587</f>
        <v>4.8</v>
      </c>
      <c r="P587" s="750">
        <v>1</v>
      </c>
      <c r="Q587" s="747"/>
      <c r="R587" s="624">
        <v>1</v>
      </c>
      <c r="S587" s="348">
        <f t="shared" si="201"/>
        <v>4.8</v>
      </c>
      <c r="T587" s="319" t="s">
        <v>3451</v>
      </c>
      <c r="V587" s="328">
        <f t="shared" si="202"/>
        <v>4.49</v>
      </c>
      <c r="W587" s="320"/>
      <c r="X587" s="348">
        <f t="shared" ref="X587:X623" si="205">V587*W587</f>
        <v>0</v>
      </c>
      <c r="Y587" s="330"/>
      <c r="Z587" s="348">
        <f t="shared" ref="Z587:Z623" si="206">V587*Y587</f>
        <v>0</v>
      </c>
      <c r="AB587" s="328">
        <f t="shared" ref="AB587:AB623" si="207">X587-O587</f>
        <v>-4.8</v>
      </c>
      <c r="AC587" s="328">
        <f t="shared" ref="AC587:AC623" si="208">Z587-S587</f>
        <v>-4.8</v>
      </c>
    </row>
    <row r="588" spans="1:29" ht="15" thickTop="1">
      <c r="A588" s="318"/>
      <c r="B588" s="319"/>
      <c r="C588" s="318"/>
      <c r="D588" s="318"/>
      <c r="E588" s="319"/>
      <c r="F588" s="336"/>
      <c r="G588" s="318" t="s">
        <v>1034</v>
      </c>
      <c r="H588" s="318">
        <v>4.49</v>
      </c>
      <c r="I588" s="318">
        <v>1</v>
      </c>
      <c r="J588" s="318">
        <f t="shared" ref="J588:J623" si="209">IF(N588&gt;0,1,0)</f>
        <v>1</v>
      </c>
      <c r="K588" s="318">
        <f t="shared" si="203"/>
        <v>4.49</v>
      </c>
      <c r="L588" s="318">
        <v>1465</v>
      </c>
      <c r="M588" s="318">
        <v>114</v>
      </c>
      <c r="N588" s="318">
        <v>1</v>
      </c>
      <c r="O588" s="619">
        <f t="shared" si="204"/>
        <v>4.49</v>
      </c>
      <c r="P588" s="750">
        <v>1</v>
      </c>
      <c r="Q588" s="750"/>
      <c r="R588" s="337">
        <v>1</v>
      </c>
      <c r="S588" s="348">
        <f t="shared" si="201"/>
        <v>4.49</v>
      </c>
      <c r="T588" s="319"/>
      <c r="V588" s="328">
        <f t="shared" si="202"/>
        <v>4.49</v>
      </c>
      <c r="W588" s="320">
        <v>1</v>
      </c>
      <c r="X588" s="348">
        <f t="shared" si="205"/>
        <v>4.49</v>
      </c>
      <c r="Y588" s="330">
        <v>1</v>
      </c>
      <c r="Z588" s="348">
        <f t="shared" si="206"/>
        <v>4.49</v>
      </c>
      <c r="AB588" s="328">
        <f t="shared" si="207"/>
        <v>0</v>
      </c>
      <c r="AC588" s="328">
        <f t="shared" si="208"/>
        <v>0</v>
      </c>
    </row>
    <row r="589" spans="1:29">
      <c r="A589" s="318"/>
      <c r="B589" s="319"/>
      <c r="C589" s="318"/>
      <c r="D589" s="318"/>
      <c r="E589" s="319"/>
      <c r="F589" s="319"/>
      <c r="G589" s="318" t="s">
        <v>1035</v>
      </c>
      <c r="H589" s="318">
        <v>4.49</v>
      </c>
      <c r="I589" s="318">
        <v>1</v>
      </c>
      <c r="J589" s="318">
        <f t="shared" si="209"/>
        <v>1</v>
      </c>
      <c r="K589" s="318">
        <f t="shared" si="203"/>
        <v>4.49</v>
      </c>
      <c r="L589" s="318">
        <v>1469</v>
      </c>
      <c r="M589" s="318">
        <v>115</v>
      </c>
      <c r="N589" s="318">
        <v>1</v>
      </c>
      <c r="O589" s="619">
        <f t="shared" si="204"/>
        <v>4.49</v>
      </c>
      <c r="P589" s="750">
        <v>1</v>
      </c>
      <c r="Q589" s="750"/>
      <c r="R589" s="337">
        <v>1</v>
      </c>
      <c r="S589" s="348">
        <f t="shared" si="201"/>
        <v>4.49</v>
      </c>
      <c r="T589" s="319"/>
      <c r="V589" s="328">
        <f t="shared" si="202"/>
        <v>4.49</v>
      </c>
      <c r="W589" s="320">
        <v>1</v>
      </c>
      <c r="X589" s="348">
        <f t="shared" si="205"/>
        <v>4.49</v>
      </c>
      <c r="Y589" s="330">
        <v>1</v>
      </c>
      <c r="Z589" s="348">
        <f t="shared" si="206"/>
        <v>4.49</v>
      </c>
      <c r="AB589" s="328">
        <f t="shared" si="207"/>
        <v>0</v>
      </c>
      <c r="AC589" s="328">
        <f t="shared" si="208"/>
        <v>0</v>
      </c>
    </row>
    <row r="590" spans="1:29">
      <c r="A590" s="318"/>
      <c r="B590" s="319"/>
      <c r="C590" s="318"/>
      <c r="D590" s="318"/>
      <c r="E590" s="319"/>
      <c r="F590" s="319"/>
      <c r="G590" s="318" t="s">
        <v>1036</v>
      </c>
      <c r="H590" s="318">
        <v>4.49</v>
      </c>
      <c r="I590" s="318">
        <v>1</v>
      </c>
      <c r="J590" s="318">
        <f t="shared" si="209"/>
        <v>1</v>
      </c>
      <c r="K590" s="318">
        <f t="shared" si="203"/>
        <v>4.49</v>
      </c>
      <c r="L590" s="318">
        <v>1469</v>
      </c>
      <c r="M590" s="318">
        <v>115</v>
      </c>
      <c r="N590" s="318">
        <v>1</v>
      </c>
      <c r="O590" s="619">
        <f t="shared" si="204"/>
        <v>4.49</v>
      </c>
      <c r="P590" s="750">
        <v>1</v>
      </c>
      <c r="Q590" s="750"/>
      <c r="R590" s="337">
        <v>1</v>
      </c>
      <c r="S590" s="348">
        <f t="shared" si="201"/>
        <v>4.49</v>
      </c>
      <c r="T590" s="319"/>
      <c r="V590" s="328">
        <f t="shared" si="202"/>
        <v>4.49</v>
      </c>
      <c r="W590" s="320">
        <v>1</v>
      </c>
      <c r="X590" s="348">
        <f t="shared" si="205"/>
        <v>4.49</v>
      </c>
      <c r="Y590" s="330">
        <v>1</v>
      </c>
      <c r="Z590" s="348">
        <f t="shared" si="206"/>
        <v>4.49</v>
      </c>
      <c r="AB590" s="328">
        <f t="shared" si="207"/>
        <v>0</v>
      </c>
      <c r="AC590" s="328">
        <f t="shared" si="208"/>
        <v>0</v>
      </c>
    </row>
    <row r="591" spans="1:29">
      <c r="A591" s="318"/>
      <c r="B591" s="319"/>
      <c r="C591" s="318"/>
      <c r="D591" s="318"/>
      <c r="E591" s="319"/>
      <c r="F591" s="319"/>
      <c r="G591" s="318" t="s">
        <v>1037</v>
      </c>
      <c r="H591" s="318">
        <v>4.49</v>
      </c>
      <c r="I591" s="318">
        <v>1</v>
      </c>
      <c r="J591" s="318">
        <f t="shared" si="209"/>
        <v>1</v>
      </c>
      <c r="K591" s="318">
        <f t="shared" si="203"/>
        <v>4.49</v>
      </c>
      <c r="L591" s="318">
        <v>1472</v>
      </c>
      <c r="M591" s="318">
        <v>171</v>
      </c>
      <c r="N591" s="318">
        <v>1</v>
      </c>
      <c r="O591" s="619">
        <f t="shared" si="204"/>
        <v>4.49</v>
      </c>
      <c r="P591" s="750">
        <v>1</v>
      </c>
      <c r="Q591" s="750"/>
      <c r="R591" s="337">
        <v>1</v>
      </c>
      <c r="S591" s="348">
        <f t="shared" si="201"/>
        <v>4.49</v>
      </c>
      <c r="T591" s="319"/>
      <c r="V591" s="328">
        <f t="shared" si="202"/>
        <v>4.49</v>
      </c>
      <c r="W591" s="320">
        <v>1</v>
      </c>
      <c r="X591" s="348">
        <f t="shared" si="205"/>
        <v>4.49</v>
      </c>
      <c r="Y591" s="330">
        <v>1</v>
      </c>
      <c r="Z591" s="348">
        <f t="shared" si="206"/>
        <v>4.49</v>
      </c>
      <c r="AB591" s="328">
        <f t="shared" si="207"/>
        <v>0</v>
      </c>
      <c r="AC591" s="328">
        <f t="shared" si="208"/>
        <v>0</v>
      </c>
    </row>
    <row r="592" spans="1:29">
      <c r="A592" s="318"/>
      <c r="B592" s="319"/>
      <c r="C592" s="318"/>
      <c r="D592" s="318"/>
      <c r="E592" s="319"/>
      <c r="F592" s="319"/>
      <c r="G592" s="318" t="s">
        <v>1038</v>
      </c>
      <c r="H592" s="318">
        <v>4.49</v>
      </c>
      <c r="I592" s="318">
        <v>1</v>
      </c>
      <c r="J592" s="318">
        <f t="shared" si="209"/>
        <v>1</v>
      </c>
      <c r="K592" s="318">
        <f t="shared" si="203"/>
        <v>4.49</v>
      </c>
      <c r="L592" s="318">
        <v>1472</v>
      </c>
      <c r="M592" s="318">
        <v>171</v>
      </c>
      <c r="N592" s="318">
        <v>1</v>
      </c>
      <c r="O592" s="619">
        <f t="shared" si="204"/>
        <v>4.49</v>
      </c>
      <c r="P592" s="750">
        <v>1</v>
      </c>
      <c r="Q592" s="750"/>
      <c r="R592" s="337">
        <v>1</v>
      </c>
      <c r="S592" s="348">
        <f t="shared" si="201"/>
        <v>4.49</v>
      </c>
      <c r="T592" s="319"/>
      <c r="V592" s="328">
        <f t="shared" si="202"/>
        <v>4.49</v>
      </c>
      <c r="W592" s="320">
        <v>1</v>
      </c>
      <c r="X592" s="348">
        <f t="shared" si="205"/>
        <v>4.49</v>
      </c>
      <c r="Y592" s="330">
        <v>1</v>
      </c>
      <c r="Z592" s="348">
        <f t="shared" si="206"/>
        <v>4.49</v>
      </c>
      <c r="AB592" s="328">
        <f t="shared" si="207"/>
        <v>0</v>
      </c>
      <c r="AC592" s="328">
        <f t="shared" si="208"/>
        <v>0</v>
      </c>
    </row>
    <row r="593" spans="1:29">
      <c r="A593" s="318"/>
      <c r="B593" s="319"/>
      <c r="C593" s="318"/>
      <c r="D593" s="318"/>
      <c r="E593" s="319"/>
      <c r="F593" s="336"/>
      <c r="G593" s="318" t="s">
        <v>1039</v>
      </c>
      <c r="H593" s="318">
        <v>4.49</v>
      </c>
      <c r="I593" s="318">
        <v>1</v>
      </c>
      <c r="J593" s="318">
        <f t="shared" si="209"/>
        <v>1</v>
      </c>
      <c r="K593" s="318">
        <f t="shared" si="203"/>
        <v>4.49</v>
      </c>
      <c r="L593" s="318">
        <v>1472</v>
      </c>
      <c r="M593" s="318">
        <v>171</v>
      </c>
      <c r="N593" s="318">
        <v>1</v>
      </c>
      <c r="O593" s="619">
        <f t="shared" si="204"/>
        <v>4.49</v>
      </c>
      <c r="P593" s="750">
        <v>1</v>
      </c>
      <c r="Q593" s="750"/>
      <c r="R593" s="337">
        <v>1</v>
      </c>
      <c r="S593" s="348">
        <f t="shared" si="201"/>
        <v>4.49</v>
      </c>
      <c r="T593" s="319"/>
      <c r="V593" s="328">
        <f t="shared" si="202"/>
        <v>4.49</v>
      </c>
      <c r="W593" s="320">
        <v>1</v>
      </c>
      <c r="X593" s="348">
        <f t="shared" si="205"/>
        <v>4.49</v>
      </c>
      <c r="Y593" s="330">
        <v>1</v>
      </c>
      <c r="Z593" s="348">
        <f t="shared" si="206"/>
        <v>4.49</v>
      </c>
      <c r="AB593" s="328">
        <f t="shared" si="207"/>
        <v>0</v>
      </c>
      <c r="AC593" s="328">
        <f t="shared" si="208"/>
        <v>0</v>
      </c>
    </row>
    <row r="594" spans="1:29">
      <c r="A594" s="318"/>
      <c r="B594" s="319"/>
      <c r="C594" s="318"/>
      <c r="D594" s="318"/>
      <c r="E594" s="319"/>
      <c r="F594" s="319"/>
      <c r="G594" s="318" t="s">
        <v>1040</v>
      </c>
      <c r="H594" s="318">
        <v>4.49</v>
      </c>
      <c r="I594" s="318">
        <v>1</v>
      </c>
      <c r="J594" s="318">
        <f t="shared" si="209"/>
        <v>1</v>
      </c>
      <c r="K594" s="318">
        <f t="shared" si="203"/>
        <v>4.49</v>
      </c>
      <c r="L594" s="318" t="s">
        <v>299</v>
      </c>
      <c r="M594" s="318" t="s">
        <v>308</v>
      </c>
      <c r="N594" s="318">
        <v>1</v>
      </c>
      <c r="O594" s="619">
        <f t="shared" si="204"/>
        <v>4.49</v>
      </c>
      <c r="P594" s="750">
        <v>1</v>
      </c>
      <c r="Q594" s="750"/>
      <c r="R594" s="337">
        <v>1</v>
      </c>
      <c r="S594" s="348">
        <f t="shared" si="201"/>
        <v>4.49</v>
      </c>
      <c r="T594" s="319"/>
      <c r="V594" s="328">
        <f t="shared" si="202"/>
        <v>4.49</v>
      </c>
      <c r="W594" s="320">
        <v>1</v>
      </c>
      <c r="X594" s="348">
        <f t="shared" si="205"/>
        <v>4.49</v>
      </c>
      <c r="Y594" s="330">
        <v>1</v>
      </c>
      <c r="Z594" s="348">
        <f t="shared" si="206"/>
        <v>4.49</v>
      </c>
      <c r="AB594" s="328">
        <f t="shared" si="207"/>
        <v>0</v>
      </c>
      <c r="AC594" s="328">
        <f t="shared" si="208"/>
        <v>0</v>
      </c>
    </row>
    <row r="595" spans="1:29">
      <c r="A595" s="318"/>
      <c r="B595" s="319"/>
      <c r="C595" s="318"/>
      <c r="D595" s="318"/>
      <c r="E595" s="319"/>
      <c r="F595" s="319"/>
      <c r="G595" s="318" t="s">
        <v>1041</v>
      </c>
      <c r="H595" s="318">
        <v>4.49</v>
      </c>
      <c r="I595" s="318">
        <v>1</v>
      </c>
      <c r="J595" s="318">
        <f t="shared" si="209"/>
        <v>1</v>
      </c>
      <c r="K595" s="318">
        <f t="shared" si="203"/>
        <v>4.49</v>
      </c>
      <c r="L595" s="318">
        <v>1474</v>
      </c>
      <c r="M595" s="318">
        <v>118</v>
      </c>
      <c r="N595" s="318">
        <v>1</v>
      </c>
      <c r="O595" s="619">
        <f t="shared" si="204"/>
        <v>4.49</v>
      </c>
      <c r="P595" s="750">
        <v>1</v>
      </c>
      <c r="Q595" s="750"/>
      <c r="R595" s="337">
        <v>1</v>
      </c>
      <c r="S595" s="348">
        <f t="shared" si="201"/>
        <v>4.49</v>
      </c>
      <c r="T595" s="319"/>
      <c r="V595" s="328">
        <f t="shared" si="202"/>
        <v>4.49</v>
      </c>
      <c r="W595" s="320">
        <v>1</v>
      </c>
      <c r="X595" s="348">
        <f t="shared" si="205"/>
        <v>4.49</v>
      </c>
      <c r="Y595" s="330">
        <v>1</v>
      </c>
      <c r="Z595" s="348">
        <f t="shared" si="206"/>
        <v>4.49</v>
      </c>
      <c r="AB595" s="328">
        <f t="shared" si="207"/>
        <v>0</v>
      </c>
      <c r="AC595" s="328">
        <f t="shared" si="208"/>
        <v>0</v>
      </c>
    </row>
    <row r="596" spans="1:29" ht="15" thickBot="1">
      <c r="A596" s="318"/>
      <c r="B596" s="319"/>
      <c r="C596" s="318"/>
      <c r="D596" s="318"/>
      <c r="E596" s="319"/>
      <c r="F596" s="319"/>
      <c r="G596" s="318" t="s">
        <v>1042</v>
      </c>
      <c r="H596" s="318">
        <v>4.49</v>
      </c>
      <c r="I596" s="318">
        <v>1</v>
      </c>
      <c r="J596" s="318">
        <f t="shared" si="209"/>
        <v>1</v>
      </c>
      <c r="K596" s="318">
        <f t="shared" si="203"/>
        <v>4.49</v>
      </c>
      <c r="L596" s="318">
        <v>1474</v>
      </c>
      <c r="M596" s="318">
        <v>118</v>
      </c>
      <c r="N596" s="318">
        <v>1</v>
      </c>
      <c r="O596" s="619">
        <f t="shared" si="204"/>
        <v>4.49</v>
      </c>
      <c r="P596" s="750">
        <v>1</v>
      </c>
      <c r="Q596" s="750"/>
      <c r="R596" s="592">
        <v>1</v>
      </c>
      <c r="S596" s="348">
        <f t="shared" si="201"/>
        <v>4.49</v>
      </c>
      <c r="T596" s="319"/>
      <c r="V596" s="328">
        <f t="shared" si="202"/>
        <v>4.49</v>
      </c>
      <c r="W596" s="320"/>
      <c r="X596" s="455">
        <f t="shared" si="205"/>
        <v>0</v>
      </c>
      <c r="Y596" s="330"/>
      <c r="Z596" s="455">
        <f t="shared" si="206"/>
        <v>0</v>
      </c>
      <c r="AB596" s="328">
        <f t="shared" si="207"/>
        <v>-4.49</v>
      </c>
      <c r="AC596" s="328">
        <f t="shared" si="208"/>
        <v>-4.49</v>
      </c>
    </row>
    <row r="597" spans="1:29" ht="15.6" thickTop="1" thickBot="1">
      <c r="A597" s="318"/>
      <c r="B597" s="319"/>
      <c r="C597" s="318"/>
      <c r="D597" s="318"/>
      <c r="E597" s="319"/>
      <c r="F597" s="336" t="s">
        <v>558</v>
      </c>
      <c r="G597" s="318" t="s">
        <v>1043</v>
      </c>
      <c r="H597" s="318">
        <v>4.4400000000000004</v>
      </c>
      <c r="I597" s="318">
        <v>1</v>
      </c>
      <c r="J597" s="318">
        <f t="shared" si="209"/>
        <v>1</v>
      </c>
      <c r="K597" s="318">
        <f t="shared" si="203"/>
        <v>4.4400000000000004</v>
      </c>
      <c r="L597" s="352" t="s">
        <v>2792</v>
      </c>
      <c r="M597" s="350" t="s">
        <v>2860</v>
      </c>
      <c r="N597" s="318">
        <v>1</v>
      </c>
      <c r="O597" s="619">
        <f t="shared" si="204"/>
        <v>4.4400000000000004</v>
      </c>
      <c r="P597" s="755"/>
      <c r="Q597" s="747"/>
      <c r="R597" s="624"/>
      <c r="S597" s="348">
        <f t="shared" si="201"/>
        <v>0</v>
      </c>
      <c r="T597" s="319" t="s">
        <v>3396</v>
      </c>
      <c r="V597" s="328">
        <v>4.226</v>
      </c>
      <c r="W597" s="458">
        <f>2/3</f>
        <v>0.66666666666666663</v>
      </c>
      <c r="X597" s="455">
        <f t="shared" si="205"/>
        <v>2.817333333333333</v>
      </c>
      <c r="Y597" s="330">
        <f>2/3</f>
        <v>0.66666666666666663</v>
      </c>
      <c r="Z597" s="455">
        <f t="shared" si="206"/>
        <v>2.817333333333333</v>
      </c>
      <c r="AB597" s="328">
        <f t="shared" si="207"/>
        <v>-1.6226666666666674</v>
      </c>
      <c r="AC597" s="328">
        <f t="shared" si="208"/>
        <v>2.817333333333333</v>
      </c>
    </row>
    <row r="598" spans="1:29" ht="15.6" thickTop="1" thickBot="1">
      <c r="A598" s="318"/>
      <c r="B598" s="319"/>
      <c r="C598" s="318"/>
      <c r="D598" s="318"/>
      <c r="E598" s="319"/>
      <c r="F598" s="336" t="s">
        <v>558</v>
      </c>
      <c r="G598" s="318" t="s">
        <v>1044</v>
      </c>
      <c r="H598" s="319">
        <v>4.2</v>
      </c>
      <c r="I598" s="318">
        <v>1</v>
      </c>
      <c r="J598" s="318">
        <f t="shared" si="209"/>
        <v>1</v>
      </c>
      <c r="K598" s="318">
        <f t="shared" si="203"/>
        <v>4.2</v>
      </c>
      <c r="L598" s="350" t="s">
        <v>2793</v>
      </c>
      <c r="M598" s="350" t="s">
        <v>2861</v>
      </c>
      <c r="N598" s="318">
        <v>1</v>
      </c>
      <c r="O598" s="619">
        <f t="shared" si="204"/>
        <v>4.2</v>
      </c>
      <c r="P598" s="755"/>
      <c r="Q598" s="747"/>
      <c r="R598" s="624"/>
      <c r="S598" s="348">
        <f t="shared" si="201"/>
        <v>0</v>
      </c>
      <c r="T598" s="319" t="s">
        <v>3396</v>
      </c>
      <c r="V598" s="333">
        <v>4.2009999999999996</v>
      </c>
      <c r="W598" s="320">
        <v>1</v>
      </c>
      <c r="X598" s="348">
        <f t="shared" si="205"/>
        <v>4.2009999999999996</v>
      </c>
      <c r="Y598" s="330"/>
      <c r="Z598" s="348">
        <f t="shared" si="206"/>
        <v>0</v>
      </c>
      <c r="AB598" s="333">
        <f t="shared" si="207"/>
        <v>9.9999999999944578E-4</v>
      </c>
      <c r="AC598" s="333">
        <f t="shared" si="208"/>
        <v>0</v>
      </c>
    </row>
    <row r="599" spans="1:29" ht="15" thickTop="1">
      <c r="A599" s="318"/>
      <c r="B599" s="319"/>
      <c r="C599" s="318"/>
      <c r="D599" s="318"/>
      <c r="E599" s="319"/>
      <c r="F599" s="319"/>
      <c r="G599" s="318" t="s">
        <v>1045</v>
      </c>
      <c r="H599" s="319">
        <v>4.42</v>
      </c>
      <c r="I599" s="318">
        <v>1</v>
      </c>
      <c r="J599" s="318">
        <f t="shared" si="209"/>
        <v>1</v>
      </c>
      <c r="K599" s="318">
        <f t="shared" si="203"/>
        <v>4.42</v>
      </c>
      <c r="L599" s="350" t="s">
        <v>2714</v>
      </c>
      <c r="M599" s="318">
        <v>170</v>
      </c>
      <c r="N599" s="318">
        <v>1</v>
      </c>
      <c r="O599" s="619">
        <f t="shared" si="204"/>
        <v>4.42</v>
      </c>
      <c r="P599" s="755">
        <v>0.67</v>
      </c>
      <c r="Q599" s="750"/>
      <c r="R599" s="337">
        <v>0.67</v>
      </c>
      <c r="S599" s="348">
        <f t="shared" si="201"/>
        <v>2.9614000000000003</v>
      </c>
      <c r="T599" s="319"/>
      <c r="V599" s="333">
        <v>3.802</v>
      </c>
      <c r="W599" s="320">
        <v>1</v>
      </c>
      <c r="X599" s="348">
        <f t="shared" si="205"/>
        <v>3.802</v>
      </c>
      <c r="Y599" s="330">
        <v>0.5</v>
      </c>
      <c r="Z599" s="348">
        <f t="shared" si="206"/>
        <v>1.901</v>
      </c>
      <c r="AB599" s="333">
        <f t="shared" si="207"/>
        <v>-0.61799999999999988</v>
      </c>
      <c r="AC599" s="333">
        <f t="shared" si="208"/>
        <v>-1.0604000000000002</v>
      </c>
    </row>
    <row r="600" spans="1:29">
      <c r="A600" s="318"/>
      <c r="B600" s="319"/>
      <c r="C600" s="318"/>
      <c r="D600" s="318"/>
      <c r="E600" s="319"/>
      <c r="F600" s="319"/>
      <c r="G600" s="318" t="s">
        <v>1046</v>
      </c>
      <c r="H600" s="319">
        <v>3.81</v>
      </c>
      <c r="I600" s="318">
        <v>1</v>
      </c>
      <c r="J600" s="318">
        <f t="shared" si="209"/>
        <v>1</v>
      </c>
      <c r="K600" s="318">
        <f t="shared" si="203"/>
        <v>3.81</v>
      </c>
      <c r="L600" s="350" t="s">
        <v>2714</v>
      </c>
      <c r="M600" s="318">
        <v>170</v>
      </c>
      <c r="N600" s="318">
        <v>1</v>
      </c>
      <c r="O600" s="619">
        <f t="shared" si="204"/>
        <v>3.81</v>
      </c>
      <c r="P600" s="755">
        <v>0.67</v>
      </c>
      <c r="Q600" s="750"/>
      <c r="R600" s="337">
        <v>0.67</v>
      </c>
      <c r="S600" s="348">
        <f t="shared" si="201"/>
        <v>2.5527000000000002</v>
      </c>
      <c r="T600" s="319"/>
      <c r="V600" s="333">
        <v>3.8029999999999999</v>
      </c>
      <c r="W600" s="320">
        <v>1</v>
      </c>
      <c r="X600" s="348">
        <f t="shared" si="205"/>
        <v>3.8029999999999999</v>
      </c>
      <c r="Y600" s="330">
        <v>0.5</v>
      </c>
      <c r="Z600" s="348">
        <f t="shared" si="206"/>
        <v>1.9015</v>
      </c>
      <c r="AB600" s="333">
        <f t="shared" si="207"/>
        <v>-7.0000000000001172E-3</v>
      </c>
      <c r="AC600" s="333">
        <f t="shared" si="208"/>
        <v>-0.65120000000000022</v>
      </c>
    </row>
    <row r="601" spans="1:29">
      <c r="A601" s="318"/>
      <c r="B601" s="319"/>
      <c r="C601" s="318"/>
      <c r="D601" s="318"/>
      <c r="E601" s="319"/>
      <c r="F601" s="336"/>
      <c r="G601" s="318" t="s">
        <v>1047</v>
      </c>
      <c r="H601" s="319">
        <v>3.81</v>
      </c>
      <c r="I601" s="318">
        <v>1</v>
      </c>
      <c r="J601" s="318">
        <f t="shared" si="209"/>
        <v>1</v>
      </c>
      <c r="K601" s="318">
        <f t="shared" si="203"/>
        <v>3.81</v>
      </c>
      <c r="L601" s="350" t="s">
        <v>2714</v>
      </c>
      <c r="M601" s="318">
        <v>170</v>
      </c>
      <c r="N601" s="318">
        <v>1</v>
      </c>
      <c r="O601" s="619">
        <f t="shared" si="204"/>
        <v>3.81</v>
      </c>
      <c r="P601" s="755">
        <v>0.67</v>
      </c>
      <c r="Q601" s="750"/>
      <c r="R601" s="337">
        <v>0.67</v>
      </c>
      <c r="S601" s="348">
        <f t="shared" si="201"/>
        <v>2.5527000000000002</v>
      </c>
      <c r="T601" s="319"/>
      <c r="V601" s="333">
        <v>3.802</v>
      </c>
      <c r="W601" s="320">
        <v>1</v>
      </c>
      <c r="X601" s="348">
        <f t="shared" si="205"/>
        <v>3.802</v>
      </c>
      <c r="Y601" s="330">
        <v>0.5</v>
      </c>
      <c r="Z601" s="348">
        <f t="shared" si="206"/>
        <v>1.901</v>
      </c>
      <c r="AB601" s="333">
        <f t="shared" si="207"/>
        <v>-8.0000000000000071E-3</v>
      </c>
      <c r="AC601" s="333">
        <f t="shared" si="208"/>
        <v>-0.65170000000000017</v>
      </c>
    </row>
    <row r="602" spans="1:29" ht="14.4" customHeight="1" thickBot="1">
      <c r="A602" s="318"/>
      <c r="B602" s="319"/>
      <c r="C602" s="318"/>
      <c r="D602" s="318"/>
      <c r="E602" s="319"/>
      <c r="F602" s="319"/>
      <c r="G602" s="318" t="s">
        <v>1048</v>
      </c>
      <c r="H602" s="319">
        <v>3.81</v>
      </c>
      <c r="I602" s="318">
        <v>1</v>
      </c>
      <c r="J602" s="318">
        <f t="shared" si="209"/>
        <v>1</v>
      </c>
      <c r="K602" s="318">
        <f t="shared" si="203"/>
        <v>3.81</v>
      </c>
      <c r="L602" s="350" t="s">
        <v>2714</v>
      </c>
      <c r="M602" s="318">
        <v>170</v>
      </c>
      <c r="N602" s="318">
        <v>1</v>
      </c>
      <c r="O602" s="619">
        <f t="shared" si="204"/>
        <v>3.81</v>
      </c>
      <c r="P602" s="755">
        <v>0.67</v>
      </c>
      <c r="Q602" s="750"/>
      <c r="R602" s="592">
        <v>0.67</v>
      </c>
      <c r="S602" s="348">
        <f t="shared" si="201"/>
        <v>2.5527000000000002</v>
      </c>
      <c r="T602" s="319"/>
      <c r="V602" s="333">
        <v>3.8029999999999999</v>
      </c>
      <c r="W602" s="320">
        <v>1</v>
      </c>
      <c r="X602" s="348">
        <f t="shared" si="205"/>
        <v>3.8029999999999999</v>
      </c>
      <c r="Y602" s="330">
        <v>0.5</v>
      </c>
      <c r="Z602" s="348">
        <f t="shared" si="206"/>
        <v>1.9015</v>
      </c>
      <c r="AB602" s="333">
        <f t="shared" si="207"/>
        <v>-7.0000000000001172E-3</v>
      </c>
      <c r="AC602" s="333">
        <f t="shared" si="208"/>
        <v>-0.65120000000000022</v>
      </c>
    </row>
    <row r="603" spans="1:29" ht="15.6" thickTop="1" thickBot="1">
      <c r="A603" s="318"/>
      <c r="B603" s="319"/>
      <c r="C603" s="318"/>
      <c r="D603" s="318"/>
      <c r="E603" s="319"/>
      <c r="F603" s="336" t="s">
        <v>558</v>
      </c>
      <c r="G603" s="318" t="s">
        <v>1049</v>
      </c>
      <c r="H603" s="319">
        <v>4.42</v>
      </c>
      <c r="I603" s="318">
        <v>1</v>
      </c>
      <c r="J603" s="318">
        <f t="shared" si="209"/>
        <v>1</v>
      </c>
      <c r="K603" s="318">
        <f t="shared" si="203"/>
        <v>4.42</v>
      </c>
      <c r="L603" s="350" t="s">
        <v>2896</v>
      </c>
      <c r="M603" s="350" t="s">
        <v>2894</v>
      </c>
      <c r="N603" s="318">
        <v>1</v>
      </c>
      <c r="O603" s="619">
        <f t="shared" si="204"/>
        <v>4.42</v>
      </c>
      <c r="P603" s="755"/>
      <c r="Q603" s="747"/>
      <c r="R603" s="624"/>
      <c r="S603" s="348">
        <f t="shared" si="201"/>
        <v>0</v>
      </c>
      <c r="T603" s="319" t="s">
        <v>3448</v>
      </c>
      <c r="V603" s="333">
        <v>4.2009999999999996</v>
      </c>
      <c r="W603" s="320"/>
      <c r="X603" s="348">
        <f t="shared" si="205"/>
        <v>0</v>
      </c>
      <c r="Y603" s="330"/>
      <c r="Z603" s="348">
        <f t="shared" si="206"/>
        <v>0</v>
      </c>
      <c r="AB603" s="333">
        <f t="shared" si="207"/>
        <v>-4.42</v>
      </c>
      <c r="AC603" s="333">
        <f t="shared" si="208"/>
        <v>0</v>
      </c>
    </row>
    <row r="604" spans="1:29" ht="15.6" thickTop="1" thickBot="1">
      <c r="A604" s="318"/>
      <c r="B604" s="319"/>
      <c r="C604" s="318"/>
      <c r="D604" s="318"/>
      <c r="E604" s="319"/>
      <c r="F604" s="336" t="s">
        <v>558</v>
      </c>
      <c r="G604" s="318" t="s">
        <v>1050</v>
      </c>
      <c r="H604" s="318">
        <v>4.4400000000000004</v>
      </c>
      <c r="I604" s="318">
        <v>1</v>
      </c>
      <c r="J604" s="318">
        <f t="shared" si="209"/>
        <v>1</v>
      </c>
      <c r="K604" s="318">
        <f t="shared" si="203"/>
        <v>4.4400000000000004</v>
      </c>
      <c r="L604" s="350" t="s">
        <v>2897</v>
      </c>
      <c r="M604" s="350" t="s">
        <v>2895</v>
      </c>
      <c r="N604" s="318">
        <v>1</v>
      </c>
      <c r="O604" s="619">
        <f t="shared" si="204"/>
        <v>4.4400000000000004</v>
      </c>
      <c r="P604" s="755"/>
      <c r="Q604" s="747"/>
      <c r="R604" s="624"/>
      <c r="S604" s="348">
        <f t="shared" si="201"/>
        <v>0</v>
      </c>
      <c r="T604" s="319" t="s">
        <v>3448</v>
      </c>
      <c r="V604" s="328">
        <v>4.226</v>
      </c>
      <c r="W604" s="320">
        <v>1</v>
      </c>
      <c r="X604" s="454">
        <f t="shared" si="205"/>
        <v>4.226</v>
      </c>
      <c r="Y604" s="330">
        <v>1</v>
      </c>
      <c r="Z604" s="454">
        <f t="shared" si="206"/>
        <v>4.226</v>
      </c>
      <c r="AB604" s="328">
        <f t="shared" si="207"/>
        <v>-0.21400000000000041</v>
      </c>
      <c r="AC604" s="328">
        <f t="shared" si="208"/>
        <v>4.226</v>
      </c>
    </row>
    <row r="605" spans="1:29" ht="15" thickTop="1">
      <c r="A605" s="318"/>
      <c r="B605" s="319"/>
      <c r="C605" s="318"/>
      <c r="D605" s="318"/>
      <c r="E605" s="319"/>
      <c r="F605" s="319"/>
      <c r="G605" s="318" t="s">
        <v>1051</v>
      </c>
      <c r="H605" s="318">
        <v>4.49</v>
      </c>
      <c r="I605" s="318">
        <v>1</v>
      </c>
      <c r="J605" s="318">
        <f t="shared" si="209"/>
        <v>1</v>
      </c>
      <c r="K605" s="318">
        <f t="shared" si="203"/>
        <v>4.49</v>
      </c>
      <c r="L605" s="318">
        <v>1478</v>
      </c>
      <c r="M605" s="318">
        <v>119</v>
      </c>
      <c r="N605" s="318">
        <v>1</v>
      </c>
      <c r="O605" s="619">
        <f t="shared" si="204"/>
        <v>4.49</v>
      </c>
      <c r="P605" s="755">
        <v>0.67</v>
      </c>
      <c r="Q605" s="750"/>
      <c r="R605" s="337">
        <v>0.67</v>
      </c>
      <c r="S605" s="348">
        <f t="shared" si="201"/>
        <v>3.0083000000000002</v>
      </c>
      <c r="T605" s="319"/>
      <c r="V605" s="328">
        <v>1.8</v>
      </c>
      <c r="W605" s="320">
        <v>1</v>
      </c>
      <c r="X605" s="348">
        <f t="shared" si="205"/>
        <v>1.8</v>
      </c>
      <c r="Y605" s="330">
        <v>1</v>
      </c>
      <c r="Z605" s="348">
        <f t="shared" si="206"/>
        <v>1.8</v>
      </c>
      <c r="AB605" s="328">
        <f t="shared" si="207"/>
        <v>-2.6900000000000004</v>
      </c>
      <c r="AC605" s="328">
        <f t="shared" si="208"/>
        <v>-1.2083000000000002</v>
      </c>
    </row>
    <row r="606" spans="1:29">
      <c r="A606" s="318"/>
      <c r="B606" s="319"/>
      <c r="C606" s="318"/>
      <c r="D606" s="318"/>
      <c r="E606" s="319"/>
      <c r="F606" s="336"/>
      <c r="G606" s="318" t="s">
        <v>1052</v>
      </c>
      <c r="H606" s="318">
        <v>4.49</v>
      </c>
      <c r="I606" s="318">
        <v>1</v>
      </c>
      <c r="J606" s="318">
        <f t="shared" si="209"/>
        <v>1</v>
      </c>
      <c r="K606" s="318">
        <f t="shared" si="203"/>
        <v>4.49</v>
      </c>
      <c r="L606" s="318">
        <v>1478</v>
      </c>
      <c r="M606" s="318">
        <v>119</v>
      </c>
      <c r="N606" s="318">
        <v>1</v>
      </c>
      <c r="O606" s="619">
        <f t="shared" si="204"/>
        <v>4.49</v>
      </c>
      <c r="P606" s="755">
        <v>0.67</v>
      </c>
      <c r="Q606" s="750"/>
      <c r="R606" s="337">
        <v>0.67</v>
      </c>
      <c r="S606" s="348">
        <f t="shared" si="201"/>
        <v>3.0083000000000002</v>
      </c>
      <c r="T606" s="319"/>
      <c r="V606" s="328">
        <f t="shared" ref="V606:V621" si="210">4.49</f>
        <v>4.49</v>
      </c>
      <c r="W606" s="320">
        <v>1</v>
      </c>
      <c r="X606" s="348">
        <f t="shared" si="205"/>
        <v>4.49</v>
      </c>
      <c r="Y606" s="330">
        <v>1</v>
      </c>
      <c r="Z606" s="348">
        <f t="shared" si="206"/>
        <v>4.49</v>
      </c>
      <c r="AB606" s="328">
        <f t="shared" si="207"/>
        <v>0</v>
      </c>
      <c r="AC606" s="328">
        <f t="shared" si="208"/>
        <v>1.4817</v>
      </c>
    </row>
    <row r="607" spans="1:29">
      <c r="A607" s="318"/>
      <c r="B607" s="319"/>
      <c r="C607" s="318"/>
      <c r="D607" s="318"/>
      <c r="E607" s="319"/>
      <c r="F607" s="319"/>
      <c r="G607" s="318" t="s">
        <v>1053</v>
      </c>
      <c r="H607" s="318">
        <v>4.49</v>
      </c>
      <c r="I607" s="318">
        <v>1</v>
      </c>
      <c r="J607" s="318">
        <f t="shared" si="209"/>
        <v>1</v>
      </c>
      <c r="K607" s="318">
        <f t="shared" si="203"/>
        <v>4.49</v>
      </c>
      <c r="L607" s="318">
        <v>1480</v>
      </c>
      <c r="M607" s="318">
        <v>119</v>
      </c>
      <c r="N607" s="318">
        <v>1</v>
      </c>
      <c r="O607" s="619">
        <f t="shared" si="204"/>
        <v>4.49</v>
      </c>
      <c r="P607" s="755">
        <v>0.67</v>
      </c>
      <c r="Q607" s="750"/>
      <c r="R607" s="337">
        <v>0.67</v>
      </c>
      <c r="S607" s="348">
        <f t="shared" si="201"/>
        <v>3.0083000000000002</v>
      </c>
      <c r="T607" s="319"/>
      <c r="V607" s="328">
        <f t="shared" si="210"/>
        <v>4.49</v>
      </c>
      <c r="W607" s="320">
        <v>1</v>
      </c>
      <c r="X607" s="348">
        <f t="shared" si="205"/>
        <v>4.49</v>
      </c>
      <c r="Y607" s="330">
        <v>1</v>
      </c>
      <c r="Z607" s="348">
        <f t="shared" si="206"/>
        <v>4.49</v>
      </c>
      <c r="AB607" s="328">
        <f t="shared" si="207"/>
        <v>0</v>
      </c>
      <c r="AC607" s="328">
        <f t="shared" si="208"/>
        <v>1.4817</v>
      </c>
    </row>
    <row r="608" spans="1:29">
      <c r="A608" s="318"/>
      <c r="B608" s="319"/>
      <c r="C608" s="318"/>
      <c r="D608" s="318"/>
      <c r="E608" s="319"/>
      <c r="F608" s="319"/>
      <c r="G608" s="318" t="s">
        <v>1054</v>
      </c>
      <c r="H608" s="318">
        <v>4.49</v>
      </c>
      <c r="I608" s="318">
        <v>1</v>
      </c>
      <c r="J608" s="318">
        <f t="shared" si="209"/>
        <v>1</v>
      </c>
      <c r="K608" s="318">
        <f t="shared" si="203"/>
        <v>4.49</v>
      </c>
      <c r="L608" s="318">
        <v>1480</v>
      </c>
      <c r="M608" s="318">
        <v>119</v>
      </c>
      <c r="N608" s="318">
        <v>1</v>
      </c>
      <c r="O608" s="619">
        <f t="shared" si="204"/>
        <v>4.49</v>
      </c>
      <c r="P608" s="755">
        <v>0.67</v>
      </c>
      <c r="Q608" s="750"/>
      <c r="R608" s="337">
        <v>0.67</v>
      </c>
      <c r="S608" s="348">
        <f t="shared" si="201"/>
        <v>3.0083000000000002</v>
      </c>
      <c r="T608" s="319"/>
      <c r="V608" s="328">
        <f t="shared" si="210"/>
        <v>4.49</v>
      </c>
      <c r="W608" s="320">
        <v>1</v>
      </c>
      <c r="X608" s="348">
        <f t="shared" si="205"/>
        <v>4.49</v>
      </c>
      <c r="Y608" s="330">
        <v>1</v>
      </c>
      <c r="Z608" s="348">
        <f t="shared" si="206"/>
        <v>4.49</v>
      </c>
      <c r="AB608" s="328">
        <f t="shared" si="207"/>
        <v>0</v>
      </c>
      <c r="AC608" s="328">
        <f t="shared" si="208"/>
        <v>1.4817</v>
      </c>
    </row>
    <row r="609" spans="1:29">
      <c r="A609" s="318"/>
      <c r="B609" s="319"/>
      <c r="C609" s="318"/>
      <c r="D609" s="318"/>
      <c r="E609" s="319"/>
      <c r="F609" s="319"/>
      <c r="G609" s="318" t="s">
        <v>1055</v>
      </c>
      <c r="H609" s="318">
        <v>4.49</v>
      </c>
      <c r="I609" s="318">
        <v>1</v>
      </c>
      <c r="J609" s="318">
        <f t="shared" si="209"/>
        <v>1</v>
      </c>
      <c r="K609" s="318">
        <f t="shared" si="203"/>
        <v>4.49</v>
      </c>
      <c r="L609" s="318">
        <v>1481</v>
      </c>
      <c r="M609" s="318">
        <v>121</v>
      </c>
      <c r="N609" s="318">
        <v>1</v>
      </c>
      <c r="O609" s="619">
        <f t="shared" si="204"/>
        <v>4.49</v>
      </c>
      <c r="P609" s="755">
        <v>0.67</v>
      </c>
      <c r="Q609" s="750"/>
      <c r="R609" s="337">
        <v>0.67</v>
      </c>
      <c r="S609" s="348">
        <f t="shared" si="201"/>
        <v>3.0083000000000002</v>
      </c>
      <c r="T609" s="319"/>
      <c r="V609" s="328">
        <f t="shared" si="210"/>
        <v>4.49</v>
      </c>
      <c r="W609" s="320">
        <v>1</v>
      </c>
      <c r="X609" s="348">
        <f t="shared" si="205"/>
        <v>4.49</v>
      </c>
      <c r="Y609" s="330">
        <v>1</v>
      </c>
      <c r="Z609" s="348">
        <f t="shared" si="206"/>
        <v>4.49</v>
      </c>
      <c r="AB609" s="328">
        <f t="shared" si="207"/>
        <v>0</v>
      </c>
      <c r="AC609" s="328">
        <f t="shared" si="208"/>
        <v>1.4817</v>
      </c>
    </row>
    <row r="610" spans="1:29">
      <c r="A610" s="318"/>
      <c r="B610" s="319"/>
      <c r="C610" s="318"/>
      <c r="D610" s="318"/>
      <c r="E610" s="319"/>
      <c r="F610" s="319"/>
      <c r="G610" s="318" t="s">
        <v>1056</v>
      </c>
      <c r="H610" s="318">
        <v>4.49</v>
      </c>
      <c r="I610" s="318">
        <v>1</v>
      </c>
      <c r="J610" s="318">
        <f t="shared" si="209"/>
        <v>1</v>
      </c>
      <c r="K610" s="318">
        <f t="shared" si="203"/>
        <v>4.49</v>
      </c>
      <c r="L610" s="318">
        <v>1482</v>
      </c>
      <c r="M610" s="318">
        <v>122</v>
      </c>
      <c r="N610" s="318">
        <v>1</v>
      </c>
      <c r="O610" s="619">
        <f t="shared" si="204"/>
        <v>4.49</v>
      </c>
      <c r="P610" s="755">
        <v>0.67</v>
      </c>
      <c r="Q610" s="750"/>
      <c r="R610" s="337">
        <v>0.67</v>
      </c>
      <c r="S610" s="348">
        <f t="shared" si="201"/>
        <v>3.0083000000000002</v>
      </c>
      <c r="T610" s="319"/>
      <c r="V610" s="328">
        <f t="shared" si="210"/>
        <v>4.49</v>
      </c>
      <c r="W610" s="320">
        <v>1</v>
      </c>
      <c r="X610" s="348">
        <f t="shared" si="205"/>
        <v>4.49</v>
      </c>
      <c r="Y610" s="330">
        <v>1</v>
      </c>
      <c r="Z610" s="348">
        <f t="shared" si="206"/>
        <v>4.49</v>
      </c>
      <c r="AB610" s="328">
        <f t="shared" si="207"/>
        <v>0</v>
      </c>
      <c r="AC610" s="328">
        <f t="shared" si="208"/>
        <v>1.4817</v>
      </c>
    </row>
    <row r="611" spans="1:29">
      <c r="A611" s="318"/>
      <c r="B611" s="319"/>
      <c r="C611" s="318"/>
      <c r="D611" s="318"/>
      <c r="E611" s="319"/>
      <c r="F611" s="319"/>
      <c r="G611" s="318" t="s">
        <v>1057</v>
      </c>
      <c r="H611" s="318">
        <v>4.49</v>
      </c>
      <c r="I611" s="318">
        <v>1</v>
      </c>
      <c r="J611" s="318">
        <f t="shared" si="209"/>
        <v>1</v>
      </c>
      <c r="K611" s="318">
        <f t="shared" si="203"/>
        <v>4.49</v>
      </c>
      <c r="L611" s="318">
        <v>1492</v>
      </c>
      <c r="M611" s="318">
        <v>124</v>
      </c>
      <c r="N611" s="318">
        <v>1</v>
      </c>
      <c r="O611" s="619">
        <f t="shared" si="204"/>
        <v>4.49</v>
      </c>
      <c r="P611" s="755">
        <v>0.67</v>
      </c>
      <c r="Q611" s="750"/>
      <c r="R611" s="337">
        <v>0.67</v>
      </c>
      <c r="S611" s="348">
        <f t="shared" si="201"/>
        <v>3.0083000000000002</v>
      </c>
      <c r="T611" s="319"/>
      <c r="V611" s="328">
        <f t="shared" si="210"/>
        <v>4.49</v>
      </c>
      <c r="W611" s="320">
        <v>1</v>
      </c>
      <c r="X611" s="348">
        <f t="shared" si="205"/>
        <v>4.49</v>
      </c>
      <c r="Y611" s="330">
        <v>1</v>
      </c>
      <c r="Z611" s="348">
        <f t="shared" si="206"/>
        <v>4.49</v>
      </c>
      <c r="AB611" s="328">
        <f t="shared" si="207"/>
        <v>0</v>
      </c>
      <c r="AC611" s="328">
        <f t="shared" si="208"/>
        <v>1.4817</v>
      </c>
    </row>
    <row r="612" spans="1:29">
      <c r="A612" s="318"/>
      <c r="B612" s="319"/>
      <c r="C612" s="318"/>
      <c r="D612" s="318"/>
      <c r="E612" s="319"/>
      <c r="F612" s="336"/>
      <c r="G612" s="318" t="s">
        <v>1058</v>
      </c>
      <c r="H612" s="318">
        <v>4.49</v>
      </c>
      <c r="I612" s="318">
        <v>1</v>
      </c>
      <c r="J612" s="318">
        <f t="shared" si="209"/>
        <v>1</v>
      </c>
      <c r="K612" s="318">
        <f t="shared" si="203"/>
        <v>4.49</v>
      </c>
      <c r="L612" s="318">
        <v>1492</v>
      </c>
      <c r="M612" s="318">
        <v>124</v>
      </c>
      <c r="N612" s="318">
        <v>1</v>
      </c>
      <c r="O612" s="619">
        <f t="shared" si="204"/>
        <v>4.49</v>
      </c>
      <c r="P612" s="755">
        <v>0.67</v>
      </c>
      <c r="Q612" s="750"/>
      <c r="R612" s="337">
        <v>0.67</v>
      </c>
      <c r="S612" s="348">
        <f t="shared" si="201"/>
        <v>3.0083000000000002</v>
      </c>
      <c r="T612" s="319"/>
      <c r="V612" s="328">
        <f t="shared" si="210"/>
        <v>4.49</v>
      </c>
      <c r="W612" s="320">
        <v>1</v>
      </c>
      <c r="X612" s="348">
        <f t="shared" si="205"/>
        <v>4.49</v>
      </c>
      <c r="Y612" s="330">
        <v>1</v>
      </c>
      <c r="Z612" s="348">
        <f t="shared" si="206"/>
        <v>4.49</v>
      </c>
      <c r="AB612" s="328">
        <f t="shared" si="207"/>
        <v>0</v>
      </c>
      <c r="AC612" s="328">
        <f t="shared" si="208"/>
        <v>1.4817</v>
      </c>
    </row>
    <row r="613" spans="1:29">
      <c r="A613" s="318"/>
      <c r="B613" s="319"/>
      <c r="C613" s="318"/>
      <c r="D613" s="318"/>
      <c r="E613" s="319"/>
      <c r="F613" s="336"/>
      <c r="G613" s="318" t="s">
        <v>1059</v>
      </c>
      <c r="H613" s="318">
        <v>4.49</v>
      </c>
      <c r="I613" s="318">
        <v>1</v>
      </c>
      <c r="J613" s="318">
        <f t="shared" si="209"/>
        <v>1</v>
      </c>
      <c r="K613" s="318">
        <f t="shared" si="203"/>
        <v>4.49</v>
      </c>
      <c r="L613" s="318">
        <v>1503</v>
      </c>
      <c r="M613" s="318">
        <v>127</v>
      </c>
      <c r="N613" s="318">
        <v>1</v>
      </c>
      <c r="O613" s="619">
        <f t="shared" si="204"/>
        <v>4.49</v>
      </c>
      <c r="P613" s="755">
        <v>0.67</v>
      </c>
      <c r="Q613" s="750"/>
      <c r="R613" s="337">
        <v>0.67</v>
      </c>
      <c r="S613" s="348">
        <f t="shared" si="201"/>
        <v>3.0083000000000002</v>
      </c>
      <c r="T613" s="319"/>
      <c r="V613" s="328">
        <f t="shared" si="210"/>
        <v>4.49</v>
      </c>
      <c r="W613" s="320">
        <v>1</v>
      </c>
      <c r="X613" s="348">
        <f t="shared" si="205"/>
        <v>4.49</v>
      </c>
      <c r="Y613" s="330">
        <v>1</v>
      </c>
      <c r="Z613" s="348">
        <f t="shared" si="206"/>
        <v>4.49</v>
      </c>
      <c r="AB613" s="328">
        <f t="shared" si="207"/>
        <v>0</v>
      </c>
      <c r="AC613" s="328">
        <f t="shared" si="208"/>
        <v>1.4817</v>
      </c>
    </row>
    <row r="614" spans="1:29">
      <c r="A614" s="318"/>
      <c r="B614" s="319"/>
      <c r="C614" s="318"/>
      <c r="D614" s="318"/>
      <c r="E614" s="319"/>
      <c r="F614" s="336"/>
      <c r="G614" s="318" t="s">
        <v>1060</v>
      </c>
      <c r="H614" s="318">
        <v>4.49</v>
      </c>
      <c r="I614" s="318">
        <v>1</v>
      </c>
      <c r="J614" s="318">
        <f t="shared" si="209"/>
        <v>1</v>
      </c>
      <c r="K614" s="318">
        <f t="shared" si="203"/>
        <v>4.49</v>
      </c>
      <c r="L614" s="318">
        <v>1505</v>
      </c>
      <c r="M614" s="318">
        <v>127</v>
      </c>
      <c r="N614" s="318">
        <v>1</v>
      </c>
      <c r="O614" s="619">
        <f t="shared" si="204"/>
        <v>4.49</v>
      </c>
      <c r="P614" s="755">
        <v>0.67</v>
      </c>
      <c r="Q614" s="750"/>
      <c r="R614" s="337">
        <v>0.67</v>
      </c>
      <c r="S614" s="348">
        <f t="shared" si="201"/>
        <v>3.0083000000000002</v>
      </c>
      <c r="T614" s="319"/>
      <c r="V614" s="328">
        <f t="shared" si="210"/>
        <v>4.49</v>
      </c>
      <c r="W614" s="320">
        <v>1</v>
      </c>
      <c r="X614" s="348">
        <f t="shared" si="205"/>
        <v>4.49</v>
      </c>
      <c r="Y614" s="330">
        <v>1</v>
      </c>
      <c r="Z614" s="348">
        <f t="shared" si="206"/>
        <v>4.49</v>
      </c>
      <c r="AB614" s="328">
        <f t="shared" si="207"/>
        <v>0</v>
      </c>
      <c r="AC614" s="328">
        <f t="shared" si="208"/>
        <v>1.4817</v>
      </c>
    </row>
    <row r="615" spans="1:29">
      <c r="A615" s="318"/>
      <c r="B615" s="319"/>
      <c r="C615" s="318"/>
      <c r="D615" s="318"/>
      <c r="E615" s="319"/>
      <c r="F615" s="336"/>
      <c r="G615" s="318" t="s">
        <v>1061</v>
      </c>
      <c r="H615" s="318">
        <v>4.49</v>
      </c>
      <c r="I615" s="318">
        <v>1</v>
      </c>
      <c r="J615" s="318">
        <f t="shared" si="209"/>
        <v>1</v>
      </c>
      <c r="K615" s="318">
        <f t="shared" si="203"/>
        <v>4.49</v>
      </c>
      <c r="L615" s="318">
        <v>1505</v>
      </c>
      <c r="M615" s="318">
        <v>127</v>
      </c>
      <c r="N615" s="318">
        <v>1</v>
      </c>
      <c r="O615" s="619">
        <f t="shared" si="204"/>
        <v>4.49</v>
      </c>
      <c r="P615" s="755">
        <v>0.67</v>
      </c>
      <c r="Q615" s="750"/>
      <c r="R615" s="337">
        <v>0.67</v>
      </c>
      <c r="S615" s="348">
        <f t="shared" si="201"/>
        <v>3.0083000000000002</v>
      </c>
      <c r="T615" s="319"/>
      <c r="V615" s="328">
        <f t="shared" si="210"/>
        <v>4.49</v>
      </c>
      <c r="W615" s="320">
        <v>1</v>
      </c>
      <c r="X615" s="348">
        <f t="shared" si="205"/>
        <v>4.49</v>
      </c>
      <c r="Y615" s="330">
        <v>1</v>
      </c>
      <c r="Z615" s="348">
        <f t="shared" si="206"/>
        <v>4.49</v>
      </c>
      <c r="AB615" s="328">
        <f t="shared" si="207"/>
        <v>0</v>
      </c>
      <c r="AC615" s="328">
        <f t="shared" si="208"/>
        <v>1.4817</v>
      </c>
    </row>
    <row r="616" spans="1:29">
      <c r="A616" s="318"/>
      <c r="B616" s="319"/>
      <c r="C616" s="318"/>
      <c r="D616" s="318"/>
      <c r="E616" s="319"/>
      <c r="F616" s="336"/>
      <c r="G616" s="318" t="s">
        <v>1062</v>
      </c>
      <c r="H616" s="318">
        <v>4.49</v>
      </c>
      <c r="I616" s="318">
        <v>1</v>
      </c>
      <c r="J616" s="318">
        <f t="shared" si="209"/>
        <v>1</v>
      </c>
      <c r="K616" s="318">
        <f t="shared" si="203"/>
        <v>4.49</v>
      </c>
      <c r="L616" s="318">
        <v>1505</v>
      </c>
      <c r="M616" s="318">
        <v>127</v>
      </c>
      <c r="N616" s="318">
        <v>1</v>
      </c>
      <c r="O616" s="619">
        <f t="shared" si="204"/>
        <v>4.49</v>
      </c>
      <c r="P616" s="755">
        <v>0.67</v>
      </c>
      <c r="Q616" s="750"/>
      <c r="R616" s="337">
        <v>0.67</v>
      </c>
      <c r="S616" s="348">
        <f t="shared" si="201"/>
        <v>3.0083000000000002</v>
      </c>
      <c r="T616" s="319"/>
      <c r="V616" s="328">
        <f t="shared" si="210"/>
        <v>4.49</v>
      </c>
      <c r="W616" s="320">
        <v>1</v>
      </c>
      <c r="X616" s="348">
        <f t="shared" si="205"/>
        <v>4.49</v>
      </c>
      <c r="Y616" s="330">
        <v>1</v>
      </c>
      <c r="Z616" s="348">
        <f t="shared" si="206"/>
        <v>4.49</v>
      </c>
      <c r="AB616" s="328">
        <f t="shared" si="207"/>
        <v>0</v>
      </c>
      <c r="AC616" s="328">
        <f t="shared" si="208"/>
        <v>1.4817</v>
      </c>
    </row>
    <row r="617" spans="1:29">
      <c r="A617" s="318"/>
      <c r="B617" s="319"/>
      <c r="C617" s="318"/>
      <c r="D617" s="318"/>
      <c r="E617" s="319"/>
      <c r="F617" s="336"/>
      <c r="G617" s="318" t="s">
        <v>1063</v>
      </c>
      <c r="H617" s="318">
        <v>4.49</v>
      </c>
      <c r="I617" s="318">
        <v>1</v>
      </c>
      <c r="J617" s="318">
        <f t="shared" si="209"/>
        <v>1</v>
      </c>
      <c r="K617" s="318">
        <f t="shared" si="203"/>
        <v>4.49</v>
      </c>
      <c r="L617" s="318">
        <v>1543</v>
      </c>
      <c r="M617" s="318">
        <v>130</v>
      </c>
      <c r="N617" s="318">
        <v>1</v>
      </c>
      <c r="O617" s="619">
        <f t="shared" si="204"/>
        <v>4.49</v>
      </c>
      <c r="P617" s="755">
        <v>0.67</v>
      </c>
      <c r="Q617" s="750"/>
      <c r="R617" s="337">
        <v>0.67</v>
      </c>
      <c r="S617" s="348">
        <f t="shared" si="201"/>
        <v>3.0083000000000002</v>
      </c>
      <c r="T617" s="319"/>
      <c r="V617" s="328">
        <f t="shared" si="210"/>
        <v>4.49</v>
      </c>
      <c r="W617" s="320">
        <v>1</v>
      </c>
      <c r="X617" s="348">
        <f t="shared" si="205"/>
        <v>4.49</v>
      </c>
      <c r="Y617" s="330">
        <v>1</v>
      </c>
      <c r="Z617" s="348">
        <f t="shared" si="206"/>
        <v>4.49</v>
      </c>
      <c r="AB617" s="328">
        <f t="shared" si="207"/>
        <v>0</v>
      </c>
      <c r="AC617" s="328">
        <f t="shared" si="208"/>
        <v>1.4817</v>
      </c>
    </row>
    <row r="618" spans="1:29">
      <c r="A618" s="318"/>
      <c r="B618" s="319"/>
      <c r="C618" s="318"/>
      <c r="D618" s="318"/>
      <c r="E618" s="319"/>
      <c r="F618" s="336"/>
      <c r="G618" s="318" t="s">
        <v>1064</v>
      </c>
      <c r="H618" s="318">
        <v>4.49</v>
      </c>
      <c r="I618" s="318">
        <v>1</v>
      </c>
      <c r="J618" s="318">
        <f t="shared" si="209"/>
        <v>1</v>
      </c>
      <c r="K618" s="318">
        <f t="shared" si="203"/>
        <v>4.49</v>
      </c>
      <c r="L618" s="318">
        <v>1543</v>
      </c>
      <c r="M618" s="318">
        <v>130</v>
      </c>
      <c r="N618" s="318">
        <v>1</v>
      </c>
      <c r="O618" s="619">
        <f t="shared" si="204"/>
        <v>4.49</v>
      </c>
      <c r="P618" s="755">
        <v>0.67</v>
      </c>
      <c r="Q618" s="750"/>
      <c r="R618" s="337">
        <v>0.67</v>
      </c>
      <c r="S618" s="348">
        <f t="shared" si="201"/>
        <v>3.0083000000000002</v>
      </c>
      <c r="T618" s="319"/>
      <c r="V618" s="328">
        <f t="shared" si="210"/>
        <v>4.49</v>
      </c>
      <c r="W618" s="320">
        <v>1</v>
      </c>
      <c r="X618" s="348">
        <f t="shared" si="205"/>
        <v>4.49</v>
      </c>
      <c r="Y618" s="330">
        <v>1</v>
      </c>
      <c r="Z618" s="348">
        <f t="shared" si="206"/>
        <v>4.49</v>
      </c>
      <c r="AB618" s="328">
        <f t="shared" si="207"/>
        <v>0</v>
      </c>
      <c r="AC618" s="328">
        <f t="shared" si="208"/>
        <v>1.4817</v>
      </c>
    </row>
    <row r="619" spans="1:29">
      <c r="A619" s="318"/>
      <c r="B619" s="319"/>
      <c r="C619" s="318"/>
      <c r="D619" s="318"/>
      <c r="E619" s="319"/>
      <c r="F619" s="336"/>
      <c r="G619" s="318" t="s">
        <v>1065</v>
      </c>
      <c r="H619" s="318">
        <v>4.49</v>
      </c>
      <c r="I619" s="318">
        <v>1</v>
      </c>
      <c r="J619" s="318">
        <f t="shared" si="209"/>
        <v>1</v>
      </c>
      <c r="K619" s="318">
        <f t="shared" si="203"/>
        <v>4.49</v>
      </c>
      <c r="L619" s="318">
        <v>1543</v>
      </c>
      <c r="M619" s="318">
        <v>130</v>
      </c>
      <c r="N619" s="318">
        <v>1</v>
      </c>
      <c r="O619" s="619">
        <f t="shared" si="204"/>
        <v>4.49</v>
      </c>
      <c r="P619" s="755">
        <v>0.67</v>
      </c>
      <c r="Q619" s="750"/>
      <c r="R619" s="337">
        <v>0.67</v>
      </c>
      <c r="S619" s="348">
        <f t="shared" si="201"/>
        <v>3.0083000000000002</v>
      </c>
      <c r="T619" s="319"/>
      <c r="V619" s="328">
        <f t="shared" si="210"/>
        <v>4.49</v>
      </c>
      <c r="W619" s="320">
        <v>1</v>
      </c>
      <c r="X619" s="348">
        <f t="shared" si="205"/>
        <v>4.49</v>
      </c>
      <c r="Y619" s="330">
        <v>1</v>
      </c>
      <c r="Z619" s="348">
        <f t="shared" si="206"/>
        <v>4.49</v>
      </c>
      <c r="AB619" s="328">
        <f t="shared" si="207"/>
        <v>0</v>
      </c>
      <c r="AC619" s="328">
        <f t="shared" si="208"/>
        <v>1.4817</v>
      </c>
    </row>
    <row r="620" spans="1:29">
      <c r="A620" s="318"/>
      <c r="B620" s="319"/>
      <c r="C620" s="318"/>
      <c r="D620" s="318"/>
      <c r="E620" s="319"/>
      <c r="F620" s="336"/>
      <c r="G620" s="318" t="s">
        <v>1066</v>
      </c>
      <c r="H620" s="318">
        <v>4.49</v>
      </c>
      <c r="I620" s="318">
        <v>1</v>
      </c>
      <c r="J620" s="318">
        <f t="shared" si="209"/>
        <v>1</v>
      </c>
      <c r="K620" s="318">
        <f t="shared" si="203"/>
        <v>4.49</v>
      </c>
      <c r="L620" s="318">
        <v>1543</v>
      </c>
      <c r="M620" s="318">
        <v>130</v>
      </c>
      <c r="N620" s="318">
        <v>1</v>
      </c>
      <c r="O620" s="619">
        <f t="shared" si="204"/>
        <v>4.49</v>
      </c>
      <c r="P620" s="755">
        <v>0.67</v>
      </c>
      <c r="Q620" s="750"/>
      <c r="R620" s="337">
        <v>0.67</v>
      </c>
      <c r="S620" s="348">
        <f t="shared" si="201"/>
        <v>3.0083000000000002</v>
      </c>
      <c r="T620" s="319"/>
      <c r="V620" s="328">
        <f t="shared" si="210"/>
        <v>4.49</v>
      </c>
      <c r="W620" s="320">
        <v>1</v>
      </c>
      <c r="X620" s="348">
        <f t="shared" si="205"/>
        <v>4.49</v>
      </c>
      <c r="Y620" s="330">
        <v>1</v>
      </c>
      <c r="Z620" s="348">
        <f t="shared" si="206"/>
        <v>4.49</v>
      </c>
      <c r="AB620" s="328">
        <f t="shared" si="207"/>
        <v>0</v>
      </c>
      <c r="AC620" s="328">
        <f t="shared" si="208"/>
        <v>1.4817</v>
      </c>
    </row>
    <row r="621" spans="1:29">
      <c r="A621" s="318"/>
      <c r="B621" s="319"/>
      <c r="C621" s="318"/>
      <c r="D621" s="318"/>
      <c r="E621" s="319"/>
      <c r="F621" s="336"/>
      <c r="G621" s="318" t="s">
        <v>1067</v>
      </c>
      <c r="H621" s="318">
        <v>4.49</v>
      </c>
      <c r="I621" s="318">
        <v>1</v>
      </c>
      <c r="J621" s="318">
        <f t="shared" si="209"/>
        <v>1</v>
      </c>
      <c r="K621" s="318">
        <f t="shared" si="203"/>
        <v>4.49</v>
      </c>
      <c r="L621" s="318">
        <v>1542</v>
      </c>
      <c r="M621" s="318">
        <v>130</v>
      </c>
      <c r="N621" s="318">
        <v>1</v>
      </c>
      <c r="O621" s="619">
        <f t="shared" si="204"/>
        <v>4.49</v>
      </c>
      <c r="P621" s="755">
        <v>0.67</v>
      </c>
      <c r="Q621" s="750"/>
      <c r="R621" s="337">
        <v>0.67</v>
      </c>
      <c r="S621" s="348">
        <f t="shared" si="201"/>
        <v>3.0083000000000002</v>
      </c>
      <c r="T621" s="319"/>
      <c r="V621" s="328">
        <f t="shared" si="210"/>
        <v>4.49</v>
      </c>
      <c r="W621" s="320">
        <v>1</v>
      </c>
      <c r="X621" s="348">
        <f t="shared" si="205"/>
        <v>4.49</v>
      </c>
      <c r="Y621" s="330">
        <v>1</v>
      </c>
      <c r="Z621" s="348">
        <f t="shared" si="206"/>
        <v>4.49</v>
      </c>
      <c r="AB621" s="328">
        <f t="shared" si="207"/>
        <v>0</v>
      </c>
      <c r="AC621" s="328">
        <f t="shared" si="208"/>
        <v>1.4817</v>
      </c>
    </row>
    <row r="622" spans="1:29">
      <c r="A622" s="318"/>
      <c r="B622" s="319"/>
      <c r="C622" s="318"/>
      <c r="D622" s="318"/>
      <c r="E622" s="319"/>
      <c r="F622" s="336"/>
      <c r="G622" s="318" t="s">
        <v>1068</v>
      </c>
      <c r="H622" s="318">
        <v>3.03</v>
      </c>
      <c r="I622" s="318">
        <v>1</v>
      </c>
      <c r="J622" s="318">
        <f t="shared" si="209"/>
        <v>1</v>
      </c>
      <c r="K622" s="318">
        <f t="shared" si="203"/>
        <v>3.03</v>
      </c>
      <c r="L622" s="318"/>
      <c r="M622" s="318"/>
      <c r="N622" s="318">
        <v>1</v>
      </c>
      <c r="O622" s="619">
        <f t="shared" si="204"/>
        <v>3.03</v>
      </c>
      <c r="P622" s="755">
        <v>0.67</v>
      </c>
      <c r="Q622" s="750"/>
      <c r="R622" s="337">
        <v>0.67</v>
      </c>
      <c r="S622" s="348">
        <f t="shared" si="201"/>
        <v>2.0301</v>
      </c>
      <c r="T622" s="319"/>
      <c r="V622" s="328">
        <f>2.445+1.195-0.6</f>
        <v>3.0399999999999996</v>
      </c>
      <c r="W622" s="320">
        <v>1</v>
      </c>
      <c r="X622" s="348">
        <f t="shared" si="205"/>
        <v>3.0399999999999996</v>
      </c>
      <c r="Y622" s="330">
        <f>2/3</f>
        <v>0.66666666666666663</v>
      </c>
      <c r="Z622" s="348">
        <f t="shared" si="206"/>
        <v>2.0266666666666664</v>
      </c>
      <c r="AB622" s="328">
        <f t="shared" si="207"/>
        <v>9.9999999999997868E-3</v>
      </c>
      <c r="AC622" s="328">
        <f t="shared" si="208"/>
        <v>-3.4333333333336213E-3</v>
      </c>
    </row>
    <row r="623" spans="1:29">
      <c r="A623" s="318"/>
      <c r="B623" s="319"/>
      <c r="C623" s="318"/>
      <c r="D623" s="318"/>
      <c r="E623" s="319"/>
      <c r="F623" s="336"/>
      <c r="G623" s="318" t="s">
        <v>1069</v>
      </c>
      <c r="H623" s="318">
        <v>2.8</v>
      </c>
      <c r="I623" s="318">
        <v>1</v>
      </c>
      <c r="J623" s="318">
        <f t="shared" si="209"/>
        <v>1</v>
      </c>
      <c r="K623" s="318">
        <f t="shared" si="203"/>
        <v>2.8</v>
      </c>
      <c r="L623" s="350" t="s">
        <v>2722</v>
      </c>
      <c r="M623" s="350" t="s">
        <v>2737</v>
      </c>
      <c r="N623" s="318">
        <v>1</v>
      </c>
      <c r="O623" s="619">
        <f t="shared" si="204"/>
        <v>2.8</v>
      </c>
      <c r="P623" s="755">
        <v>0.67</v>
      </c>
      <c r="Q623" s="750"/>
      <c r="R623" s="337">
        <v>0.67</v>
      </c>
      <c r="S623" s="348">
        <f t="shared" si="201"/>
        <v>1.8759999999999999</v>
      </c>
      <c r="T623" s="319"/>
      <c r="V623" s="328">
        <v>2.7919999999999998</v>
      </c>
      <c r="W623" s="320">
        <v>1</v>
      </c>
      <c r="X623" s="348">
        <f t="shared" si="205"/>
        <v>2.7919999999999998</v>
      </c>
      <c r="Y623" s="330">
        <f>2/3</f>
        <v>0.66666666666666663</v>
      </c>
      <c r="Z623" s="454">
        <f t="shared" si="206"/>
        <v>1.8613333333333331</v>
      </c>
      <c r="AB623" s="328">
        <f t="shared" si="207"/>
        <v>-8.0000000000000071E-3</v>
      </c>
      <c r="AC623" s="328">
        <f t="shared" si="208"/>
        <v>-1.4666666666666828E-2</v>
      </c>
    </row>
    <row r="624" spans="1:29">
      <c r="A624" s="318"/>
      <c r="B624" s="319"/>
      <c r="C624" s="318"/>
      <c r="D624" s="318"/>
      <c r="E624" s="319"/>
      <c r="F624" s="319"/>
      <c r="G624" s="318"/>
      <c r="H624" s="318"/>
      <c r="I624" s="318"/>
      <c r="J624" s="382" t="s">
        <v>389</v>
      </c>
      <c r="K624" s="321">
        <f>SUM(K579:K623)</f>
        <v>177.37000000000009</v>
      </c>
      <c r="L624" s="318"/>
      <c r="M624" s="318"/>
      <c r="N624" s="382" t="s">
        <v>389</v>
      </c>
      <c r="O624" s="748">
        <f>SUM(O579:O623)</f>
        <v>177.37000000000009</v>
      </c>
      <c r="P624" s="755"/>
      <c r="Q624" s="751"/>
      <c r="R624" s="382"/>
      <c r="S624" s="321">
        <f>SUM(S579:S623)</f>
        <v>127.52670000000013</v>
      </c>
      <c r="T624" s="319"/>
      <c r="V624" s="328"/>
      <c r="W624" s="321" t="s">
        <v>389</v>
      </c>
      <c r="X624" s="338">
        <f>SUM(X579:X623)</f>
        <v>152.8963333333333</v>
      </c>
      <c r="Y624" s="321" t="s">
        <v>389</v>
      </c>
      <c r="Z624" s="338">
        <f>SUM(Z579:Z623)</f>
        <v>129.66633333333328</v>
      </c>
      <c r="AB624" s="328"/>
      <c r="AC624" s="328"/>
    </row>
    <row r="625" spans="1:29" ht="6.75" customHeight="1">
      <c r="A625" s="316"/>
      <c r="B625" s="317"/>
      <c r="C625" s="316"/>
      <c r="D625" s="316"/>
      <c r="E625" s="317"/>
      <c r="F625" s="317"/>
      <c r="G625" s="316"/>
      <c r="H625" s="316"/>
      <c r="I625" s="316"/>
      <c r="J625" s="316"/>
      <c r="K625" s="316"/>
      <c r="L625" s="316"/>
      <c r="M625" s="316"/>
      <c r="N625" s="316"/>
      <c r="O625" s="749"/>
      <c r="P625" s="1006"/>
      <c r="Q625" s="633"/>
      <c r="R625" s="949"/>
      <c r="S625" s="339"/>
      <c r="T625" s="317"/>
      <c r="V625" s="332"/>
      <c r="W625" s="316"/>
      <c r="X625" s="339"/>
      <c r="Y625" s="316"/>
      <c r="Z625" s="339"/>
      <c r="AB625" s="332"/>
      <c r="AC625" s="332"/>
    </row>
    <row r="626" spans="1:29">
      <c r="A626" s="318">
        <v>16</v>
      </c>
      <c r="B626" s="319" t="s">
        <v>383</v>
      </c>
      <c r="C626" s="318">
        <v>600</v>
      </c>
      <c r="D626" s="318">
        <v>21</v>
      </c>
      <c r="E626" s="319">
        <v>1</v>
      </c>
      <c r="F626" s="336"/>
      <c r="G626" s="318" t="s">
        <v>1070</v>
      </c>
      <c r="H626" s="318">
        <v>1.7</v>
      </c>
      <c r="I626" s="318">
        <v>1</v>
      </c>
      <c r="J626" s="318">
        <f t="shared" ref="J626:J634" si="211">IF(N626&gt;0,1,0)</f>
        <v>1</v>
      </c>
      <c r="K626" s="318">
        <f t="shared" ref="K626:K635" si="212">H626*J626</f>
        <v>1.7</v>
      </c>
      <c r="L626" s="318">
        <v>1771</v>
      </c>
      <c r="M626" s="318">
        <v>162</v>
      </c>
      <c r="N626" s="318">
        <v>1</v>
      </c>
      <c r="O626" s="619">
        <f t="shared" ref="O626:O635" si="213">H626*N626</f>
        <v>1.7</v>
      </c>
      <c r="P626" s="755">
        <v>0.67</v>
      </c>
      <c r="Q626" s="750"/>
      <c r="R626" s="337">
        <v>0.67</v>
      </c>
      <c r="S626" s="348">
        <f>H626*R626</f>
        <v>1.139</v>
      </c>
      <c r="T626" s="319"/>
      <c r="V626" s="328">
        <v>1.69</v>
      </c>
      <c r="W626" s="320">
        <v>1</v>
      </c>
      <c r="X626" s="348">
        <f t="shared" ref="X626:X635" si="214">V626*W626</f>
        <v>1.69</v>
      </c>
      <c r="Y626" s="330">
        <v>1</v>
      </c>
      <c r="Z626" s="348">
        <f t="shared" ref="Z626:Z635" si="215">V626*Y626</f>
        <v>1.69</v>
      </c>
      <c r="AB626" s="328">
        <f t="shared" ref="AB626:AB635" si="216">X626-O626</f>
        <v>-1.0000000000000009E-2</v>
      </c>
      <c r="AC626" s="328">
        <f t="shared" ref="AC626:AC635" si="217">Z626-S626</f>
        <v>0.55099999999999993</v>
      </c>
    </row>
    <row r="627" spans="1:29">
      <c r="A627" s="318"/>
      <c r="B627" s="319"/>
      <c r="C627" s="318"/>
      <c r="D627" s="318"/>
      <c r="E627" s="319"/>
      <c r="F627" s="319"/>
      <c r="G627" s="318" t="s">
        <v>1071</v>
      </c>
      <c r="H627" s="318">
        <v>4.99</v>
      </c>
      <c r="I627" s="318">
        <v>1</v>
      </c>
      <c r="J627" s="318">
        <f t="shared" si="211"/>
        <v>1</v>
      </c>
      <c r="K627" s="318">
        <f t="shared" si="212"/>
        <v>4.99</v>
      </c>
      <c r="L627" s="318">
        <v>1645</v>
      </c>
      <c r="M627" s="318">
        <v>148</v>
      </c>
      <c r="N627" s="318">
        <v>1</v>
      </c>
      <c r="O627" s="619">
        <f t="shared" si="213"/>
        <v>4.99</v>
      </c>
      <c r="P627" s="755">
        <v>0.67</v>
      </c>
      <c r="Q627" s="750"/>
      <c r="R627" s="337">
        <v>0.67</v>
      </c>
      <c r="S627" s="348">
        <f t="shared" ref="S627:S671" si="218">H627*R627</f>
        <v>3.3433000000000002</v>
      </c>
      <c r="T627" s="319"/>
      <c r="V627" s="328">
        <v>4.99</v>
      </c>
      <c r="W627" s="320">
        <v>1</v>
      </c>
      <c r="X627" s="348">
        <f t="shared" si="214"/>
        <v>4.99</v>
      </c>
      <c r="Y627" s="330">
        <v>1</v>
      </c>
      <c r="Z627" s="348">
        <f t="shared" si="215"/>
        <v>4.99</v>
      </c>
      <c r="AB627" s="328">
        <f t="shared" si="216"/>
        <v>0</v>
      </c>
      <c r="AC627" s="328">
        <f t="shared" si="217"/>
        <v>1.6467000000000001</v>
      </c>
    </row>
    <row r="628" spans="1:29">
      <c r="A628" s="318"/>
      <c r="B628" s="319"/>
      <c r="C628" s="318"/>
      <c r="D628" s="318"/>
      <c r="E628" s="319"/>
      <c r="F628" s="319"/>
      <c r="G628" s="318" t="s">
        <v>1072</v>
      </c>
      <c r="H628" s="318">
        <v>4.49</v>
      </c>
      <c r="I628" s="318">
        <v>1</v>
      </c>
      <c r="J628" s="318">
        <f t="shared" si="211"/>
        <v>1</v>
      </c>
      <c r="K628" s="318">
        <f t="shared" si="212"/>
        <v>4.49</v>
      </c>
      <c r="L628" s="318"/>
      <c r="M628" s="318"/>
      <c r="N628" s="318">
        <v>1</v>
      </c>
      <c r="O628" s="619">
        <f t="shared" si="213"/>
        <v>4.49</v>
      </c>
      <c r="P628" s="755">
        <v>0.67</v>
      </c>
      <c r="Q628" s="750"/>
      <c r="R628" s="337">
        <v>0.67</v>
      </c>
      <c r="S628" s="348">
        <f t="shared" si="218"/>
        <v>3.0083000000000002</v>
      </c>
      <c r="T628" s="319"/>
      <c r="V628" s="328">
        <f t="shared" ref="V628:V643" si="219">4.49</f>
        <v>4.49</v>
      </c>
      <c r="W628" s="320">
        <v>1</v>
      </c>
      <c r="X628" s="348">
        <f t="shared" si="214"/>
        <v>4.49</v>
      </c>
      <c r="Y628" s="330">
        <v>1</v>
      </c>
      <c r="Z628" s="348">
        <f t="shared" si="215"/>
        <v>4.49</v>
      </c>
      <c r="AB628" s="328">
        <f t="shared" si="216"/>
        <v>0</v>
      </c>
      <c r="AC628" s="328">
        <f t="shared" si="217"/>
        <v>1.4817</v>
      </c>
    </row>
    <row r="629" spans="1:29">
      <c r="A629" s="318"/>
      <c r="B629" s="319"/>
      <c r="C629" s="318"/>
      <c r="D629" s="318"/>
      <c r="E629" s="319"/>
      <c r="F629" s="336"/>
      <c r="G629" s="318" t="s">
        <v>1073</v>
      </c>
      <c r="H629" s="318">
        <v>4.49</v>
      </c>
      <c r="I629" s="318">
        <v>1</v>
      </c>
      <c r="J629" s="318">
        <f t="shared" si="211"/>
        <v>1</v>
      </c>
      <c r="K629" s="318">
        <f t="shared" si="212"/>
        <v>4.49</v>
      </c>
      <c r="L629" s="318"/>
      <c r="M629" s="318"/>
      <c r="N629" s="318">
        <v>1</v>
      </c>
      <c r="O629" s="619">
        <f t="shared" si="213"/>
        <v>4.49</v>
      </c>
      <c r="P629" s="755">
        <v>0.67</v>
      </c>
      <c r="Q629" s="750"/>
      <c r="R629" s="337">
        <v>0.67</v>
      </c>
      <c r="S629" s="348">
        <f t="shared" si="218"/>
        <v>3.0083000000000002</v>
      </c>
      <c r="T629" s="319"/>
      <c r="V629" s="328">
        <f t="shared" si="219"/>
        <v>4.49</v>
      </c>
      <c r="W629" s="320">
        <v>1</v>
      </c>
      <c r="X629" s="348">
        <f t="shared" si="214"/>
        <v>4.49</v>
      </c>
      <c r="Y629" s="330">
        <v>1</v>
      </c>
      <c r="Z629" s="348">
        <f t="shared" si="215"/>
        <v>4.49</v>
      </c>
      <c r="AB629" s="328">
        <f t="shared" si="216"/>
        <v>0</v>
      </c>
      <c r="AC629" s="328">
        <f t="shared" si="217"/>
        <v>1.4817</v>
      </c>
    </row>
    <row r="630" spans="1:29">
      <c r="A630" s="318"/>
      <c r="B630" s="319"/>
      <c r="C630" s="318"/>
      <c r="D630" s="318"/>
      <c r="E630" s="319"/>
      <c r="F630" s="319"/>
      <c r="G630" s="318" t="s">
        <v>1074</v>
      </c>
      <c r="H630" s="318">
        <v>4.49</v>
      </c>
      <c r="I630" s="318">
        <v>1</v>
      </c>
      <c r="J630" s="318">
        <f t="shared" si="211"/>
        <v>1</v>
      </c>
      <c r="K630" s="318">
        <f t="shared" si="212"/>
        <v>4.49</v>
      </c>
      <c r="L630" s="318"/>
      <c r="M630" s="318"/>
      <c r="N630" s="318">
        <v>1</v>
      </c>
      <c r="O630" s="619">
        <f t="shared" si="213"/>
        <v>4.49</v>
      </c>
      <c r="P630" s="755">
        <v>0.67</v>
      </c>
      <c r="Q630" s="750"/>
      <c r="R630" s="337">
        <v>0.67</v>
      </c>
      <c r="S630" s="348">
        <f t="shared" si="218"/>
        <v>3.0083000000000002</v>
      </c>
      <c r="T630" s="319"/>
      <c r="V630" s="328">
        <f t="shared" si="219"/>
        <v>4.49</v>
      </c>
      <c r="W630" s="320">
        <v>1</v>
      </c>
      <c r="X630" s="348">
        <f t="shared" si="214"/>
        <v>4.49</v>
      </c>
      <c r="Y630" s="330">
        <v>1</v>
      </c>
      <c r="Z630" s="348">
        <f t="shared" si="215"/>
        <v>4.49</v>
      </c>
      <c r="AB630" s="328">
        <f t="shared" si="216"/>
        <v>0</v>
      </c>
      <c r="AC630" s="328">
        <f t="shared" si="217"/>
        <v>1.4817</v>
      </c>
    </row>
    <row r="631" spans="1:29">
      <c r="A631" s="318"/>
      <c r="B631" s="319"/>
      <c r="C631" s="318"/>
      <c r="D631" s="318"/>
      <c r="E631" s="319"/>
      <c r="F631" s="319"/>
      <c r="G631" s="318" t="s">
        <v>1075</v>
      </c>
      <c r="H631" s="318">
        <v>4.49</v>
      </c>
      <c r="I631" s="318">
        <v>1</v>
      </c>
      <c r="J631" s="318">
        <f t="shared" si="211"/>
        <v>1</v>
      </c>
      <c r="K631" s="318">
        <f t="shared" si="212"/>
        <v>4.49</v>
      </c>
      <c r="L631" s="318"/>
      <c r="M631" s="318"/>
      <c r="N631" s="318">
        <v>1</v>
      </c>
      <c r="O631" s="619">
        <f t="shared" si="213"/>
        <v>4.49</v>
      </c>
      <c r="P631" s="755">
        <v>0.67</v>
      </c>
      <c r="Q631" s="750"/>
      <c r="R631" s="337">
        <v>0.67</v>
      </c>
      <c r="S631" s="348">
        <f t="shared" si="218"/>
        <v>3.0083000000000002</v>
      </c>
      <c r="T631" s="319"/>
      <c r="V631" s="328">
        <f t="shared" si="219"/>
        <v>4.49</v>
      </c>
      <c r="W631" s="320">
        <v>1</v>
      </c>
      <c r="X631" s="348">
        <f t="shared" si="214"/>
        <v>4.49</v>
      </c>
      <c r="Y631" s="330">
        <v>1</v>
      </c>
      <c r="Z631" s="348">
        <f t="shared" si="215"/>
        <v>4.49</v>
      </c>
      <c r="AB631" s="328">
        <f t="shared" si="216"/>
        <v>0</v>
      </c>
      <c r="AC631" s="328">
        <f t="shared" si="217"/>
        <v>1.4817</v>
      </c>
    </row>
    <row r="632" spans="1:29">
      <c r="A632" s="318"/>
      <c r="B632" s="319"/>
      <c r="C632" s="318"/>
      <c r="D632" s="318"/>
      <c r="E632" s="319"/>
      <c r="F632" s="319"/>
      <c r="G632" s="318" t="s">
        <v>1076</v>
      </c>
      <c r="H632" s="318">
        <v>4.49</v>
      </c>
      <c r="I632" s="318">
        <v>1</v>
      </c>
      <c r="J632" s="318">
        <f t="shared" si="211"/>
        <v>1</v>
      </c>
      <c r="K632" s="318">
        <f t="shared" si="212"/>
        <v>4.49</v>
      </c>
      <c r="L632" s="318"/>
      <c r="M632" s="318"/>
      <c r="N632" s="318">
        <v>1</v>
      </c>
      <c r="O632" s="619">
        <f t="shared" si="213"/>
        <v>4.49</v>
      </c>
      <c r="P632" s="755">
        <v>0.67</v>
      </c>
      <c r="Q632" s="750"/>
      <c r="R632" s="337">
        <v>0.67</v>
      </c>
      <c r="S632" s="348">
        <f t="shared" si="218"/>
        <v>3.0083000000000002</v>
      </c>
      <c r="T632" s="319"/>
      <c r="V632" s="328">
        <f t="shared" si="219"/>
        <v>4.49</v>
      </c>
      <c r="W632" s="320">
        <v>1</v>
      </c>
      <c r="X632" s="348">
        <f t="shared" si="214"/>
        <v>4.49</v>
      </c>
      <c r="Y632" s="330">
        <v>1</v>
      </c>
      <c r="Z632" s="348">
        <f t="shared" si="215"/>
        <v>4.49</v>
      </c>
      <c r="AB632" s="328">
        <f t="shared" si="216"/>
        <v>0</v>
      </c>
      <c r="AC632" s="328">
        <f t="shared" si="217"/>
        <v>1.4817</v>
      </c>
    </row>
    <row r="633" spans="1:29">
      <c r="A633" s="318"/>
      <c r="B633" s="319"/>
      <c r="C633" s="318"/>
      <c r="D633" s="318"/>
      <c r="E633" s="319"/>
      <c r="F633" s="319"/>
      <c r="G633" s="318" t="s">
        <v>1077</v>
      </c>
      <c r="H633" s="318">
        <v>4.49</v>
      </c>
      <c r="I633" s="318">
        <v>1</v>
      </c>
      <c r="J633" s="318">
        <f t="shared" si="211"/>
        <v>1</v>
      </c>
      <c r="K633" s="318">
        <f t="shared" si="212"/>
        <v>4.49</v>
      </c>
      <c r="L633" s="318"/>
      <c r="M633" s="318"/>
      <c r="N633" s="318">
        <v>1</v>
      </c>
      <c r="O633" s="619">
        <f t="shared" si="213"/>
        <v>4.49</v>
      </c>
      <c r="P633" s="755">
        <v>0.67</v>
      </c>
      <c r="Q633" s="750"/>
      <c r="R633" s="337">
        <v>0.67</v>
      </c>
      <c r="S633" s="348">
        <f t="shared" si="218"/>
        <v>3.0083000000000002</v>
      </c>
      <c r="T633" s="319"/>
      <c r="V633" s="328">
        <f t="shared" si="219"/>
        <v>4.49</v>
      </c>
      <c r="W633" s="320">
        <v>1</v>
      </c>
      <c r="X633" s="348">
        <f t="shared" si="214"/>
        <v>4.49</v>
      </c>
      <c r="Y633" s="330">
        <v>1</v>
      </c>
      <c r="Z633" s="348">
        <f t="shared" si="215"/>
        <v>4.49</v>
      </c>
      <c r="AB633" s="328">
        <f t="shared" si="216"/>
        <v>0</v>
      </c>
      <c r="AC633" s="328">
        <f t="shared" si="217"/>
        <v>1.4817</v>
      </c>
    </row>
    <row r="634" spans="1:29" ht="14.4" customHeight="1">
      <c r="A634" s="318"/>
      <c r="B634" s="319"/>
      <c r="C634" s="318"/>
      <c r="D634" s="318"/>
      <c r="E634" s="319"/>
      <c r="F634" s="336"/>
      <c r="G634" s="318" t="s">
        <v>1078</v>
      </c>
      <c r="H634" s="318">
        <v>4.49</v>
      </c>
      <c r="I634" s="318">
        <v>1</v>
      </c>
      <c r="J634" s="318">
        <f t="shared" si="211"/>
        <v>1</v>
      </c>
      <c r="K634" s="318">
        <f t="shared" si="212"/>
        <v>4.49</v>
      </c>
      <c r="L634" s="318"/>
      <c r="M634" s="318"/>
      <c r="N634" s="318">
        <v>1</v>
      </c>
      <c r="O634" s="619">
        <f t="shared" si="213"/>
        <v>4.49</v>
      </c>
      <c r="P634" s="755">
        <v>0.67</v>
      </c>
      <c r="Q634" s="750"/>
      <c r="R634" s="337">
        <v>0.67</v>
      </c>
      <c r="S634" s="348">
        <f t="shared" si="218"/>
        <v>3.0083000000000002</v>
      </c>
      <c r="T634" s="319"/>
      <c r="V634" s="328">
        <f t="shared" si="219"/>
        <v>4.49</v>
      </c>
      <c r="W634" s="320">
        <v>1</v>
      </c>
      <c r="X634" s="348">
        <f t="shared" si="214"/>
        <v>4.49</v>
      </c>
      <c r="Y634" s="330">
        <v>1</v>
      </c>
      <c r="Z634" s="348">
        <f t="shared" si="215"/>
        <v>4.49</v>
      </c>
      <c r="AB634" s="328">
        <f t="shared" si="216"/>
        <v>0</v>
      </c>
      <c r="AC634" s="328">
        <f t="shared" si="217"/>
        <v>1.4817</v>
      </c>
    </row>
    <row r="635" spans="1:29" ht="20.399999999999999">
      <c r="A635" s="318"/>
      <c r="B635" s="319"/>
      <c r="C635" s="318"/>
      <c r="D635" s="318"/>
      <c r="E635" s="319"/>
      <c r="F635" s="336" t="s">
        <v>604</v>
      </c>
      <c r="G635" s="318" t="s">
        <v>1079</v>
      </c>
      <c r="H635" s="318">
        <v>4.8</v>
      </c>
      <c r="I635" s="318">
        <v>1</v>
      </c>
      <c r="J635" s="318">
        <v>1</v>
      </c>
      <c r="K635" s="318">
        <f t="shared" si="212"/>
        <v>4.8</v>
      </c>
      <c r="L635" s="350" t="s">
        <v>3262</v>
      </c>
      <c r="M635" s="350" t="s">
        <v>3245</v>
      </c>
      <c r="N635" s="318">
        <v>1</v>
      </c>
      <c r="O635" s="619">
        <f t="shared" si="213"/>
        <v>4.8</v>
      </c>
      <c r="P635" s="755">
        <v>0.67</v>
      </c>
      <c r="Q635" s="750"/>
      <c r="R635" s="337">
        <v>0.67</v>
      </c>
      <c r="S635" s="348">
        <f t="shared" si="218"/>
        <v>3.2160000000000002</v>
      </c>
      <c r="T635" s="319" t="s">
        <v>3453</v>
      </c>
      <c r="V635" s="328">
        <f t="shared" si="219"/>
        <v>4.49</v>
      </c>
      <c r="W635" s="320"/>
      <c r="X635" s="348">
        <f t="shared" si="214"/>
        <v>0</v>
      </c>
      <c r="Y635" s="330"/>
      <c r="Z635" s="348">
        <f t="shared" si="215"/>
        <v>0</v>
      </c>
      <c r="AB635" s="328">
        <f t="shared" si="216"/>
        <v>-4.8</v>
      </c>
      <c r="AC635" s="328">
        <f t="shared" si="217"/>
        <v>-3.2160000000000002</v>
      </c>
    </row>
    <row r="636" spans="1:29" collapsed="1">
      <c r="A636" s="584"/>
      <c r="B636" s="585"/>
      <c r="C636" s="584"/>
      <c r="D636" s="584"/>
      <c r="E636" s="585"/>
      <c r="F636" s="585" t="s">
        <v>384</v>
      </c>
      <c r="G636" s="584" t="s">
        <v>523</v>
      </c>
      <c r="H636" s="584"/>
      <c r="I636" s="584"/>
      <c r="J636" s="584"/>
      <c r="K636" s="584"/>
      <c r="L636" s="584"/>
      <c r="M636" s="584"/>
      <c r="N636" s="584"/>
      <c r="O636" s="631" t="s">
        <v>2321</v>
      </c>
      <c r="P636" s="750"/>
      <c r="Q636" s="750"/>
      <c r="R636" s="337"/>
      <c r="S636" s="348">
        <f t="shared" si="218"/>
        <v>0</v>
      </c>
      <c r="T636" s="1024" t="s">
        <v>561</v>
      </c>
      <c r="V636" s="328"/>
      <c r="W636" s="318"/>
      <c r="X636" s="384" t="s">
        <v>2321</v>
      </c>
      <c r="Y636" s="337"/>
      <c r="Z636" s="350" t="s">
        <v>2321</v>
      </c>
      <c r="AB636" s="328"/>
      <c r="AC636" s="328"/>
    </row>
    <row r="637" spans="1:29">
      <c r="A637" s="584"/>
      <c r="B637" s="585"/>
      <c r="C637" s="584"/>
      <c r="D637" s="584"/>
      <c r="E637" s="585"/>
      <c r="F637" s="585" t="s">
        <v>384</v>
      </c>
      <c r="G637" s="584" t="s">
        <v>524</v>
      </c>
      <c r="H637" s="584"/>
      <c r="I637" s="584"/>
      <c r="J637" s="584"/>
      <c r="K637" s="584"/>
      <c r="L637" s="584"/>
      <c r="M637" s="584"/>
      <c r="N637" s="584"/>
      <c r="O637" s="631" t="s">
        <v>2321</v>
      </c>
      <c r="P637" s="750"/>
      <c r="Q637" s="750"/>
      <c r="R637" s="337"/>
      <c r="S637" s="348">
        <f t="shared" si="218"/>
        <v>0</v>
      </c>
      <c r="T637" s="1025"/>
      <c r="V637" s="328"/>
      <c r="W637" s="318"/>
      <c r="X637" s="384" t="s">
        <v>2321</v>
      </c>
      <c r="Y637" s="337"/>
      <c r="Z637" s="350" t="s">
        <v>2321</v>
      </c>
      <c r="AB637" s="328"/>
      <c r="AC637" s="328"/>
    </row>
    <row r="638" spans="1:29">
      <c r="A638" s="584"/>
      <c r="B638" s="585"/>
      <c r="C638" s="584"/>
      <c r="D638" s="584"/>
      <c r="E638" s="585"/>
      <c r="F638" s="585" t="s">
        <v>384</v>
      </c>
      <c r="G638" s="584" t="s">
        <v>525</v>
      </c>
      <c r="H638" s="584"/>
      <c r="I638" s="584"/>
      <c r="J638" s="584"/>
      <c r="K638" s="584"/>
      <c r="L638" s="584"/>
      <c r="M638" s="584"/>
      <c r="N638" s="584"/>
      <c r="O638" s="631" t="s">
        <v>2321</v>
      </c>
      <c r="P638" s="750"/>
      <c r="Q638" s="750"/>
      <c r="R638" s="337"/>
      <c r="S638" s="348">
        <f t="shared" si="218"/>
        <v>0</v>
      </c>
      <c r="T638" s="1025"/>
      <c r="V638" s="328"/>
      <c r="W638" s="318"/>
      <c r="X638" s="384" t="s">
        <v>2321</v>
      </c>
      <c r="Y638" s="337"/>
      <c r="Z638" s="350" t="s">
        <v>2321</v>
      </c>
      <c r="AB638" s="328"/>
      <c r="AC638" s="328"/>
    </row>
    <row r="639" spans="1:29">
      <c r="A639" s="584"/>
      <c r="B639" s="585"/>
      <c r="C639" s="584"/>
      <c r="D639" s="584"/>
      <c r="E639" s="585"/>
      <c r="F639" s="585" t="s">
        <v>384</v>
      </c>
      <c r="G639" s="584" t="s">
        <v>526</v>
      </c>
      <c r="H639" s="584"/>
      <c r="I639" s="584"/>
      <c r="J639" s="584"/>
      <c r="K639" s="584"/>
      <c r="L639" s="584"/>
      <c r="M639" s="584"/>
      <c r="N639" s="584"/>
      <c r="O639" s="631" t="s">
        <v>2321</v>
      </c>
      <c r="P639" s="750"/>
      <c r="Q639" s="750"/>
      <c r="R639" s="337"/>
      <c r="S639" s="348">
        <f t="shared" si="218"/>
        <v>0</v>
      </c>
      <c r="T639" s="1026"/>
      <c r="V639" s="328"/>
      <c r="W639" s="318"/>
      <c r="X639" s="384" t="s">
        <v>2321</v>
      </c>
      <c r="Y639" s="337"/>
      <c r="Z639" s="350" t="s">
        <v>2321</v>
      </c>
      <c r="AB639" s="328"/>
      <c r="AC639" s="328"/>
    </row>
    <row r="640" spans="1:29" ht="20.399999999999999">
      <c r="A640" s="318"/>
      <c r="B640" s="319"/>
      <c r="C640" s="318"/>
      <c r="D640" s="318"/>
      <c r="E640" s="319"/>
      <c r="F640" s="336" t="s">
        <v>604</v>
      </c>
      <c r="G640" s="318" t="s">
        <v>1080</v>
      </c>
      <c r="H640" s="318">
        <v>4.8</v>
      </c>
      <c r="I640" s="318">
        <v>1</v>
      </c>
      <c r="J640" s="318">
        <v>1</v>
      </c>
      <c r="K640" s="318">
        <f t="shared" ref="K640:K671" si="220">H640*J640</f>
        <v>4.8</v>
      </c>
      <c r="L640" s="350" t="s">
        <v>3233</v>
      </c>
      <c r="M640" s="350" t="s">
        <v>3239</v>
      </c>
      <c r="N640" s="318">
        <v>1</v>
      </c>
      <c r="O640" s="619">
        <f t="shared" ref="O640:O671" si="221">H640*N640</f>
        <v>4.8</v>
      </c>
      <c r="P640" s="755">
        <v>0.67</v>
      </c>
      <c r="Q640" s="750"/>
      <c r="R640" s="337">
        <v>0.67</v>
      </c>
      <c r="S640" s="348">
        <f t="shared" si="218"/>
        <v>3.2160000000000002</v>
      </c>
      <c r="T640" s="319" t="s">
        <v>3453</v>
      </c>
      <c r="V640" s="328">
        <f t="shared" si="219"/>
        <v>4.49</v>
      </c>
      <c r="W640" s="320"/>
      <c r="X640" s="348">
        <f t="shared" ref="X640:X671" si="222">V640*W640</f>
        <v>0</v>
      </c>
      <c r="Y640" s="330"/>
      <c r="Z640" s="348">
        <f t="shared" ref="Z640:Z671" si="223">V640*Y640</f>
        <v>0</v>
      </c>
      <c r="AB640" s="328">
        <f t="shared" ref="AB640:AB671" si="224">X640-O640</f>
        <v>-4.8</v>
      </c>
      <c r="AC640" s="328">
        <f t="shared" ref="AC640:AC671" si="225">Z640-S640</f>
        <v>-3.2160000000000002</v>
      </c>
    </row>
    <row r="641" spans="1:29">
      <c r="A641" s="318"/>
      <c r="B641" s="319"/>
      <c r="C641" s="318"/>
      <c r="D641" s="318"/>
      <c r="E641" s="319"/>
      <c r="F641" s="319"/>
      <c r="G641" s="318" t="s">
        <v>1081</v>
      </c>
      <c r="H641" s="318">
        <v>4.49</v>
      </c>
      <c r="I641" s="318">
        <v>1</v>
      </c>
      <c r="J641" s="318">
        <f t="shared" ref="J641:J671" si="226">IF(N641&gt;0,1,0)</f>
        <v>1</v>
      </c>
      <c r="K641" s="318">
        <f t="shared" si="220"/>
        <v>4.49</v>
      </c>
      <c r="L641" s="318"/>
      <c r="M641" s="318"/>
      <c r="N641" s="318">
        <v>1</v>
      </c>
      <c r="O641" s="619">
        <f t="shared" si="221"/>
        <v>4.49</v>
      </c>
      <c r="P641" s="755">
        <v>0.67</v>
      </c>
      <c r="Q641" s="750"/>
      <c r="R641" s="337">
        <v>0.67</v>
      </c>
      <c r="S641" s="348">
        <f t="shared" si="218"/>
        <v>3.0083000000000002</v>
      </c>
      <c r="T641" s="319"/>
      <c r="V641" s="328">
        <f t="shared" si="219"/>
        <v>4.49</v>
      </c>
      <c r="W641" s="320">
        <v>1</v>
      </c>
      <c r="X641" s="348">
        <f t="shared" si="222"/>
        <v>4.49</v>
      </c>
      <c r="Y641" s="330"/>
      <c r="Z641" s="348">
        <f t="shared" si="223"/>
        <v>0</v>
      </c>
      <c r="AB641" s="328">
        <f t="shared" si="224"/>
        <v>0</v>
      </c>
      <c r="AC641" s="328">
        <f t="shared" si="225"/>
        <v>-3.0083000000000002</v>
      </c>
    </row>
    <row r="642" spans="1:29">
      <c r="A642" s="318"/>
      <c r="B642" s="319"/>
      <c r="C642" s="318"/>
      <c r="D642" s="318"/>
      <c r="E642" s="319"/>
      <c r="F642" s="319"/>
      <c r="G642" s="318" t="s">
        <v>1082</v>
      </c>
      <c r="H642" s="318">
        <v>4.49</v>
      </c>
      <c r="I642" s="318">
        <v>1</v>
      </c>
      <c r="J642" s="318">
        <f t="shared" si="226"/>
        <v>1</v>
      </c>
      <c r="K642" s="318">
        <f t="shared" si="220"/>
        <v>4.49</v>
      </c>
      <c r="L642" s="318"/>
      <c r="M642" s="318"/>
      <c r="N642" s="318">
        <v>1</v>
      </c>
      <c r="O642" s="619">
        <f t="shared" si="221"/>
        <v>4.49</v>
      </c>
      <c r="P642" s="755">
        <v>0.67</v>
      </c>
      <c r="Q642" s="750"/>
      <c r="R642" s="337">
        <v>0.67</v>
      </c>
      <c r="S642" s="348">
        <f t="shared" si="218"/>
        <v>3.0083000000000002</v>
      </c>
      <c r="T642" s="319"/>
      <c r="V642" s="328">
        <f t="shared" si="219"/>
        <v>4.49</v>
      </c>
      <c r="W642" s="320">
        <v>1</v>
      </c>
      <c r="X642" s="348">
        <f t="shared" si="222"/>
        <v>4.49</v>
      </c>
      <c r="Y642" s="330"/>
      <c r="Z642" s="348">
        <f t="shared" si="223"/>
        <v>0</v>
      </c>
      <c r="AB642" s="328">
        <f t="shared" si="224"/>
        <v>0</v>
      </c>
      <c r="AC642" s="328">
        <f t="shared" si="225"/>
        <v>-3.0083000000000002</v>
      </c>
    </row>
    <row r="643" spans="1:29">
      <c r="A643" s="318"/>
      <c r="B643" s="319"/>
      <c r="C643" s="318"/>
      <c r="D643" s="318"/>
      <c r="E643" s="319"/>
      <c r="F643" s="319"/>
      <c r="G643" s="318" t="s">
        <v>1083</v>
      </c>
      <c r="H643" s="318">
        <v>4.49</v>
      </c>
      <c r="I643" s="318">
        <v>1</v>
      </c>
      <c r="J643" s="318">
        <f t="shared" si="226"/>
        <v>1</v>
      </c>
      <c r="K643" s="318">
        <f t="shared" si="220"/>
        <v>4.49</v>
      </c>
      <c r="L643" s="318"/>
      <c r="M643" s="318"/>
      <c r="N643" s="318">
        <v>1</v>
      </c>
      <c r="O643" s="619">
        <f t="shared" si="221"/>
        <v>4.49</v>
      </c>
      <c r="P643" s="755">
        <v>0.67</v>
      </c>
      <c r="Q643" s="750"/>
      <c r="R643" s="337">
        <v>0.67</v>
      </c>
      <c r="S643" s="348">
        <f t="shared" si="218"/>
        <v>3.0083000000000002</v>
      </c>
      <c r="T643" s="319"/>
      <c r="V643" s="328">
        <f t="shared" si="219"/>
        <v>4.49</v>
      </c>
      <c r="W643" s="320">
        <v>1</v>
      </c>
      <c r="X643" s="348">
        <f t="shared" si="222"/>
        <v>4.49</v>
      </c>
      <c r="Y643" s="330">
        <v>1</v>
      </c>
      <c r="Z643" s="348">
        <f t="shared" si="223"/>
        <v>4.49</v>
      </c>
      <c r="AB643" s="328">
        <f t="shared" si="224"/>
        <v>0</v>
      </c>
      <c r="AC643" s="328">
        <f t="shared" si="225"/>
        <v>1.4817</v>
      </c>
    </row>
    <row r="644" spans="1:29">
      <c r="A644" s="318"/>
      <c r="B644" s="319"/>
      <c r="C644" s="318"/>
      <c r="D644" s="318"/>
      <c r="E644" s="319"/>
      <c r="F644" s="336"/>
      <c r="G644" s="318" t="s">
        <v>1084</v>
      </c>
      <c r="H644" s="318">
        <v>4.49</v>
      </c>
      <c r="I644" s="318">
        <v>1</v>
      </c>
      <c r="J644" s="318">
        <f t="shared" si="226"/>
        <v>1</v>
      </c>
      <c r="K644" s="318">
        <f t="shared" si="220"/>
        <v>4.49</v>
      </c>
      <c r="L644" s="350" t="s">
        <v>2794</v>
      </c>
      <c r="M644" s="318">
        <v>179</v>
      </c>
      <c r="N644" s="318">
        <v>1</v>
      </c>
      <c r="O644" s="619">
        <f t="shared" si="221"/>
        <v>4.49</v>
      </c>
      <c r="P644" s="755">
        <v>0.67</v>
      </c>
      <c r="Q644" s="750"/>
      <c r="R644" s="337">
        <v>0.67</v>
      </c>
      <c r="S644" s="348">
        <f t="shared" si="218"/>
        <v>3.0083000000000002</v>
      </c>
      <c r="T644" s="319"/>
      <c r="V644" s="328">
        <v>4.226</v>
      </c>
      <c r="W644" s="320">
        <v>1</v>
      </c>
      <c r="X644" s="348">
        <f t="shared" si="222"/>
        <v>4.226</v>
      </c>
      <c r="Y644" s="330">
        <v>1</v>
      </c>
      <c r="Z644" s="348">
        <f t="shared" si="223"/>
        <v>4.226</v>
      </c>
      <c r="AB644" s="328">
        <f t="shared" si="224"/>
        <v>-0.26400000000000023</v>
      </c>
      <c r="AC644" s="328">
        <f t="shared" si="225"/>
        <v>1.2176999999999998</v>
      </c>
    </row>
    <row r="645" spans="1:29">
      <c r="A645" s="318"/>
      <c r="B645" s="319"/>
      <c r="C645" s="318"/>
      <c r="D645" s="318"/>
      <c r="E645" s="319"/>
      <c r="F645" s="336"/>
      <c r="G645" s="318" t="s">
        <v>1085</v>
      </c>
      <c r="H645" s="319">
        <v>1.81</v>
      </c>
      <c r="I645" s="318">
        <v>1</v>
      </c>
      <c r="J645" s="318">
        <f t="shared" si="226"/>
        <v>1</v>
      </c>
      <c r="K645" s="318">
        <f t="shared" si="220"/>
        <v>1.81</v>
      </c>
      <c r="L645" s="350" t="s">
        <v>2795</v>
      </c>
      <c r="M645" s="318">
        <v>179</v>
      </c>
      <c r="N645" s="318">
        <v>1</v>
      </c>
      <c r="O645" s="619">
        <f t="shared" si="221"/>
        <v>1.81</v>
      </c>
      <c r="P645" s="755">
        <v>0.67</v>
      </c>
      <c r="Q645" s="750"/>
      <c r="R645" s="337">
        <v>0.67</v>
      </c>
      <c r="S645" s="348">
        <f t="shared" si="218"/>
        <v>1.2127000000000001</v>
      </c>
      <c r="T645" s="319"/>
      <c r="V645" s="333">
        <v>1.8</v>
      </c>
      <c r="W645" s="320">
        <v>1</v>
      </c>
      <c r="X645" s="348">
        <f t="shared" si="222"/>
        <v>1.8</v>
      </c>
      <c r="Y645" s="330">
        <v>1</v>
      </c>
      <c r="Z645" s="348">
        <f t="shared" si="223"/>
        <v>1.8</v>
      </c>
      <c r="AB645" s="333">
        <f t="shared" si="224"/>
        <v>-1.0000000000000009E-2</v>
      </c>
      <c r="AC645" s="333">
        <f t="shared" si="225"/>
        <v>0.58729999999999993</v>
      </c>
    </row>
    <row r="646" spans="1:29">
      <c r="A646" s="318"/>
      <c r="B646" s="319"/>
      <c r="C646" s="318"/>
      <c r="D646" s="318"/>
      <c r="E646" s="319"/>
      <c r="F646" s="319"/>
      <c r="G646" s="318" t="s">
        <v>1086</v>
      </c>
      <c r="H646" s="319">
        <v>3.15</v>
      </c>
      <c r="I646" s="318">
        <v>1</v>
      </c>
      <c r="J646" s="318">
        <f t="shared" si="226"/>
        <v>1</v>
      </c>
      <c r="K646" s="318">
        <f t="shared" si="220"/>
        <v>3.15</v>
      </c>
      <c r="L646" s="318"/>
      <c r="M646" s="318"/>
      <c r="N646" s="318">
        <v>1</v>
      </c>
      <c r="O646" s="619">
        <f t="shared" si="221"/>
        <v>3.15</v>
      </c>
      <c r="P646" s="755">
        <v>0.67</v>
      </c>
      <c r="Q646" s="750"/>
      <c r="R646" s="337">
        <v>0.67</v>
      </c>
      <c r="S646" s="348">
        <f t="shared" si="218"/>
        <v>2.1105</v>
      </c>
      <c r="T646" s="319"/>
      <c r="V646" s="333">
        <v>3.14</v>
      </c>
      <c r="W646" s="320">
        <v>1</v>
      </c>
      <c r="X646" s="348">
        <f t="shared" si="222"/>
        <v>3.14</v>
      </c>
      <c r="Y646" s="330">
        <v>1</v>
      </c>
      <c r="Z646" s="348">
        <f t="shared" si="223"/>
        <v>3.14</v>
      </c>
      <c r="AB646" s="333">
        <f t="shared" si="224"/>
        <v>-9.9999999999997868E-3</v>
      </c>
      <c r="AC646" s="333">
        <f t="shared" si="225"/>
        <v>1.0295000000000001</v>
      </c>
    </row>
    <row r="647" spans="1:29">
      <c r="A647" s="318"/>
      <c r="B647" s="319"/>
      <c r="C647" s="318"/>
      <c r="D647" s="318"/>
      <c r="E647" s="319"/>
      <c r="F647" s="319"/>
      <c r="G647" s="318" t="s">
        <v>1087</v>
      </c>
      <c r="H647" s="319">
        <v>4.3499999999999996</v>
      </c>
      <c r="I647" s="318">
        <v>1</v>
      </c>
      <c r="J647" s="318">
        <f t="shared" si="226"/>
        <v>1</v>
      </c>
      <c r="K647" s="318">
        <f t="shared" si="220"/>
        <v>4.3499999999999996</v>
      </c>
      <c r="L647" s="318"/>
      <c r="M647" s="318"/>
      <c r="N647" s="318">
        <v>1</v>
      </c>
      <c r="O647" s="619">
        <f t="shared" si="221"/>
        <v>4.3499999999999996</v>
      </c>
      <c r="P647" s="755">
        <v>0.67</v>
      </c>
      <c r="Q647" s="750"/>
      <c r="R647" s="337">
        <v>0.67</v>
      </c>
      <c r="S647" s="348">
        <f t="shared" si="218"/>
        <v>2.9144999999999999</v>
      </c>
      <c r="T647" s="319"/>
      <c r="V647" s="333">
        <v>4.34</v>
      </c>
      <c r="W647" s="320">
        <v>1</v>
      </c>
      <c r="X647" s="348">
        <f t="shared" si="222"/>
        <v>4.34</v>
      </c>
      <c r="Y647" s="330">
        <v>1</v>
      </c>
      <c r="Z647" s="348">
        <f t="shared" si="223"/>
        <v>4.34</v>
      </c>
      <c r="AB647" s="333">
        <f t="shared" si="224"/>
        <v>-9.9999999999997868E-3</v>
      </c>
      <c r="AC647" s="333">
        <f t="shared" si="225"/>
        <v>1.4255</v>
      </c>
    </row>
    <row r="648" spans="1:29">
      <c r="A648" s="318"/>
      <c r="B648" s="319"/>
      <c r="C648" s="318"/>
      <c r="D648" s="318"/>
      <c r="E648" s="319"/>
      <c r="F648" s="336"/>
      <c r="G648" s="318" t="s">
        <v>1088</v>
      </c>
      <c r="H648" s="319">
        <v>4.3499999999999996</v>
      </c>
      <c r="I648" s="318">
        <v>1</v>
      </c>
      <c r="J648" s="318">
        <f t="shared" si="226"/>
        <v>1</v>
      </c>
      <c r="K648" s="318">
        <f t="shared" si="220"/>
        <v>4.3499999999999996</v>
      </c>
      <c r="L648" s="318"/>
      <c r="M648" s="318"/>
      <c r="N648" s="318">
        <v>1</v>
      </c>
      <c r="O648" s="619">
        <f t="shared" si="221"/>
        <v>4.3499999999999996</v>
      </c>
      <c r="P648" s="755">
        <v>0.67</v>
      </c>
      <c r="Q648" s="750"/>
      <c r="R648" s="337">
        <v>0.67</v>
      </c>
      <c r="S648" s="348">
        <f t="shared" si="218"/>
        <v>2.9144999999999999</v>
      </c>
      <c r="T648" s="319"/>
      <c r="V648" s="333">
        <v>4.34</v>
      </c>
      <c r="W648" s="320">
        <v>1</v>
      </c>
      <c r="X648" s="348">
        <f t="shared" si="222"/>
        <v>4.34</v>
      </c>
      <c r="Y648" s="330">
        <v>1</v>
      </c>
      <c r="Z648" s="348">
        <f t="shared" si="223"/>
        <v>4.34</v>
      </c>
      <c r="AB648" s="333">
        <f t="shared" si="224"/>
        <v>-9.9999999999997868E-3</v>
      </c>
      <c r="AC648" s="333">
        <f t="shared" si="225"/>
        <v>1.4255</v>
      </c>
    </row>
    <row r="649" spans="1:29" ht="14.4" customHeight="1">
      <c r="A649" s="318"/>
      <c r="B649" s="319"/>
      <c r="C649" s="318"/>
      <c r="D649" s="318"/>
      <c r="E649" s="319"/>
      <c r="F649" s="319"/>
      <c r="G649" s="318" t="s">
        <v>1089</v>
      </c>
      <c r="H649" s="319">
        <v>4.3499999999999996</v>
      </c>
      <c r="I649" s="318">
        <v>1</v>
      </c>
      <c r="J649" s="318">
        <f t="shared" si="226"/>
        <v>1</v>
      </c>
      <c r="K649" s="318">
        <f t="shared" si="220"/>
        <v>4.3499999999999996</v>
      </c>
      <c r="L649" s="318"/>
      <c r="M649" s="318"/>
      <c r="N649" s="318">
        <v>1</v>
      </c>
      <c r="O649" s="619">
        <f t="shared" si="221"/>
        <v>4.3499999999999996</v>
      </c>
      <c r="P649" s="755">
        <v>0.67</v>
      </c>
      <c r="Q649" s="750"/>
      <c r="R649" s="337">
        <v>0.67</v>
      </c>
      <c r="S649" s="348">
        <f t="shared" si="218"/>
        <v>2.9144999999999999</v>
      </c>
      <c r="T649" s="319"/>
      <c r="V649" s="333">
        <v>4.34</v>
      </c>
      <c r="W649" s="320">
        <v>1</v>
      </c>
      <c r="X649" s="348">
        <f t="shared" si="222"/>
        <v>4.34</v>
      </c>
      <c r="Y649" s="330">
        <v>1</v>
      </c>
      <c r="Z649" s="348">
        <f t="shared" si="223"/>
        <v>4.34</v>
      </c>
      <c r="AB649" s="333">
        <f t="shared" si="224"/>
        <v>-9.9999999999997868E-3</v>
      </c>
      <c r="AC649" s="333">
        <f t="shared" si="225"/>
        <v>1.4255</v>
      </c>
    </row>
    <row r="650" spans="1:29">
      <c r="A650" s="318"/>
      <c r="B650" s="319"/>
      <c r="C650" s="318"/>
      <c r="D650" s="318"/>
      <c r="E650" s="319"/>
      <c r="F650" s="336"/>
      <c r="G650" s="318" t="s">
        <v>1090</v>
      </c>
      <c r="H650" s="319">
        <v>4.3499999999999996</v>
      </c>
      <c r="I650" s="318">
        <v>1</v>
      </c>
      <c r="J650" s="318">
        <f t="shared" si="226"/>
        <v>1</v>
      </c>
      <c r="K650" s="318">
        <f t="shared" si="220"/>
        <v>4.3499999999999996</v>
      </c>
      <c r="L650" s="318"/>
      <c r="M650" s="318"/>
      <c r="N650" s="318">
        <v>1</v>
      </c>
      <c r="O650" s="619">
        <f t="shared" si="221"/>
        <v>4.3499999999999996</v>
      </c>
      <c r="P650" s="755">
        <v>0.67</v>
      </c>
      <c r="Q650" s="750"/>
      <c r="R650" s="337">
        <v>0.67</v>
      </c>
      <c r="S650" s="348">
        <f t="shared" si="218"/>
        <v>2.9144999999999999</v>
      </c>
      <c r="T650" s="319"/>
      <c r="V650" s="333">
        <v>4.34</v>
      </c>
      <c r="W650" s="320">
        <v>1</v>
      </c>
      <c r="X650" s="348">
        <f t="shared" si="222"/>
        <v>4.34</v>
      </c>
      <c r="Y650" s="330">
        <v>1</v>
      </c>
      <c r="Z650" s="348">
        <f t="shared" si="223"/>
        <v>4.34</v>
      </c>
      <c r="AB650" s="333">
        <f t="shared" si="224"/>
        <v>-9.9999999999997868E-3</v>
      </c>
      <c r="AC650" s="333">
        <f t="shared" si="225"/>
        <v>1.4255</v>
      </c>
    </row>
    <row r="651" spans="1:29">
      <c r="A651" s="318"/>
      <c r="B651" s="319"/>
      <c r="C651" s="318"/>
      <c r="D651" s="318"/>
      <c r="E651" s="319"/>
      <c r="F651" s="336"/>
      <c r="G651" s="318" t="s">
        <v>1091</v>
      </c>
      <c r="H651" s="318">
        <v>3.34</v>
      </c>
      <c r="I651" s="318">
        <v>1</v>
      </c>
      <c r="J651" s="318">
        <f t="shared" si="226"/>
        <v>1</v>
      </c>
      <c r="K651" s="318">
        <f t="shared" si="220"/>
        <v>3.34</v>
      </c>
      <c r="L651" s="318"/>
      <c r="M651" s="318"/>
      <c r="N651" s="318">
        <v>1</v>
      </c>
      <c r="O651" s="619">
        <f t="shared" si="221"/>
        <v>3.34</v>
      </c>
      <c r="P651" s="755">
        <v>0.67</v>
      </c>
      <c r="Q651" s="750"/>
      <c r="R651" s="337">
        <v>0.67</v>
      </c>
      <c r="S651" s="348">
        <f t="shared" si="218"/>
        <v>2.2378</v>
      </c>
      <c r="T651" s="319"/>
      <c r="V651" s="328">
        <v>3.33</v>
      </c>
      <c r="W651" s="320">
        <v>1</v>
      </c>
      <c r="X651" s="348">
        <f t="shared" si="222"/>
        <v>3.33</v>
      </c>
      <c r="Y651" s="330">
        <v>1</v>
      </c>
      <c r="Z651" s="348">
        <f t="shared" si="223"/>
        <v>3.33</v>
      </c>
      <c r="AB651" s="328">
        <f t="shared" si="224"/>
        <v>-9.9999999999997868E-3</v>
      </c>
      <c r="AC651" s="328">
        <f t="shared" si="225"/>
        <v>1.0922000000000001</v>
      </c>
    </row>
    <row r="652" spans="1:29">
      <c r="A652" s="318"/>
      <c r="B652" s="319"/>
      <c r="C652" s="318"/>
      <c r="D652" s="318"/>
      <c r="E652" s="319"/>
      <c r="F652" s="319"/>
      <c r="G652" s="318" t="s">
        <v>1092</v>
      </c>
      <c r="H652" s="318">
        <v>1.81</v>
      </c>
      <c r="I652" s="318">
        <v>1</v>
      </c>
      <c r="J652" s="318">
        <f t="shared" si="226"/>
        <v>1</v>
      </c>
      <c r="K652" s="318">
        <f t="shared" si="220"/>
        <v>1.81</v>
      </c>
      <c r="L652" s="318"/>
      <c r="M652" s="318"/>
      <c r="N652" s="318">
        <v>1</v>
      </c>
      <c r="O652" s="619">
        <f t="shared" si="221"/>
        <v>1.81</v>
      </c>
      <c r="P652" s="755">
        <v>0.67</v>
      </c>
      <c r="Q652" s="750"/>
      <c r="R652" s="337">
        <v>0.67</v>
      </c>
      <c r="S652" s="348">
        <f t="shared" si="218"/>
        <v>1.2127000000000001</v>
      </c>
      <c r="T652" s="319"/>
      <c r="V652" s="328">
        <v>1.8</v>
      </c>
      <c r="W652" s="320">
        <v>1</v>
      </c>
      <c r="X652" s="348">
        <f t="shared" si="222"/>
        <v>1.8</v>
      </c>
      <c r="Y652" s="330">
        <v>1</v>
      </c>
      <c r="Z652" s="348">
        <f t="shared" si="223"/>
        <v>1.8</v>
      </c>
      <c r="AB652" s="328">
        <f t="shared" si="224"/>
        <v>-1.0000000000000009E-2</v>
      </c>
      <c r="AC652" s="328">
        <f t="shared" si="225"/>
        <v>0.58729999999999993</v>
      </c>
    </row>
    <row r="653" spans="1:29">
      <c r="A653" s="318"/>
      <c r="B653" s="319"/>
      <c r="C653" s="318"/>
      <c r="D653" s="318"/>
      <c r="E653" s="319"/>
      <c r="F653" s="336"/>
      <c r="G653" s="318" t="s">
        <v>1093</v>
      </c>
      <c r="H653" s="318">
        <v>4.49</v>
      </c>
      <c r="I653" s="318">
        <v>1</v>
      </c>
      <c r="J653" s="318">
        <f t="shared" si="226"/>
        <v>1</v>
      </c>
      <c r="K653" s="318">
        <f t="shared" si="220"/>
        <v>4.49</v>
      </c>
      <c r="L653" s="318"/>
      <c r="M653" s="318"/>
      <c r="N653" s="318">
        <v>1</v>
      </c>
      <c r="O653" s="619">
        <f t="shared" si="221"/>
        <v>4.49</v>
      </c>
      <c r="P653" s="755">
        <v>0.67</v>
      </c>
      <c r="Q653" s="750"/>
      <c r="R653" s="337">
        <v>0.67</v>
      </c>
      <c r="S653" s="348">
        <f t="shared" si="218"/>
        <v>3.0083000000000002</v>
      </c>
      <c r="T653" s="319"/>
      <c r="V653" s="328">
        <f t="shared" ref="V653:V669" si="227">4.49</f>
        <v>4.49</v>
      </c>
      <c r="W653" s="320">
        <v>1</v>
      </c>
      <c r="X653" s="348">
        <f t="shared" si="222"/>
        <v>4.49</v>
      </c>
      <c r="Y653" s="330">
        <v>1</v>
      </c>
      <c r="Z653" s="348">
        <f t="shared" si="223"/>
        <v>4.49</v>
      </c>
      <c r="AB653" s="328">
        <f t="shared" si="224"/>
        <v>0</v>
      </c>
      <c r="AC653" s="328">
        <f t="shared" si="225"/>
        <v>1.4817</v>
      </c>
    </row>
    <row r="654" spans="1:29">
      <c r="A654" s="318"/>
      <c r="B654" s="319"/>
      <c r="C654" s="318"/>
      <c r="D654" s="318"/>
      <c r="E654" s="319"/>
      <c r="F654" s="319"/>
      <c r="G654" s="318" t="s">
        <v>1094</v>
      </c>
      <c r="H654" s="318">
        <v>4.49</v>
      </c>
      <c r="I654" s="318">
        <v>1</v>
      </c>
      <c r="J654" s="318">
        <f t="shared" si="226"/>
        <v>1</v>
      </c>
      <c r="K654" s="318">
        <f t="shared" si="220"/>
        <v>4.49</v>
      </c>
      <c r="L654" s="318"/>
      <c r="M654" s="318"/>
      <c r="N654" s="318">
        <v>1</v>
      </c>
      <c r="O654" s="619">
        <f t="shared" si="221"/>
        <v>4.49</v>
      </c>
      <c r="P654" s="755">
        <v>0.67</v>
      </c>
      <c r="Q654" s="750"/>
      <c r="R654" s="337">
        <v>0.67</v>
      </c>
      <c r="S654" s="348">
        <f t="shared" si="218"/>
        <v>3.0083000000000002</v>
      </c>
      <c r="T654" s="319"/>
      <c r="V654" s="328">
        <f t="shared" si="227"/>
        <v>4.49</v>
      </c>
      <c r="W654" s="320">
        <v>1</v>
      </c>
      <c r="X654" s="348">
        <f t="shared" si="222"/>
        <v>4.49</v>
      </c>
      <c r="Y654" s="330">
        <v>1</v>
      </c>
      <c r="Z654" s="348">
        <f t="shared" si="223"/>
        <v>4.49</v>
      </c>
      <c r="AB654" s="328">
        <f t="shared" si="224"/>
        <v>0</v>
      </c>
      <c r="AC654" s="328">
        <f t="shared" si="225"/>
        <v>1.4817</v>
      </c>
    </row>
    <row r="655" spans="1:29">
      <c r="A655" s="318"/>
      <c r="B655" s="319"/>
      <c r="C655" s="318"/>
      <c r="D655" s="318"/>
      <c r="E655" s="319"/>
      <c r="F655" s="319"/>
      <c r="G655" s="318" t="s">
        <v>1095</v>
      </c>
      <c r="H655" s="318">
        <v>4.49</v>
      </c>
      <c r="I655" s="318">
        <v>1</v>
      </c>
      <c r="J655" s="318">
        <f t="shared" si="226"/>
        <v>1</v>
      </c>
      <c r="K655" s="318">
        <f t="shared" si="220"/>
        <v>4.49</v>
      </c>
      <c r="L655" s="318"/>
      <c r="M655" s="318"/>
      <c r="N655" s="318">
        <v>1</v>
      </c>
      <c r="O655" s="619">
        <f t="shared" si="221"/>
        <v>4.49</v>
      </c>
      <c r="P655" s="755">
        <v>0.67</v>
      </c>
      <c r="Q655" s="750"/>
      <c r="R655" s="337">
        <v>0.67</v>
      </c>
      <c r="S655" s="348">
        <f t="shared" si="218"/>
        <v>3.0083000000000002</v>
      </c>
      <c r="T655" s="319"/>
      <c r="V655" s="328">
        <f t="shared" si="227"/>
        <v>4.49</v>
      </c>
      <c r="W655" s="320">
        <v>1</v>
      </c>
      <c r="X655" s="348">
        <f t="shared" si="222"/>
        <v>4.49</v>
      </c>
      <c r="Y655" s="330">
        <v>1</v>
      </c>
      <c r="Z655" s="348">
        <f t="shared" si="223"/>
        <v>4.49</v>
      </c>
      <c r="AB655" s="328">
        <f t="shared" si="224"/>
        <v>0</v>
      </c>
      <c r="AC655" s="328">
        <f t="shared" si="225"/>
        <v>1.4817</v>
      </c>
    </row>
    <row r="656" spans="1:29">
      <c r="A656" s="318"/>
      <c r="B656" s="319"/>
      <c r="C656" s="318"/>
      <c r="D656" s="318"/>
      <c r="E656" s="319"/>
      <c r="F656" s="319"/>
      <c r="G656" s="318" t="s">
        <v>1096</v>
      </c>
      <c r="H656" s="318">
        <v>4.49</v>
      </c>
      <c r="I656" s="318">
        <v>1</v>
      </c>
      <c r="J656" s="318">
        <f t="shared" si="226"/>
        <v>1</v>
      </c>
      <c r="K656" s="318">
        <f t="shared" si="220"/>
        <v>4.49</v>
      </c>
      <c r="L656" s="318"/>
      <c r="M656" s="318"/>
      <c r="N656" s="318">
        <v>1</v>
      </c>
      <c r="O656" s="619">
        <f t="shared" si="221"/>
        <v>4.49</v>
      </c>
      <c r="P656" s="755">
        <v>0.67</v>
      </c>
      <c r="Q656" s="750"/>
      <c r="R656" s="337">
        <v>0.67</v>
      </c>
      <c r="S656" s="348">
        <f t="shared" si="218"/>
        <v>3.0083000000000002</v>
      </c>
      <c r="T656" s="319"/>
      <c r="V656" s="328">
        <f t="shared" si="227"/>
        <v>4.49</v>
      </c>
      <c r="W656" s="320">
        <v>1</v>
      </c>
      <c r="X656" s="348">
        <f t="shared" si="222"/>
        <v>4.49</v>
      </c>
      <c r="Y656" s="330">
        <v>1</v>
      </c>
      <c r="Z656" s="348">
        <f t="shared" si="223"/>
        <v>4.49</v>
      </c>
      <c r="AB656" s="328">
        <f t="shared" si="224"/>
        <v>0</v>
      </c>
      <c r="AC656" s="328">
        <f t="shared" si="225"/>
        <v>1.4817</v>
      </c>
    </row>
    <row r="657" spans="1:29">
      <c r="A657" s="318"/>
      <c r="B657" s="319"/>
      <c r="C657" s="318"/>
      <c r="D657" s="318"/>
      <c r="E657" s="319"/>
      <c r="F657" s="319"/>
      <c r="G657" s="318" t="s">
        <v>1097</v>
      </c>
      <c r="H657" s="318">
        <v>4.49</v>
      </c>
      <c r="I657" s="318">
        <v>1</v>
      </c>
      <c r="J657" s="318">
        <f t="shared" si="226"/>
        <v>1</v>
      </c>
      <c r="K657" s="318">
        <f t="shared" si="220"/>
        <v>4.49</v>
      </c>
      <c r="L657" s="318"/>
      <c r="M657" s="318"/>
      <c r="N657" s="318">
        <v>1</v>
      </c>
      <c r="O657" s="619">
        <f t="shared" si="221"/>
        <v>4.49</v>
      </c>
      <c r="P657" s="755">
        <v>0.67</v>
      </c>
      <c r="Q657" s="750"/>
      <c r="R657" s="337">
        <v>0.67</v>
      </c>
      <c r="S657" s="348">
        <f t="shared" si="218"/>
        <v>3.0083000000000002</v>
      </c>
      <c r="T657" s="319"/>
      <c r="V657" s="328">
        <f t="shared" si="227"/>
        <v>4.49</v>
      </c>
      <c r="W657" s="320">
        <v>1</v>
      </c>
      <c r="X657" s="348">
        <f t="shared" si="222"/>
        <v>4.49</v>
      </c>
      <c r="Y657" s="330">
        <v>1</v>
      </c>
      <c r="Z657" s="348">
        <f t="shared" si="223"/>
        <v>4.49</v>
      </c>
      <c r="AB657" s="328">
        <f t="shared" si="224"/>
        <v>0</v>
      </c>
      <c r="AC657" s="328">
        <f t="shared" si="225"/>
        <v>1.4817</v>
      </c>
    </row>
    <row r="658" spans="1:29">
      <c r="A658" s="318"/>
      <c r="B658" s="319"/>
      <c r="C658" s="318"/>
      <c r="D658" s="318"/>
      <c r="E658" s="319"/>
      <c r="F658" s="319"/>
      <c r="G658" s="318" t="s">
        <v>1098</v>
      </c>
      <c r="H658" s="318">
        <v>4.49</v>
      </c>
      <c r="I658" s="318">
        <v>1</v>
      </c>
      <c r="J658" s="318">
        <f t="shared" si="226"/>
        <v>1</v>
      </c>
      <c r="K658" s="318">
        <f t="shared" si="220"/>
        <v>4.49</v>
      </c>
      <c r="L658" s="318"/>
      <c r="M658" s="318"/>
      <c r="N658" s="318">
        <v>1</v>
      </c>
      <c r="O658" s="619">
        <f t="shared" si="221"/>
        <v>4.49</v>
      </c>
      <c r="P658" s="755">
        <v>0.67</v>
      </c>
      <c r="Q658" s="750"/>
      <c r="R658" s="337">
        <v>0.67</v>
      </c>
      <c r="S658" s="348">
        <f t="shared" si="218"/>
        <v>3.0083000000000002</v>
      </c>
      <c r="T658" s="319"/>
      <c r="V658" s="328">
        <f t="shared" si="227"/>
        <v>4.49</v>
      </c>
      <c r="W658" s="320">
        <v>1</v>
      </c>
      <c r="X658" s="348">
        <f t="shared" si="222"/>
        <v>4.49</v>
      </c>
      <c r="Y658" s="330">
        <v>1</v>
      </c>
      <c r="Z658" s="348">
        <f t="shared" si="223"/>
        <v>4.49</v>
      </c>
      <c r="AB658" s="328">
        <f t="shared" si="224"/>
        <v>0</v>
      </c>
      <c r="AC658" s="328">
        <f t="shared" si="225"/>
        <v>1.4817</v>
      </c>
    </row>
    <row r="659" spans="1:29">
      <c r="A659" s="318"/>
      <c r="B659" s="319"/>
      <c r="C659" s="318"/>
      <c r="D659" s="318"/>
      <c r="E659" s="319"/>
      <c r="F659" s="336"/>
      <c r="G659" s="318" t="s">
        <v>1099</v>
      </c>
      <c r="H659" s="318">
        <v>4.49</v>
      </c>
      <c r="I659" s="318">
        <v>1</v>
      </c>
      <c r="J659" s="318">
        <f t="shared" si="226"/>
        <v>1</v>
      </c>
      <c r="K659" s="318">
        <f t="shared" si="220"/>
        <v>4.49</v>
      </c>
      <c r="L659" s="318"/>
      <c r="M659" s="318"/>
      <c r="N659" s="318">
        <v>1</v>
      </c>
      <c r="O659" s="619">
        <f t="shared" si="221"/>
        <v>4.49</v>
      </c>
      <c r="P659" s="755">
        <v>0.67</v>
      </c>
      <c r="Q659" s="750"/>
      <c r="R659" s="337">
        <v>0.67</v>
      </c>
      <c r="S659" s="348">
        <f t="shared" si="218"/>
        <v>3.0083000000000002</v>
      </c>
      <c r="T659" s="319"/>
      <c r="V659" s="328">
        <f t="shared" si="227"/>
        <v>4.49</v>
      </c>
      <c r="W659" s="320">
        <v>1</v>
      </c>
      <c r="X659" s="348">
        <f t="shared" si="222"/>
        <v>4.49</v>
      </c>
      <c r="Y659" s="330">
        <v>1</v>
      </c>
      <c r="Z659" s="348">
        <f t="shared" si="223"/>
        <v>4.49</v>
      </c>
      <c r="AB659" s="328">
        <f t="shared" si="224"/>
        <v>0</v>
      </c>
      <c r="AC659" s="328">
        <f t="shared" si="225"/>
        <v>1.4817</v>
      </c>
    </row>
    <row r="660" spans="1:29">
      <c r="A660" s="318"/>
      <c r="B660" s="319"/>
      <c r="C660" s="318"/>
      <c r="D660" s="318"/>
      <c r="E660" s="319"/>
      <c r="F660" s="336"/>
      <c r="G660" s="318" t="s">
        <v>1100</v>
      </c>
      <c r="H660" s="318">
        <v>4.49</v>
      </c>
      <c r="I660" s="318">
        <v>1</v>
      </c>
      <c r="J660" s="318">
        <f t="shared" si="226"/>
        <v>1</v>
      </c>
      <c r="K660" s="318">
        <f t="shared" si="220"/>
        <v>4.49</v>
      </c>
      <c r="L660" s="318"/>
      <c r="M660" s="318"/>
      <c r="N660" s="318">
        <v>1</v>
      </c>
      <c r="O660" s="619">
        <f t="shared" si="221"/>
        <v>4.49</v>
      </c>
      <c r="P660" s="755">
        <v>0.67</v>
      </c>
      <c r="Q660" s="750"/>
      <c r="R660" s="337">
        <v>0.67</v>
      </c>
      <c r="S660" s="348">
        <f t="shared" si="218"/>
        <v>3.0083000000000002</v>
      </c>
      <c r="T660" s="319"/>
      <c r="V660" s="328">
        <f t="shared" si="227"/>
        <v>4.49</v>
      </c>
      <c r="W660" s="320">
        <v>1</v>
      </c>
      <c r="X660" s="348">
        <f t="shared" si="222"/>
        <v>4.49</v>
      </c>
      <c r="Y660" s="330">
        <v>1</v>
      </c>
      <c r="Z660" s="348">
        <f t="shared" si="223"/>
        <v>4.49</v>
      </c>
      <c r="AB660" s="328">
        <f t="shared" si="224"/>
        <v>0</v>
      </c>
      <c r="AC660" s="328">
        <f t="shared" si="225"/>
        <v>1.4817</v>
      </c>
    </row>
    <row r="661" spans="1:29">
      <c r="A661" s="318"/>
      <c r="B661" s="319"/>
      <c r="C661" s="318"/>
      <c r="D661" s="318"/>
      <c r="E661" s="319"/>
      <c r="F661" s="336"/>
      <c r="G661" s="318" t="s">
        <v>1101</v>
      </c>
      <c r="H661" s="318">
        <v>4.49</v>
      </c>
      <c r="I661" s="318">
        <v>1</v>
      </c>
      <c r="J661" s="318">
        <f t="shared" si="226"/>
        <v>1</v>
      </c>
      <c r="K661" s="318">
        <f t="shared" si="220"/>
        <v>4.49</v>
      </c>
      <c r="L661" s="318"/>
      <c r="M661" s="318"/>
      <c r="N661" s="318">
        <v>1</v>
      </c>
      <c r="O661" s="619">
        <f t="shared" si="221"/>
        <v>4.49</v>
      </c>
      <c r="P661" s="755">
        <v>0.67</v>
      </c>
      <c r="Q661" s="750"/>
      <c r="R661" s="337">
        <v>0.67</v>
      </c>
      <c r="S661" s="348">
        <f t="shared" si="218"/>
        <v>3.0083000000000002</v>
      </c>
      <c r="T661" s="319"/>
      <c r="V661" s="328">
        <f t="shared" si="227"/>
        <v>4.49</v>
      </c>
      <c r="W661" s="320">
        <v>1</v>
      </c>
      <c r="X661" s="348">
        <f t="shared" si="222"/>
        <v>4.49</v>
      </c>
      <c r="Y661" s="330">
        <v>0.5</v>
      </c>
      <c r="Z661" s="455">
        <f t="shared" si="223"/>
        <v>2.2450000000000001</v>
      </c>
      <c r="AB661" s="328">
        <f t="shared" si="224"/>
        <v>0</v>
      </c>
      <c r="AC661" s="328">
        <f t="shared" si="225"/>
        <v>-0.76330000000000009</v>
      </c>
    </row>
    <row r="662" spans="1:29">
      <c r="A662" s="318"/>
      <c r="B662" s="319"/>
      <c r="C662" s="318"/>
      <c r="D662" s="318"/>
      <c r="E662" s="319"/>
      <c r="F662" s="336"/>
      <c r="G662" s="318" t="s">
        <v>1102</v>
      </c>
      <c r="H662" s="318">
        <v>4.49</v>
      </c>
      <c r="I662" s="318">
        <v>1</v>
      </c>
      <c r="J662" s="318">
        <f t="shared" si="226"/>
        <v>1</v>
      </c>
      <c r="K662" s="318">
        <f t="shared" si="220"/>
        <v>4.49</v>
      </c>
      <c r="L662" s="318"/>
      <c r="M662" s="318"/>
      <c r="N662" s="318">
        <v>1</v>
      </c>
      <c r="O662" s="619">
        <f t="shared" si="221"/>
        <v>4.49</v>
      </c>
      <c r="P662" s="755">
        <v>0.67</v>
      </c>
      <c r="Q662" s="750"/>
      <c r="R662" s="337">
        <v>0.67</v>
      </c>
      <c r="S662" s="348">
        <f t="shared" si="218"/>
        <v>3.0083000000000002</v>
      </c>
      <c r="T662" s="319"/>
      <c r="V662" s="328">
        <f t="shared" si="227"/>
        <v>4.49</v>
      </c>
      <c r="W662" s="320">
        <v>1</v>
      </c>
      <c r="X662" s="348">
        <f t="shared" si="222"/>
        <v>4.49</v>
      </c>
      <c r="Y662" s="330">
        <v>0.5</v>
      </c>
      <c r="Z662" s="455">
        <f t="shared" si="223"/>
        <v>2.2450000000000001</v>
      </c>
      <c r="AB662" s="328">
        <f t="shared" si="224"/>
        <v>0</v>
      </c>
      <c r="AC662" s="328">
        <f t="shared" si="225"/>
        <v>-0.76330000000000009</v>
      </c>
    </row>
    <row r="663" spans="1:29">
      <c r="A663" s="318"/>
      <c r="B663" s="319"/>
      <c r="C663" s="318"/>
      <c r="D663" s="318"/>
      <c r="E663" s="319"/>
      <c r="F663" s="336"/>
      <c r="G663" s="318" t="s">
        <v>1103</v>
      </c>
      <c r="H663" s="318">
        <v>4.49</v>
      </c>
      <c r="I663" s="318">
        <v>1</v>
      </c>
      <c r="J663" s="318">
        <f t="shared" si="226"/>
        <v>1</v>
      </c>
      <c r="K663" s="318">
        <f t="shared" si="220"/>
        <v>4.49</v>
      </c>
      <c r="L663" s="318"/>
      <c r="M663" s="318"/>
      <c r="N663" s="318">
        <v>1</v>
      </c>
      <c r="O663" s="619">
        <f t="shared" si="221"/>
        <v>4.49</v>
      </c>
      <c r="P663" s="755">
        <v>0.67</v>
      </c>
      <c r="Q663" s="750"/>
      <c r="R663" s="337">
        <v>0.67</v>
      </c>
      <c r="S663" s="348">
        <f t="shared" si="218"/>
        <v>3.0083000000000002</v>
      </c>
      <c r="T663" s="319"/>
      <c r="V663" s="328">
        <f t="shared" si="227"/>
        <v>4.49</v>
      </c>
      <c r="W663" s="320">
        <v>1</v>
      </c>
      <c r="X663" s="348">
        <f t="shared" si="222"/>
        <v>4.49</v>
      </c>
      <c r="Y663" s="330">
        <v>1</v>
      </c>
      <c r="Z663" s="348">
        <f t="shared" si="223"/>
        <v>4.49</v>
      </c>
      <c r="AB663" s="328">
        <f t="shared" si="224"/>
        <v>0</v>
      </c>
      <c r="AC663" s="328">
        <f t="shared" si="225"/>
        <v>1.4817</v>
      </c>
    </row>
    <row r="664" spans="1:29">
      <c r="A664" s="318"/>
      <c r="B664" s="319"/>
      <c r="C664" s="318"/>
      <c r="D664" s="318"/>
      <c r="E664" s="319"/>
      <c r="F664" s="336"/>
      <c r="G664" s="318" t="s">
        <v>1104</v>
      </c>
      <c r="H664" s="318">
        <v>4.49</v>
      </c>
      <c r="I664" s="318">
        <v>1</v>
      </c>
      <c r="J664" s="318">
        <f t="shared" si="226"/>
        <v>1</v>
      </c>
      <c r="K664" s="318">
        <f t="shared" si="220"/>
        <v>4.49</v>
      </c>
      <c r="L664" s="318"/>
      <c r="M664" s="318"/>
      <c r="N664" s="318">
        <v>1</v>
      </c>
      <c r="O664" s="619">
        <f t="shared" si="221"/>
        <v>4.49</v>
      </c>
      <c r="P664" s="755">
        <v>0.67</v>
      </c>
      <c r="Q664" s="750"/>
      <c r="R664" s="337">
        <v>0.67</v>
      </c>
      <c r="S664" s="348">
        <f t="shared" si="218"/>
        <v>3.0083000000000002</v>
      </c>
      <c r="T664" s="319"/>
      <c r="V664" s="328">
        <f t="shared" si="227"/>
        <v>4.49</v>
      </c>
      <c r="W664" s="320">
        <v>1</v>
      </c>
      <c r="X664" s="348">
        <f t="shared" si="222"/>
        <v>4.49</v>
      </c>
      <c r="Y664" s="330">
        <v>1</v>
      </c>
      <c r="Z664" s="348">
        <f t="shared" si="223"/>
        <v>4.49</v>
      </c>
      <c r="AB664" s="328">
        <f t="shared" si="224"/>
        <v>0</v>
      </c>
      <c r="AC664" s="328">
        <f t="shared" si="225"/>
        <v>1.4817</v>
      </c>
    </row>
    <row r="665" spans="1:29">
      <c r="A665" s="318"/>
      <c r="B665" s="319"/>
      <c r="C665" s="318"/>
      <c r="D665" s="318"/>
      <c r="E665" s="319"/>
      <c r="F665" s="336"/>
      <c r="G665" s="318" t="s">
        <v>1105</v>
      </c>
      <c r="H665" s="318">
        <v>4.49</v>
      </c>
      <c r="I665" s="318">
        <v>1</v>
      </c>
      <c r="J665" s="318">
        <f t="shared" si="226"/>
        <v>1</v>
      </c>
      <c r="K665" s="318">
        <f t="shared" si="220"/>
        <v>4.49</v>
      </c>
      <c r="L665" s="318">
        <v>1381</v>
      </c>
      <c r="M665" s="318" t="s">
        <v>245</v>
      </c>
      <c r="N665" s="318">
        <v>1</v>
      </c>
      <c r="O665" s="619">
        <f t="shared" si="221"/>
        <v>4.49</v>
      </c>
      <c r="P665" s="755">
        <v>0.67</v>
      </c>
      <c r="Q665" s="750"/>
      <c r="R665" s="337">
        <v>0.67</v>
      </c>
      <c r="S665" s="348">
        <f t="shared" si="218"/>
        <v>3.0083000000000002</v>
      </c>
      <c r="T665" s="319"/>
      <c r="V665" s="328">
        <f t="shared" si="227"/>
        <v>4.49</v>
      </c>
      <c r="W665" s="320">
        <v>1</v>
      </c>
      <c r="X665" s="348">
        <f t="shared" si="222"/>
        <v>4.49</v>
      </c>
      <c r="Y665" s="330">
        <v>1</v>
      </c>
      <c r="Z665" s="348">
        <f t="shared" si="223"/>
        <v>4.49</v>
      </c>
      <c r="AB665" s="328">
        <f t="shared" si="224"/>
        <v>0</v>
      </c>
      <c r="AC665" s="328">
        <f t="shared" si="225"/>
        <v>1.4817</v>
      </c>
    </row>
    <row r="666" spans="1:29">
      <c r="A666" s="318"/>
      <c r="B666" s="319"/>
      <c r="C666" s="318"/>
      <c r="D666" s="318"/>
      <c r="E666" s="319"/>
      <c r="F666" s="336"/>
      <c r="G666" s="318" t="s">
        <v>1106</v>
      </c>
      <c r="H666" s="318">
        <v>4.49</v>
      </c>
      <c r="I666" s="318">
        <v>1</v>
      </c>
      <c r="J666" s="318">
        <f t="shared" si="226"/>
        <v>1</v>
      </c>
      <c r="K666" s="318">
        <f t="shared" si="220"/>
        <v>4.49</v>
      </c>
      <c r="L666" s="318">
        <v>1381</v>
      </c>
      <c r="M666" s="318" t="s">
        <v>245</v>
      </c>
      <c r="N666" s="318">
        <v>1</v>
      </c>
      <c r="O666" s="619">
        <f t="shared" si="221"/>
        <v>4.49</v>
      </c>
      <c r="P666" s="755">
        <v>0.67</v>
      </c>
      <c r="Q666" s="750"/>
      <c r="R666" s="337">
        <v>0.67</v>
      </c>
      <c r="S666" s="348">
        <f t="shared" si="218"/>
        <v>3.0083000000000002</v>
      </c>
      <c r="T666" s="319"/>
      <c r="V666" s="328">
        <f t="shared" si="227"/>
        <v>4.49</v>
      </c>
      <c r="W666" s="320">
        <v>1</v>
      </c>
      <c r="X666" s="348">
        <f t="shared" si="222"/>
        <v>4.49</v>
      </c>
      <c r="Y666" s="330">
        <v>1</v>
      </c>
      <c r="Z666" s="348">
        <f t="shared" si="223"/>
        <v>4.49</v>
      </c>
      <c r="AB666" s="328">
        <f t="shared" si="224"/>
        <v>0</v>
      </c>
      <c r="AC666" s="328">
        <f t="shared" si="225"/>
        <v>1.4817</v>
      </c>
    </row>
    <row r="667" spans="1:29">
      <c r="A667" s="318"/>
      <c r="B667" s="319"/>
      <c r="C667" s="318"/>
      <c r="D667" s="318"/>
      <c r="E667" s="319"/>
      <c r="F667" s="336"/>
      <c r="G667" s="318" t="s">
        <v>1107</v>
      </c>
      <c r="H667" s="318">
        <v>4.49</v>
      </c>
      <c r="I667" s="318">
        <v>1</v>
      </c>
      <c r="J667" s="318">
        <f t="shared" si="226"/>
        <v>1</v>
      </c>
      <c r="K667" s="318">
        <f t="shared" si="220"/>
        <v>4.49</v>
      </c>
      <c r="L667" s="318">
        <v>1381</v>
      </c>
      <c r="M667" s="318" t="s">
        <v>245</v>
      </c>
      <c r="N667" s="318">
        <v>1</v>
      </c>
      <c r="O667" s="619">
        <f t="shared" si="221"/>
        <v>4.49</v>
      </c>
      <c r="P667" s="755">
        <v>0.67</v>
      </c>
      <c r="Q667" s="750"/>
      <c r="R667" s="337">
        <v>0.67</v>
      </c>
      <c r="S667" s="348">
        <f t="shared" si="218"/>
        <v>3.0083000000000002</v>
      </c>
      <c r="T667" s="319"/>
      <c r="V667" s="328">
        <f t="shared" si="227"/>
        <v>4.49</v>
      </c>
      <c r="W667" s="320">
        <v>1</v>
      </c>
      <c r="X667" s="348">
        <f t="shared" si="222"/>
        <v>4.49</v>
      </c>
      <c r="Y667" s="330">
        <v>1</v>
      </c>
      <c r="Z667" s="348">
        <f t="shared" si="223"/>
        <v>4.49</v>
      </c>
      <c r="AB667" s="328">
        <f t="shared" si="224"/>
        <v>0</v>
      </c>
      <c r="AC667" s="328">
        <f t="shared" si="225"/>
        <v>1.4817</v>
      </c>
    </row>
    <row r="668" spans="1:29">
      <c r="A668" s="318"/>
      <c r="B668" s="319"/>
      <c r="C668" s="318"/>
      <c r="D668" s="318"/>
      <c r="E668" s="319"/>
      <c r="F668" s="336"/>
      <c r="G668" s="318" t="s">
        <v>1108</v>
      </c>
      <c r="H668" s="318">
        <v>4.49</v>
      </c>
      <c r="I668" s="318">
        <v>1</v>
      </c>
      <c r="J668" s="318">
        <f t="shared" si="226"/>
        <v>1</v>
      </c>
      <c r="K668" s="318">
        <f t="shared" si="220"/>
        <v>4.49</v>
      </c>
      <c r="L668" s="318">
        <v>1390</v>
      </c>
      <c r="M668" s="318" t="s">
        <v>251</v>
      </c>
      <c r="N668" s="318">
        <v>1</v>
      </c>
      <c r="O668" s="619">
        <f t="shared" si="221"/>
        <v>4.49</v>
      </c>
      <c r="P668" s="755">
        <v>0.67</v>
      </c>
      <c r="Q668" s="750"/>
      <c r="R668" s="337">
        <v>0.67</v>
      </c>
      <c r="S668" s="348">
        <f t="shared" si="218"/>
        <v>3.0083000000000002</v>
      </c>
      <c r="T668" s="319"/>
      <c r="V668" s="328">
        <f t="shared" si="227"/>
        <v>4.49</v>
      </c>
      <c r="W668" s="320">
        <v>1</v>
      </c>
      <c r="X668" s="348">
        <f t="shared" si="222"/>
        <v>4.49</v>
      </c>
      <c r="Y668" s="330">
        <v>1</v>
      </c>
      <c r="Z668" s="348">
        <f t="shared" si="223"/>
        <v>4.49</v>
      </c>
      <c r="AB668" s="328">
        <f t="shared" si="224"/>
        <v>0</v>
      </c>
      <c r="AC668" s="328">
        <f t="shared" si="225"/>
        <v>1.4817</v>
      </c>
    </row>
    <row r="669" spans="1:29">
      <c r="A669" s="318"/>
      <c r="B669" s="319"/>
      <c r="C669" s="318"/>
      <c r="D669" s="318"/>
      <c r="E669" s="319"/>
      <c r="F669" s="336"/>
      <c r="G669" s="318" t="s">
        <v>1109</v>
      </c>
      <c r="H669" s="318">
        <v>4.49</v>
      </c>
      <c r="I669" s="318">
        <v>1</v>
      </c>
      <c r="J669" s="318">
        <f t="shared" si="226"/>
        <v>1</v>
      </c>
      <c r="K669" s="318">
        <f t="shared" si="220"/>
        <v>4.49</v>
      </c>
      <c r="L669" s="318">
        <v>1381</v>
      </c>
      <c r="M669" s="318" t="s">
        <v>245</v>
      </c>
      <c r="N669" s="318">
        <v>1</v>
      </c>
      <c r="O669" s="619">
        <f t="shared" si="221"/>
        <v>4.49</v>
      </c>
      <c r="P669" s="755">
        <v>0.67</v>
      </c>
      <c r="Q669" s="750"/>
      <c r="R669" s="337">
        <v>0.67</v>
      </c>
      <c r="S669" s="348">
        <f t="shared" si="218"/>
        <v>3.0083000000000002</v>
      </c>
      <c r="T669" s="319"/>
      <c r="V669" s="328">
        <f t="shared" si="227"/>
        <v>4.49</v>
      </c>
      <c r="W669" s="320">
        <v>1</v>
      </c>
      <c r="X669" s="348">
        <f t="shared" si="222"/>
        <v>4.49</v>
      </c>
      <c r="Y669" s="330">
        <v>1</v>
      </c>
      <c r="Z669" s="348">
        <f t="shared" si="223"/>
        <v>4.49</v>
      </c>
      <c r="AB669" s="328">
        <f t="shared" si="224"/>
        <v>0</v>
      </c>
      <c r="AC669" s="328">
        <f t="shared" si="225"/>
        <v>1.4817</v>
      </c>
    </row>
    <row r="670" spans="1:29">
      <c r="A670" s="318"/>
      <c r="B670" s="319"/>
      <c r="C670" s="318"/>
      <c r="D670" s="318"/>
      <c r="E670" s="319"/>
      <c r="F670" s="336"/>
      <c r="G670" s="318" t="s">
        <v>1110</v>
      </c>
      <c r="H670" s="318">
        <v>4.99</v>
      </c>
      <c r="I670" s="318">
        <v>1</v>
      </c>
      <c r="J670" s="318">
        <f t="shared" si="226"/>
        <v>1</v>
      </c>
      <c r="K670" s="318">
        <f t="shared" si="220"/>
        <v>4.99</v>
      </c>
      <c r="L670" s="318">
        <v>1645</v>
      </c>
      <c r="M670" s="318">
        <v>148</v>
      </c>
      <c r="N670" s="318">
        <v>1</v>
      </c>
      <c r="O670" s="619">
        <f t="shared" si="221"/>
        <v>4.99</v>
      </c>
      <c r="P670" s="755">
        <v>0.67</v>
      </c>
      <c r="Q670" s="750"/>
      <c r="R670" s="337">
        <v>0.67</v>
      </c>
      <c r="S670" s="348">
        <f t="shared" si="218"/>
        <v>3.3433000000000002</v>
      </c>
      <c r="T670" s="319"/>
      <c r="V670" s="328">
        <v>4.99</v>
      </c>
      <c r="W670" s="320">
        <v>1</v>
      </c>
      <c r="X670" s="348">
        <f t="shared" si="222"/>
        <v>4.99</v>
      </c>
      <c r="Y670" s="330">
        <v>1</v>
      </c>
      <c r="Z670" s="348">
        <f t="shared" si="223"/>
        <v>4.99</v>
      </c>
      <c r="AB670" s="328">
        <f t="shared" si="224"/>
        <v>0</v>
      </c>
      <c r="AC670" s="328">
        <f t="shared" si="225"/>
        <v>1.6467000000000001</v>
      </c>
    </row>
    <row r="671" spans="1:29">
      <c r="A671" s="318"/>
      <c r="B671" s="319"/>
      <c r="C671" s="318"/>
      <c r="D671" s="318"/>
      <c r="E671" s="319"/>
      <c r="F671" s="336"/>
      <c r="G671" s="318" t="s">
        <v>1111</v>
      </c>
      <c r="H671" s="318">
        <v>1.69</v>
      </c>
      <c r="I671" s="318">
        <v>1</v>
      </c>
      <c r="J671" s="318">
        <f t="shared" si="226"/>
        <v>1</v>
      </c>
      <c r="K671" s="318">
        <f t="shared" si="220"/>
        <v>1.69</v>
      </c>
      <c r="L671" s="318">
        <v>1771</v>
      </c>
      <c r="M671" s="318">
        <v>162</v>
      </c>
      <c r="N671" s="318">
        <v>1</v>
      </c>
      <c r="O671" s="619">
        <f t="shared" si="221"/>
        <v>1.69</v>
      </c>
      <c r="P671" s="755">
        <v>0.67</v>
      </c>
      <c r="Q671" s="750"/>
      <c r="R671" s="337">
        <v>0.67</v>
      </c>
      <c r="S671" s="348">
        <f t="shared" si="218"/>
        <v>1.1323000000000001</v>
      </c>
      <c r="T671" s="319"/>
      <c r="V671" s="328">
        <v>1.69</v>
      </c>
      <c r="W671" s="320">
        <v>1</v>
      </c>
      <c r="X671" s="348">
        <f t="shared" si="222"/>
        <v>1.69</v>
      </c>
      <c r="Y671" s="330">
        <v>1</v>
      </c>
      <c r="Z671" s="348">
        <f t="shared" si="223"/>
        <v>1.69</v>
      </c>
      <c r="AB671" s="328">
        <f t="shared" si="224"/>
        <v>0</v>
      </c>
      <c r="AC671" s="328">
        <f t="shared" si="225"/>
        <v>0.55769999999999986</v>
      </c>
    </row>
    <row r="672" spans="1:29">
      <c r="A672" s="318"/>
      <c r="B672" s="319"/>
      <c r="C672" s="318"/>
      <c r="D672" s="318"/>
      <c r="E672" s="319"/>
      <c r="F672" s="319"/>
      <c r="G672" s="318"/>
      <c r="H672" s="318"/>
      <c r="I672" s="318"/>
      <c r="J672" s="382" t="s">
        <v>389</v>
      </c>
      <c r="K672" s="321">
        <f>SUM(K626:K671)</f>
        <v>176.20000000000005</v>
      </c>
      <c r="L672" s="318"/>
      <c r="M672" s="318"/>
      <c r="N672" s="382" t="s">
        <v>389</v>
      </c>
      <c r="O672" s="748">
        <f>SUM(O626:O671)</f>
        <v>176.20000000000005</v>
      </c>
      <c r="P672" s="755"/>
      <c r="Q672" s="751"/>
      <c r="R672" s="382"/>
      <c r="S672" s="321">
        <f>SUM(S626:S671)</f>
        <v>118.05400000000007</v>
      </c>
      <c r="T672" s="319"/>
      <c r="V672" s="328"/>
      <c r="W672" s="321" t="s">
        <v>389</v>
      </c>
      <c r="X672" s="338">
        <f>SUM(X626:X671)</f>
        <v>166.24600000000004</v>
      </c>
      <c r="Y672" s="321" t="s">
        <v>389</v>
      </c>
      <c r="Z672" s="338">
        <f>SUM(Z626:Z671)</f>
        <v>152.77600000000001</v>
      </c>
      <c r="AB672" s="328"/>
      <c r="AC672" s="328"/>
    </row>
    <row r="673" spans="1:29" ht="6.75" customHeight="1">
      <c r="A673" s="316"/>
      <c r="B673" s="317"/>
      <c r="C673" s="316"/>
      <c r="D673" s="316"/>
      <c r="E673" s="317"/>
      <c r="F673" s="317"/>
      <c r="G673" s="316"/>
      <c r="H673" s="316"/>
      <c r="I673" s="316"/>
      <c r="J673" s="316"/>
      <c r="K673" s="316"/>
      <c r="L673" s="316"/>
      <c r="M673" s="316"/>
      <c r="N673" s="316"/>
      <c r="O673" s="749"/>
      <c r="P673" s="1006"/>
      <c r="Q673" s="633"/>
      <c r="R673" s="949"/>
      <c r="S673" s="339"/>
      <c r="T673" s="317"/>
      <c r="V673" s="332"/>
      <c r="W673" s="316"/>
      <c r="X673" s="339"/>
      <c r="Y673" s="316"/>
      <c r="Z673" s="339"/>
      <c r="AB673" s="332"/>
      <c r="AC673" s="332"/>
    </row>
    <row r="674" spans="1:29">
      <c r="A674" s="318">
        <v>17</v>
      </c>
      <c r="B674" s="319" t="s">
        <v>383</v>
      </c>
      <c r="C674" s="318">
        <v>600</v>
      </c>
      <c r="D674" s="318">
        <v>22</v>
      </c>
      <c r="E674" s="319">
        <v>1</v>
      </c>
      <c r="F674" s="336"/>
      <c r="G674" s="318" t="s">
        <v>1112</v>
      </c>
      <c r="H674" s="318">
        <v>2.87</v>
      </c>
      <c r="I674" s="318">
        <v>1</v>
      </c>
      <c r="J674" s="318">
        <f>IF(N674&gt;0,1,0)</f>
        <v>1</v>
      </c>
      <c r="K674" s="318">
        <f>H674*J674</f>
        <v>2.87</v>
      </c>
      <c r="L674" s="350" t="s">
        <v>2762</v>
      </c>
      <c r="M674" s="350" t="s">
        <v>2840</v>
      </c>
      <c r="N674" s="318">
        <v>1</v>
      </c>
      <c r="O674" s="619">
        <f t="shared" ref="O674:O717" si="228">H674*N674</f>
        <v>2.87</v>
      </c>
      <c r="P674" s="755">
        <v>0.67</v>
      </c>
      <c r="Q674" s="750"/>
      <c r="R674" s="337">
        <v>0.67</v>
      </c>
      <c r="S674" s="348">
        <f>H674*R674</f>
        <v>1.9229000000000003</v>
      </c>
      <c r="T674" s="319" t="s">
        <v>3334</v>
      </c>
      <c r="V674" s="328">
        <v>1.69</v>
      </c>
      <c r="W674" s="320">
        <v>1</v>
      </c>
      <c r="X674" s="348">
        <f>V674*W674</f>
        <v>1.69</v>
      </c>
      <c r="Y674" s="330">
        <f>2/3</f>
        <v>0.66666666666666663</v>
      </c>
      <c r="Z674" s="455">
        <f>V674*Y674</f>
        <v>1.1266666666666665</v>
      </c>
      <c r="AB674" s="328">
        <f>X674-O674</f>
        <v>-1.1800000000000002</v>
      </c>
      <c r="AC674" s="328">
        <f>Z674-S674</f>
        <v>-0.79623333333333379</v>
      </c>
    </row>
    <row r="675" spans="1:29">
      <c r="A675" s="318"/>
      <c r="B675" s="319"/>
      <c r="C675" s="318"/>
      <c r="D675" s="318"/>
      <c r="E675" s="319"/>
      <c r="F675" s="319"/>
      <c r="G675" s="318" t="s">
        <v>1113</v>
      </c>
      <c r="H675" s="318">
        <v>4.49</v>
      </c>
      <c r="I675" s="318">
        <v>1</v>
      </c>
      <c r="J675" s="318">
        <f>IF(N675&gt;0,1,0)</f>
        <v>1</v>
      </c>
      <c r="K675" s="318">
        <f>H675*J675</f>
        <v>4.49</v>
      </c>
      <c r="L675" s="318">
        <v>1526</v>
      </c>
      <c r="M675" s="318">
        <v>129</v>
      </c>
      <c r="N675" s="318">
        <v>1</v>
      </c>
      <c r="O675" s="619">
        <f t="shared" si="228"/>
        <v>4.49</v>
      </c>
      <c r="P675" s="755">
        <v>0.67</v>
      </c>
      <c r="Q675" s="750"/>
      <c r="R675" s="337">
        <v>0.67</v>
      </c>
      <c r="S675" s="348">
        <f>H675*R675</f>
        <v>3.0083000000000002</v>
      </c>
      <c r="T675" s="319"/>
      <c r="V675" s="328">
        <v>4.99</v>
      </c>
      <c r="W675" s="320">
        <v>1</v>
      </c>
      <c r="X675" s="348">
        <f>V675*W675</f>
        <v>4.99</v>
      </c>
      <c r="Y675" s="320"/>
      <c r="Z675" s="348">
        <f>V675*Y675</f>
        <v>0</v>
      </c>
      <c r="AB675" s="328">
        <f>X675-O675</f>
        <v>0.5</v>
      </c>
      <c r="AC675" s="328">
        <f>Z675-S675</f>
        <v>-3.0083000000000002</v>
      </c>
    </row>
    <row r="676" spans="1:29">
      <c r="A676" s="318"/>
      <c r="B676" s="319"/>
      <c r="C676" s="318"/>
      <c r="D676" s="318"/>
      <c r="E676" s="319"/>
      <c r="F676" s="319"/>
      <c r="G676" s="318" t="s">
        <v>1114</v>
      </c>
      <c r="H676" s="318">
        <v>4.49</v>
      </c>
      <c r="I676" s="318">
        <v>1</v>
      </c>
      <c r="J676" s="318">
        <f>IF(N676&gt;0,1,0)</f>
        <v>1</v>
      </c>
      <c r="K676" s="318">
        <f>H676*J676</f>
        <v>4.49</v>
      </c>
      <c r="L676" s="318">
        <v>1503</v>
      </c>
      <c r="M676" s="318">
        <v>127</v>
      </c>
      <c r="N676" s="318">
        <v>1</v>
      </c>
      <c r="O676" s="619">
        <f t="shared" si="228"/>
        <v>4.49</v>
      </c>
      <c r="P676" s="755">
        <v>0.67</v>
      </c>
      <c r="Q676" s="750"/>
      <c r="R676" s="337">
        <v>0.67</v>
      </c>
      <c r="S676" s="348">
        <f t="shared" ref="S676:S718" si="229">H676*R676</f>
        <v>3.0083000000000002</v>
      </c>
      <c r="T676" s="319"/>
      <c r="V676" s="328">
        <f t="shared" ref="V676:V691" si="230">4.49</f>
        <v>4.49</v>
      </c>
      <c r="W676" s="320">
        <v>1</v>
      </c>
      <c r="X676" s="348">
        <f>V676*W676</f>
        <v>4.49</v>
      </c>
      <c r="Y676" s="330"/>
      <c r="Z676" s="348">
        <f>V676*Y676</f>
        <v>0</v>
      </c>
      <c r="AB676" s="328">
        <f>X676-O676</f>
        <v>0</v>
      </c>
      <c r="AC676" s="328">
        <f>Z676-S676</f>
        <v>-3.0083000000000002</v>
      </c>
    </row>
    <row r="677" spans="1:29" ht="20.399999999999999">
      <c r="A677" s="318"/>
      <c r="B677" s="319"/>
      <c r="C677" s="318"/>
      <c r="D677" s="318"/>
      <c r="E677" s="319"/>
      <c r="F677" s="336" t="s">
        <v>604</v>
      </c>
      <c r="G677" s="318" t="s">
        <v>1115</v>
      </c>
      <c r="H677" s="318">
        <v>4.8</v>
      </c>
      <c r="I677" s="318">
        <v>1</v>
      </c>
      <c r="J677" s="318">
        <v>1</v>
      </c>
      <c r="K677" s="318">
        <f>H677*J677</f>
        <v>4.8</v>
      </c>
      <c r="L677" s="350" t="s">
        <v>3398</v>
      </c>
      <c r="M677" s="350" t="s">
        <v>3397</v>
      </c>
      <c r="N677" s="318">
        <v>1</v>
      </c>
      <c r="O677" s="619">
        <f t="shared" si="228"/>
        <v>4.8</v>
      </c>
      <c r="P677" s="755">
        <v>0.67</v>
      </c>
      <c r="Q677" s="750"/>
      <c r="R677" s="337">
        <v>0.67</v>
      </c>
      <c r="S677" s="348">
        <f t="shared" si="229"/>
        <v>3.2160000000000002</v>
      </c>
      <c r="T677" s="319" t="s">
        <v>3456</v>
      </c>
      <c r="V677" s="328">
        <f t="shared" si="230"/>
        <v>4.49</v>
      </c>
      <c r="W677" s="320"/>
      <c r="X677" s="455">
        <f>V677*W677</f>
        <v>0</v>
      </c>
      <c r="Y677" s="330"/>
      <c r="Z677" s="455">
        <f>V677*Y677</f>
        <v>0</v>
      </c>
      <c r="AB677" s="328">
        <f>X677-O677</f>
        <v>-4.8</v>
      </c>
      <c r="AC677" s="328">
        <f>Z677-S677</f>
        <v>-3.2160000000000002</v>
      </c>
    </row>
    <row r="678" spans="1:29" collapsed="1">
      <c r="A678" s="584"/>
      <c r="B678" s="585"/>
      <c r="C678" s="584"/>
      <c r="D678" s="584"/>
      <c r="E678" s="585"/>
      <c r="F678" s="585" t="s">
        <v>384</v>
      </c>
      <c r="G678" s="584" t="s">
        <v>1116</v>
      </c>
      <c r="H678" s="584"/>
      <c r="I678" s="584"/>
      <c r="J678" s="584"/>
      <c r="K678" s="584"/>
      <c r="L678" s="584"/>
      <c r="M678" s="584"/>
      <c r="N678" s="584"/>
      <c r="O678" s="631" t="s">
        <v>2321</v>
      </c>
      <c r="P678" s="750"/>
      <c r="Q678" s="750"/>
      <c r="R678" s="337"/>
      <c r="S678" s="348">
        <f t="shared" si="229"/>
        <v>0</v>
      </c>
      <c r="T678" s="1024" t="s">
        <v>561</v>
      </c>
      <c r="V678" s="328"/>
      <c r="W678" s="320"/>
      <c r="X678" s="384" t="s">
        <v>2321</v>
      </c>
      <c r="Y678" s="330"/>
      <c r="Z678" s="350" t="s">
        <v>2321</v>
      </c>
      <c r="AB678" s="328"/>
      <c r="AC678" s="328"/>
    </row>
    <row r="679" spans="1:29">
      <c r="A679" s="584"/>
      <c r="B679" s="585"/>
      <c r="C679" s="584"/>
      <c r="D679" s="584"/>
      <c r="E679" s="585"/>
      <c r="F679" s="585" t="s">
        <v>384</v>
      </c>
      <c r="G679" s="584" t="s">
        <v>1117</v>
      </c>
      <c r="H679" s="584"/>
      <c r="I679" s="584"/>
      <c r="J679" s="584"/>
      <c r="K679" s="584"/>
      <c r="L679" s="584"/>
      <c r="M679" s="584"/>
      <c r="N679" s="584"/>
      <c r="O679" s="631" t="s">
        <v>2321</v>
      </c>
      <c r="P679" s="750"/>
      <c r="Q679" s="750"/>
      <c r="R679" s="337"/>
      <c r="S679" s="348">
        <f t="shared" si="229"/>
        <v>0</v>
      </c>
      <c r="T679" s="1025"/>
      <c r="V679" s="328"/>
      <c r="W679" s="320"/>
      <c r="X679" s="384" t="s">
        <v>2321</v>
      </c>
      <c r="Y679" s="330"/>
      <c r="Z679" s="350" t="s">
        <v>2321</v>
      </c>
      <c r="AB679" s="328"/>
      <c r="AC679" s="328"/>
    </row>
    <row r="680" spans="1:29">
      <c r="A680" s="584"/>
      <c r="B680" s="585"/>
      <c r="C680" s="584"/>
      <c r="D680" s="584"/>
      <c r="E680" s="585"/>
      <c r="F680" s="585" t="s">
        <v>384</v>
      </c>
      <c r="G680" s="584" t="s">
        <v>1118</v>
      </c>
      <c r="H680" s="584"/>
      <c r="I680" s="584"/>
      <c r="J680" s="584"/>
      <c r="K680" s="584"/>
      <c r="L680" s="584"/>
      <c r="M680" s="584"/>
      <c r="N680" s="584"/>
      <c r="O680" s="631" t="s">
        <v>2321</v>
      </c>
      <c r="P680" s="750"/>
      <c r="Q680" s="750"/>
      <c r="R680" s="337"/>
      <c r="S680" s="348">
        <f t="shared" si="229"/>
        <v>0</v>
      </c>
      <c r="T680" s="1025"/>
      <c r="V680" s="328"/>
      <c r="W680" s="320"/>
      <c r="X680" s="384" t="s">
        <v>2321</v>
      </c>
      <c r="Y680" s="330"/>
      <c r="Z680" s="350" t="s">
        <v>2321</v>
      </c>
      <c r="AB680" s="328"/>
      <c r="AC680" s="328"/>
    </row>
    <row r="681" spans="1:29">
      <c r="A681" s="584"/>
      <c r="B681" s="585"/>
      <c r="C681" s="584"/>
      <c r="D681" s="584"/>
      <c r="E681" s="585"/>
      <c r="F681" s="585" t="s">
        <v>384</v>
      </c>
      <c r="G681" s="584" t="s">
        <v>1119</v>
      </c>
      <c r="H681" s="584"/>
      <c r="I681" s="584"/>
      <c r="J681" s="584"/>
      <c r="K681" s="584"/>
      <c r="L681" s="584"/>
      <c r="M681" s="584"/>
      <c r="N681" s="584"/>
      <c r="O681" s="631" t="s">
        <v>2321</v>
      </c>
      <c r="P681" s="750"/>
      <c r="Q681" s="750"/>
      <c r="R681" s="337"/>
      <c r="S681" s="348">
        <f t="shared" si="229"/>
        <v>0</v>
      </c>
      <c r="T681" s="1026"/>
      <c r="V681" s="328"/>
      <c r="W681" s="320"/>
      <c r="X681" s="384" t="s">
        <v>2321</v>
      </c>
      <c r="Y681" s="330"/>
      <c r="Z681" s="350" t="s">
        <v>2321</v>
      </c>
      <c r="AB681" s="328"/>
      <c r="AC681" s="328"/>
    </row>
    <row r="682" spans="1:29" ht="14.4" customHeight="1">
      <c r="A682" s="318"/>
      <c r="B682" s="319"/>
      <c r="C682" s="318"/>
      <c r="D682" s="318"/>
      <c r="E682" s="319"/>
      <c r="F682" s="336" t="s">
        <v>604</v>
      </c>
      <c r="G682" s="318" t="s">
        <v>1120</v>
      </c>
      <c r="H682" s="318">
        <v>4.8</v>
      </c>
      <c r="I682" s="318">
        <v>1</v>
      </c>
      <c r="J682" s="318">
        <f t="shared" ref="J682:J718" si="231">IF(N682&gt;0,1,0)</f>
        <v>1</v>
      </c>
      <c r="K682" s="318">
        <f t="shared" ref="K682:K718" si="232">H682*J682</f>
        <v>4.8</v>
      </c>
      <c r="L682" s="350" t="s">
        <v>3398</v>
      </c>
      <c r="M682" s="350" t="s">
        <v>3397</v>
      </c>
      <c r="N682" s="318">
        <v>1</v>
      </c>
      <c r="O682" s="619">
        <f t="shared" si="228"/>
        <v>4.8</v>
      </c>
      <c r="P682" s="755">
        <v>0.67</v>
      </c>
      <c r="Q682" s="750"/>
      <c r="R682" s="337">
        <v>0.67</v>
      </c>
      <c r="S682" s="348">
        <f t="shared" si="229"/>
        <v>3.2160000000000002</v>
      </c>
      <c r="T682" s="319" t="s">
        <v>3456</v>
      </c>
      <c r="V682" s="328">
        <f t="shared" si="230"/>
        <v>4.49</v>
      </c>
      <c r="W682" s="320"/>
      <c r="X682" s="455">
        <f t="shared" ref="X682:X718" si="233">V682*W682</f>
        <v>0</v>
      </c>
      <c r="Y682" s="330"/>
      <c r="Z682" s="455">
        <f t="shared" ref="Z682:Z718" si="234">V682*Y682</f>
        <v>0</v>
      </c>
      <c r="AB682" s="328">
        <f t="shared" ref="AB682:AB718" si="235">X682-O682</f>
        <v>-4.8</v>
      </c>
      <c r="AC682" s="328">
        <f t="shared" ref="AC682:AC718" si="236">Z682-S682</f>
        <v>-3.2160000000000002</v>
      </c>
    </row>
    <row r="683" spans="1:29">
      <c r="A683" s="318"/>
      <c r="B683" s="319"/>
      <c r="C683" s="318"/>
      <c r="D683" s="318"/>
      <c r="E683" s="319"/>
      <c r="F683" s="336"/>
      <c r="G683" s="318" t="s">
        <v>1121</v>
      </c>
      <c r="H683" s="318">
        <v>4.49</v>
      </c>
      <c r="I683" s="318">
        <v>1</v>
      </c>
      <c r="J683" s="318">
        <f t="shared" si="231"/>
        <v>1</v>
      </c>
      <c r="K683" s="318">
        <f t="shared" si="232"/>
        <v>4.49</v>
      </c>
      <c r="L683" s="318">
        <v>1525</v>
      </c>
      <c r="M683" s="318">
        <v>128</v>
      </c>
      <c r="N683" s="318">
        <v>1</v>
      </c>
      <c r="O683" s="619">
        <f t="shared" si="228"/>
        <v>4.49</v>
      </c>
      <c r="P683" s="755">
        <v>0.67</v>
      </c>
      <c r="Q683" s="750"/>
      <c r="R683" s="337">
        <v>0.67</v>
      </c>
      <c r="S683" s="348">
        <f t="shared" si="229"/>
        <v>3.0083000000000002</v>
      </c>
      <c r="T683" s="319"/>
      <c r="V683" s="328">
        <f t="shared" si="230"/>
        <v>4.49</v>
      </c>
      <c r="W683" s="320">
        <v>1</v>
      </c>
      <c r="X683" s="348">
        <f t="shared" si="233"/>
        <v>4.49</v>
      </c>
      <c r="Y683" s="330">
        <v>1</v>
      </c>
      <c r="Z683" s="454">
        <f t="shared" si="234"/>
        <v>4.49</v>
      </c>
      <c r="AB683" s="328">
        <f t="shared" si="235"/>
        <v>0</v>
      </c>
      <c r="AC683" s="328">
        <f t="shared" si="236"/>
        <v>1.4817</v>
      </c>
    </row>
    <row r="684" spans="1:29">
      <c r="A684" s="318"/>
      <c r="B684" s="319"/>
      <c r="C684" s="318"/>
      <c r="D684" s="318"/>
      <c r="E684" s="319"/>
      <c r="F684" s="319"/>
      <c r="G684" s="318" t="s">
        <v>1122</v>
      </c>
      <c r="H684" s="318">
        <v>4.49</v>
      </c>
      <c r="I684" s="318">
        <v>1</v>
      </c>
      <c r="J684" s="318">
        <f t="shared" si="231"/>
        <v>1</v>
      </c>
      <c r="K684" s="318">
        <f t="shared" si="232"/>
        <v>4.49</v>
      </c>
      <c r="L684" s="318">
        <v>1544</v>
      </c>
      <c r="M684" s="318">
        <v>131</v>
      </c>
      <c r="N684" s="318">
        <v>1</v>
      </c>
      <c r="O684" s="619">
        <f t="shared" si="228"/>
        <v>4.49</v>
      </c>
      <c r="P684" s="755">
        <v>0.67</v>
      </c>
      <c r="Q684" s="750"/>
      <c r="R684" s="337">
        <v>0.67</v>
      </c>
      <c r="S684" s="348">
        <f t="shared" si="229"/>
        <v>3.0083000000000002</v>
      </c>
      <c r="T684" s="319"/>
      <c r="V684" s="328">
        <f t="shared" si="230"/>
        <v>4.49</v>
      </c>
      <c r="W684" s="320">
        <v>1</v>
      </c>
      <c r="X684" s="348">
        <f t="shared" si="233"/>
        <v>4.49</v>
      </c>
      <c r="Y684" s="330">
        <v>1</v>
      </c>
      <c r="Z684" s="454">
        <f t="shared" si="234"/>
        <v>4.49</v>
      </c>
      <c r="AB684" s="328">
        <f t="shared" si="235"/>
        <v>0</v>
      </c>
      <c r="AC684" s="328">
        <f t="shared" si="236"/>
        <v>1.4817</v>
      </c>
    </row>
    <row r="685" spans="1:29">
      <c r="A685" s="318"/>
      <c r="B685" s="319"/>
      <c r="C685" s="318"/>
      <c r="D685" s="318"/>
      <c r="E685" s="319"/>
      <c r="F685" s="319"/>
      <c r="G685" s="318" t="s">
        <v>1123</v>
      </c>
      <c r="H685" s="318">
        <v>4.49</v>
      </c>
      <c r="I685" s="318">
        <v>1</v>
      </c>
      <c r="J685" s="318">
        <f t="shared" si="231"/>
        <v>1</v>
      </c>
      <c r="K685" s="318">
        <f t="shared" si="232"/>
        <v>4.49</v>
      </c>
      <c r="L685" s="337"/>
      <c r="M685" s="318">
        <v>129</v>
      </c>
      <c r="N685" s="318">
        <v>1</v>
      </c>
      <c r="O685" s="619">
        <f t="shared" si="228"/>
        <v>4.49</v>
      </c>
      <c r="P685" s="755">
        <v>0.67</v>
      </c>
      <c r="Q685" s="750"/>
      <c r="R685" s="337">
        <v>0.67</v>
      </c>
      <c r="S685" s="348">
        <f t="shared" si="229"/>
        <v>3.0083000000000002</v>
      </c>
      <c r="T685" s="319"/>
      <c r="V685" s="328">
        <f t="shared" si="230"/>
        <v>4.49</v>
      </c>
      <c r="W685" s="320">
        <v>1</v>
      </c>
      <c r="X685" s="348">
        <f t="shared" si="233"/>
        <v>4.49</v>
      </c>
      <c r="Y685" s="330">
        <v>1</v>
      </c>
      <c r="Z685" s="454">
        <f t="shared" si="234"/>
        <v>4.49</v>
      </c>
      <c r="AB685" s="328">
        <f t="shared" si="235"/>
        <v>0</v>
      </c>
      <c r="AC685" s="328">
        <f t="shared" si="236"/>
        <v>1.4817</v>
      </c>
    </row>
    <row r="686" spans="1:29">
      <c r="A686" s="318"/>
      <c r="B686" s="319"/>
      <c r="C686" s="318"/>
      <c r="D686" s="318"/>
      <c r="E686" s="319"/>
      <c r="F686" s="319"/>
      <c r="G686" s="318" t="s">
        <v>1124</v>
      </c>
      <c r="H686" s="318">
        <v>4.49</v>
      </c>
      <c r="I686" s="318">
        <v>1</v>
      </c>
      <c r="J686" s="318">
        <f t="shared" si="231"/>
        <v>1</v>
      </c>
      <c r="K686" s="318">
        <f t="shared" si="232"/>
        <v>4.49</v>
      </c>
      <c r="L686" s="318">
        <v>1544</v>
      </c>
      <c r="M686" s="318">
        <v>131</v>
      </c>
      <c r="N686" s="318">
        <v>1</v>
      </c>
      <c r="O686" s="619">
        <f t="shared" si="228"/>
        <v>4.49</v>
      </c>
      <c r="P686" s="755">
        <v>0.67</v>
      </c>
      <c r="Q686" s="750"/>
      <c r="R686" s="337">
        <v>0.67</v>
      </c>
      <c r="S686" s="348">
        <f t="shared" si="229"/>
        <v>3.0083000000000002</v>
      </c>
      <c r="T686" s="319"/>
      <c r="V686" s="328">
        <f t="shared" si="230"/>
        <v>4.49</v>
      </c>
      <c r="W686" s="320">
        <v>1</v>
      </c>
      <c r="X686" s="348">
        <f t="shared" si="233"/>
        <v>4.49</v>
      </c>
      <c r="Y686" s="330">
        <v>1</v>
      </c>
      <c r="Z686" s="454">
        <f t="shared" si="234"/>
        <v>4.49</v>
      </c>
      <c r="AB686" s="328">
        <f t="shared" si="235"/>
        <v>0</v>
      </c>
      <c r="AC686" s="328">
        <f t="shared" si="236"/>
        <v>1.4817</v>
      </c>
    </row>
    <row r="687" spans="1:29">
      <c r="A687" s="318"/>
      <c r="B687" s="319"/>
      <c r="C687" s="318"/>
      <c r="D687" s="318"/>
      <c r="E687" s="319"/>
      <c r="F687" s="319"/>
      <c r="G687" s="318" t="s">
        <v>1125</v>
      </c>
      <c r="H687" s="318">
        <v>4.49</v>
      </c>
      <c r="I687" s="318">
        <v>1</v>
      </c>
      <c r="J687" s="318">
        <f t="shared" si="231"/>
        <v>1</v>
      </c>
      <c r="K687" s="318">
        <f t="shared" si="232"/>
        <v>4.49</v>
      </c>
      <c r="L687" s="318">
        <v>1544</v>
      </c>
      <c r="M687" s="318">
        <v>131</v>
      </c>
      <c r="N687" s="318">
        <v>1</v>
      </c>
      <c r="O687" s="619">
        <f t="shared" si="228"/>
        <v>4.49</v>
      </c>
      <c r="P687" s="755">
        <v>0.67</v>
      </c>
      <c r="Q687" s="750"/>
      <c r="R687" s="337">
        <v>0.67</v>
      </c>
      <c r="S687" s="348">
        <f t="shared" si="229"/>
        <v>3.0083000000000002</v>
      </c>
      <c r="T687" s="319"/>
      <c r="V687" s="328">
        <f t="shared" si="230"/>
        <v>4.49</v>
      </c>
      <c r="W687" s="320">
        <v>1</v>
      </c>
      <c r="X687" s="348">
        <f t="shared" si="233"/>
        <v>4.49</v>
      </c>
      <c r="Y687" s="330">
        <v>1</v>
      </c>
      <c r="Z687" s="454">
        <f t="shared" si="234"/>
        <v>4.49</v>
      </c>
      <c r="AB687" s="328">
        <f t="shared" si="235"/>
        <v>0</v>
      </c>
      <c r="AC687" s="328">
        <f t="shared" si="236"/>
        <v>1.4817</v>
      </c>
    </row>
    <row r="688" spans="1:29">
      <c r="A688" s="318"/>
      <c r="B688" s="319"/>
      <c r="C688" s="318"/>
      <c r="D688" s="318"/>
      <c r="E688" s="319"/>
      <c r="F688" s="336"/>
      <c r="G688" s="318" t="s">
        <v>1126</v>
      </c>
      <c r="H688" s="318">
        <v>4.49</v>
      </c>
      <c r="I688" s="318">
        <v>1</v>
      </c>
      <c r="J688" s="318">
        <f t="shared" si="231"/>
        <v>1</v>
      </c>
      <c r="K688" s="318">
        <f t="shared" si="232"/>
        <v>4.49</v>
      </c>
      <c r="L688" s="318">
        <v>1544</v>
      </c>
      <c r="M688" s="318">
        <v>131</v>
      </c>
      <c r="N688" s="318">
        <v>1</v>
      </c>
      <c r="O688" s="619">
        <f t="shared" si="228"/>
        <v>4.49</v>
      </c>
      <c r="P688" s="755">
        <v>0.67</v>
      </c>
      <c r="Q688" s="750"/>
      <c r="R688" s="337">
        <v>0.67</v>
      </c>
      <c r="S688" s="348">
        <f t="shared" si="229"/>
        <v>3.0083000000000002</v>
      </c>
      <c r="T688" s="319"/>
      <c r="V688" s="328">
        <f t="shared" si="230"/>
        <v>4.49</v>
      </c>
      <c r="W688" s="320">
        <v>1</v>
      </c>
      <c r="X688" s="348">
        <f t="shared" si="233"/>
        <v>4.49</v>
      </c>
      <c r="Y688" s="330">
        <v>1</v>
      </c>
      <c r="Z688" s="454">
        <f t="shared" si="234"/>
        <v>4.49</v>
      </c>
      <c r="AB688" s="328">
        <f t="shared" si="235"/>
        <v>0</v>
      </c>
      <c r="AC688" s="328">
        <f t="shared" si="236"/>
        <v>1.4817</v>
      </c>
    </row>
    <row r="689" spans="1:29">
      <c r="A689" s="318"/>
      <c r="B689" s="319"/>
      <c r="C689" s="318"/>
      <c r="D689" s="318"/>
      <c r="E689" s="319"/>
      <c r="F689" s="319"/>
      <c r="G689" s="318" t="s">
        <v>1127</v>
      </c>
      <c r="H689" s="318">
        <v>4.49</v>
      </c>
      <c r="I689" s="318">
        <v>1</v>
      </c>
      <c r="J689" s="318">
        <f t="shared" si="231"/>
        <v>1</v>
      </c>
      <c r="K689" s="318">
        <f t="shared" si="232"/>
        <v>4.49</v>
      </c>
      <c r="L689" s="318">
        <v>1544</v>
      </c>
      <c r="M689" s="318">
        <v>131</v>
      </c>
      <c r="N689" s="318">
        <v>1</v>
      </c>
      <c r="O689" s="619">
        <f t="shared" si="228"/>
        <v>4.49</v>
      </c>
      <c r="P689" s="755">
        <v>0.67</v>
      </c>
      <c r="Q689" s="750"/>
      <c r="R689" s="337">
        <v>0.67</v>
      </c>
      <c r="S689" s="348">
        <f t="shared" si="229"/>
        <v>3.0083000000000002</v>
      </c>
      <c r="T689" s="319"/>
      <c r="V689" s="328">
        <f t="shared" si="230"/>
        <v>4.49</v>
      </c>
      <c r="W689" s="320">
        <v>1</v>
      </c>
      <c r="X689" s="348">
        <f t="shared" si="233"/>
        <v>4.49</v>
      </c>
      <c r="Y689" s="330">
        <v>1</v>
      </c>
      <c r="Z689" s="454">
        <f t="shared" si="234"/>
        <v>4.49</v>
      </c>
      <c r="AB689" s="328">
        <f t="shared" si="235"/>
        <v>0</v>
      </c>
      <c r="AC689" s="328">
        <f t="shared" si="236"/>
        <v>1.4817</v>
      </c>
    </row>
    <row r="690" spans="1:29">
      <c r="A690" s="318"/>
      <c r="B690" s="319"/>
      <c r="C690" s="318"/>
      <c r="D690" s="318"/>
      <c r="E690" s="319"/>
      <c r="F690" s="319"/>
      <c r="G690" s="318" t="s">
        <v>1128</v>
      </c>
      <c r="H690" s="318">
        <v>4.49</v>
      </c>
      <c r="I690" s="318">
        <v>1</v>
      </c>
      <c r="J690" s="318">
        <f t="shared" si="231"/>
        <v>1</v>
      </c>
      <c r="K690" s="318">
        <f t="shared" si="232"/>
        <v>4.49</v>
      </c>
      <c r="L690" s="318">
        <v>1544</v>
      </c>
      <c r="M690" s="318">
        <v>131</v>
      </c>
      <c r="N690" s="318">
        <v>1</v>
      </c>
      <c r="O690" s="619">
        <f t="shared" si="228"/>
        <v>4.49</v>
      </c>
      <c r="P690" s="755">
        <v>0.67</v>
      </c>
      <c r="Q690" s="750"/>
      <c r="R690" s="337">
        <v>0.67</v>
      </c>
      <c r="S690" s="348">
        <f t="shared" si="229"/>
        <v>3.0083000000000002</v>
      </c>
      <c r="T690" s="319"/>
      <c r="V690" s="328">
        <f t="shared" si="230"/>
        <v>4.49</v>
      </c>
      <c r="W690" s="320">
        <v>1</v>
      </c>
      <c r="X690" s="348">
        <f t="shared" si="233"/>
        <v>4.49</v>
      </c>
      <c r="Y690" s="330">
        <v>1</v>
      </c>
      <c r="Z690" s="454">
        <f t="shared" si="234"/>
        <v>4.49</v>
      </c>
      <c r="AB690" s="328">
        <f t="shared" si="235"/>
        <v>0</v>
      </c>
      <c r="AC690" s="328">
        <f t="shared" si="236"/>
        <v>1.4817</v>
      </c>
    </row>
    <row r="691" spans="1:29" ht="15" thickBot="1">
      <c r="A691" s="318"/>
      <c r="B691" s="319"/>
      <c r="C691" s="318"/>
      <c r="D691" s="318"/>
      <c r="E691" s="319"/>
      <c r="F691" s="319"/>
      <c r="G691" s="318" t="s">
        <v>1129</v>
      </c>
      <c r="H691" s="318">
        <v>4.49</v>
      </c>
      <c r="I691" s="318">
        <v>1</v>
      </c>
      <c r="J691" s="318">
        <f t="shared" si="231"/>
        <v>1</v>
      </c>
      <c r="K691" s="318">
        <f t="shared" si="232"/>
        <v>4.49</v>
      </c>
      <c r="L691" s="318">
        <v>1544</v>
      </c>
      <c r="M691" s="318">
        <v>131</v>
      </c>
      <c r="N691" s="318">
        <v>1</v>
      </c>
      <c r="O691" s="619">
        <f t="shared" si="228"/>
        <v>4.49</v>
      </c>
      <c r="P691" s="755">
        <v>0.67</v>
      </c>
      <c r="Q691" s="750"/>
      <c r="R691" s="592">
        <v>0.67</v>
      </c>
      <c r="S691" s="348">
        <f t="shared" si="229"/>
        <v>3.0083000000000002</v>
      </c>
      <c r="T691" s="319"/>
      <c r="V691" s="328">
        <f t="shared" si="230"/>
        <v>4.49</v>
      </c>
      <c r="W691" s="320">
        <v>1</v>
      </c>
      <c r="X691" s="348">
        <f t="shared" si="233"/>
        <v>4.49</v>
      </c>
      <c r="Y691" s="330">
        <v>1</v>
      </c>
      <c r="Z691" s="454">
        <f t="shared" si="234"/>
        <v>4.49</v>
      </c>
      <c r="AB691" s="328">
        <f t="shared" si="235"/>
        <v>0</v>
      </c>
      <c r="AC691" s="328">
        <f t="shared" si="236"/>
        <v>1.4817</v>
      </c>
    </row>
    <row r="692" spans="1:29" ht="15.6" thickTop="1" thickBot="1">
      <c r="A692" s="318"/>
      <c r="B692" s="319"/>
      <c r="C692" s="318"/>
      <c r="D692" s="318"/>
      <c r="E692" s="319"/>
      <c r="F692" s="336"/>
      <c r="G692" s="318" t="s">
        <v>1130</v>
      </c>
      <c r="H692" s="318">
        <v>4.4400000000000004</v>
      </c>
      <c r="I692" s="318">
        <v>1</v>
      </c>
      <c r="J692" s="318">
        <f t="shared" si="231"/>
        <v>1</v>
      </c>
      <c r="K692" s="318">
        <f t="shared" si="232"/>
        <v>4.4400000000000004</v>
      </c>
      <c r="L692" s="318">
        <v>1544</v>
      </c>
      <c r="M692" s="318">
        <v>131</v>
      </c>
      <c r="N692" s="318">
        <v>1</v>
      </c>
      <c r="O692" s="619">
        <f t="shared" si="228"/>
        <v>4.4400000000000004</v>
      </c>
      <c r="P692" s="755">
        <v>0.67</v>
      </c>
      <c r="Q692" s="747"/>
      <c r="R692" s="624">
        <v>0.67</v>
      </c>
      <c r="S692" s="348">
        <f t="shared" si="229"/>
        <v>2.9748000000000006</v>
      </c>
      <c r="T692" s="319" t="s">
        <v>3335</v>
      </c>
      <c r="V692" s="328">
        <v>4.226</v>
      </c>
      <c r="W692" s="320">
        <v>1</v>
      </c>
      <c r="X692" s="348">
        <f t="shared" si="233"/>
        <v>4.226</v>
      </c>
      <c r="Y692" s="330">
        <f>2/3</f>
        <v>0.66666666666666663</v>
      </c>
      <c r="Z692" s="454">
        <f t="shared" si="234"/>
        <v>2.817333333333333</v>
      </c>
      <c r="AB692" s="328">
        <f t="shared" si="235"/>
        <v>-0.21400000000000041</v>
      </c>
      <c r="AC692" s="328">
        <f t="shared" si="236"/>
        <v>-0.15746666666666753</v>
      </c>
    </row>
    <row r="693" spans="1:29" ht="15.6" thickTop="1" thickBot="1">
      <c r="A693" s="318"/>
      <c r="B693" s="319"/>
      <c r="C693" s="318"/>
      <c r="D693" s="318"/>
      <c r="E693" s="319"/>
      <c r="F693" s="336"/>
      <c r="G693" s="318" t="s">
        <v>1131</v>
      </c>
      <c r="H693" s="319">
        <v>4.42</v>
      </c>
      <c r="I693" s="318">
        <v>1</v>
      </c>
      <c r="J693" s="318">
        <f t="shared" si="231"/>
        <v>1</v>
      </c>
      <c r="K693" s="318">
        <f t="shared" si="232"/>
        <v>4.42</v>
      </c>
      <c r="L693" s="318" t="s">
        <v>180</v>
      </c>
      <c r="M693" s="318" t="s">
        <v>181</v>
      </c>
      <c r="N693" s="318">
        <v>1</v>
      </c>
      <c r="O693" s="619">
        <f t="shared" si="228"/>
        <v>4.42</v>
      </c>
      <c r="P693" s="755">
        <v>0.67</v>
      </c>
      <c r="Q693" s="747"/>
      <c r="R693" s="624">
        <v>0.67</v>
      </c>
      <c r="S693" s="348">
        <f t="shared" si="229"/>
        <v>2.9614000000000003</v>
      </c>
      <c r="T693" s="319" t="s">
        <v>3335</v>
      </c>
      <c r="V693" s="333">
        <v>1.8</v>
      </c>
      <c r="W693" s="320">
        <v>1</v>
      </c>
      <c r="X693" s="348">
        <f t="shared" si="233"/>
        <v>1.8</v>
      </c>
      <c r="Y693" s="330"/>
      <c r="Z693" s="348">
        <f t="shared" si="234"/>
        <v>0</v>
      </c>
      <c r="AB693" s="333">
        <f t="shared" si="235"/>
        <v>-2.62</v>
      </c>
      <c r="AC693" s="333">
        <f t="shared" si="236"/>
        <v>-2.9614000000000003</v>
      </c>
    </row>
    <row r="694" spans="1:29" ht="15" thickTop="1">
      <c r="A694" s="318"/>
      <c r="B694" s="319"/>
      <c r="C694" s="318"/>
      <c r="D694" s="318"/>
      <c r="E694" s="319"/>
      <c r="F694" s="319"/>
      <c r="G694" s="318" t="s">
        <v>1132</v>
      </c>
      <c r="H694" s="319">
        <v>3.81</v>
      </c>
      <c r="I694" s="318">
        <v>1</v>
      </c>
      <c r="J694" s="318">
        <f t="shared" si="231"/>
        <v>1</v>
      </c>
      <c r="K694" s="318">
        <f t="shared" si="232"/>
        <v>3.81</v>
      </c>
      <c r="L694" s="350" t="s">
        <v>2700</v>
      </c>
      <c r="M694" s="350" t="s">
        <v>2715</v>
      </c>
      <c r="N694" s="318">
        <v>1</v>
      </c>
      <c r="O694" s="619">
        <f t="shared" si="228"/>
        <v>3.81</v>
      </c>
      <c r="P694" s="755">
        <v>0.67</v>
      </c>
      <c r="Q694" s="750"/>
      <c r="R694" s="337">
        <v>0.67</v>
      </c>
      <c r="S694" s="348">
        <f t="shared" si="229"/>
        <v>2.5527000000000002</v>
      </c>
      <c r="T694" s="319" t="s">
        <v>3336</v>
      </c>
      <c r="V694" s="333">
        <v>3.14</v>
      </c>
      <c r="W694" s="320"/>
      <c r="X694" s="454">
        <f t="shared" si="233"/>
        <v>0</v>
      </c>
      <c r="Y694" s="330"/>
      <c r="Z694" s="348">
        <f t="shared" si="234"/>
        <v>0</v>
      </c>
      <c r="AB694" s="333">
        <f t="shared" si="235"/>
        <v>-3.81</v>
      </c>
      <c r="AC694" s="333">
        <f t="shared" si="236"/>
        <v>-2.5527000000000002</v>
      </c>
    </row>
    <row r="695" spans="1:29">
      <c r="A695" s="318"/>
      <c r="B695" s="319"/>
      <c r="C695" s="318"/>
      <c r="D695" s="318"/>
      <c r="E695" s="319"/>
      <c r="F695" s="319"/>
      <c r="G695" s="318" t="s">
        <v>1133</v>
      </c>
      <c r="H695" s="319">
        <v>3.81</v>
      </c>
      <c r="I695" s="318">
        <v>1</v>
      </c>
      <c r="J695" s="318">
        <f t="shared" si="231"/>
        <v>1</v>
      </c>
      <c r="K695" s="318">
        <f t="shared" si="232"/>
        <v>3.81</v>
      </c>
      <c r="L695" s="350" t="s">
        <v>2699</v>
      </c>
      <c r="M695" s="318">
        <v>174</v>
      </c>
      <c r="N695" s="318">
        <v>1</v>
      </c>
      <c r="O695" s="619">
        <f t="shared" si="228"/>
        <v>3.81</v>
      </c>
      <c r="P695" s="755">
        <v>0.67</v>
      </c>
      <c r="Q695" s="750"/>
      <c r="R695" s="337">
        <v>0.67</v>
      </c>
      <c r="S695" s="348">
        <f t="shared" si="229"/>
        <v>2.5527000000000002</v>
      </c>
      <c r="T695" s="319" t="s">
        <v>3336</v>
      </c>
      <c r="V695" s="333">
        <v>4.34</v>
      </c>
      <c r="W695" s="320"/>
      <c r="X695" s="454">
        <f t="shared" si="233"/>
        <v>0</v>
      </c>
      <c r="Y695" s="330"/>
      <c r="Z695" s="348">
        <f t="shared" si="234"/>
        <v>0</v>
      </c>
      <c r="AB695" s="333">
        <f t="shared" si="235"/>
        <v>-3.81</v>
      </c>
      <c r="AC695" s="333">
        <f t="shared" si="236"/>
        <v>-2.5527000000000002</v>
      </c>
    </row>
    <row r="696" spans="1:29">
      <c r="A696" s="318"/>
      <c r="B696" s="319"/>
      <c r="C696" s="318"/>
      <c r="D696" s="318"/>
      <c r="E696" s="319"/>
      <c r="F696" s="336"/>
      <c r="G696" s="318" t="s">
        <v>1134</v>
      </c>
      <c r="H696" s="319">
        <v>3.81</v>
      </c>
      <c r="I696" s="318">
        <v>1</v>
      </c>
      <c r="J696" s="318">
        <f t="shared" si="231"/>
        <v>1</v>
      </c>
      <c r="K696" s="318">
        <f t="shared" si="232"/>
        <v>3.81</v>
      </c>
      <c r="L696" s="350" t="s">
        <v>2699</v>
      </c>
      <c r="M696" s="318">
        <v>174</v>
      </c>
      <c r="N696" s="318">
        <v>1</v>
      </c>
      <c r="O696" s="619">
        <f t="shared" si="228"/>
        <v>3.81</v>
      </c>
      <c r="P696" s="755">
        <v>0.67</v>
      </c>
      <c r="Q696" s="750"/>
      <c r="R696" s="337">
        <v>0.67</v>
      </c>
      <c r="S696" s="348">
        <f t="shared" si="229"/>
        <v>2.5527000000000002</v>
      </c>
      <c r="T696" s="319" t="s">
        <v>3336</v>
      </c>
      <c r="V696" s="333">
        <v>4.34</v>
      </c>
      <c r="W696" s="320"/>
      <c r="X696" s="454">
        <f t="shared" si="233"/>
        <v>0</v>
      </c>
      <c r="Y696" s="330"/>
      <c r="Z696" s="348">
        <f t="shared" si="234"/>
        <v>0</v>
      </c>
      <c r="AB696" s="333">
        <f t="shared" si="235"/>
        <v>-3.81</v>
      </c>
      <c r="AC696" s="333">
        <f t="shared" si="236"/>
        <v>-2.5527000000000002</v>
      </c>
    </row>
    <row r="697" spans="1:29" ht="14.4" customHeight="1" thickBot="1">
      <c r="A697" s="318"/>
      <c r="B697" s="319"/>
      <c r="C697" s="318"/>
      <c r="D697" s="318"/>
      <c r="E697" s="319"/>
      <c r="F697" s="319"/>
      <c r="G697" s="318" t="s">
        <v>1135</v>
      </c>
      <c r="H697" s="319">
        <v>3.81</v>
      </c>
      <c r="I697" s="318">
        <v>1</v>
      </c>
      <c r="J697" s="318">
        <f t="shared" si="231"/>
        <v>1</v>
      </c>
      <c r="K697" s="318">
        <f t="shared" si="232"/>
        <v>3.81</v>
      </c>
      <c r="L697" s="318">
        <v>1558</v>
      </c>
      <c r="M697" s="318">
        <v>133</v>
      </c>
      <c r="N697" s="318">
        <v>1</v>
      </c>
      <c r="O697" s="619">
        <f t="shared" si="228"/>
        <v>3.81</v>
      </c>
      <c r="P697" s="755">
        <v>0.67</v>
      </c>
      <c r="Q697" s="750"/>
      <c r="R697" s="592">
        <v>0.67</v>
      </c>
      <c r="S697" s="348">
        <f t="shared" si="229"/>
        <v>2.5527000000000002</v>
      </c>
      <c r="T697" s="319" t="s">
        <v>3336</v>
      </c>
      <c r="V697" s="333">
        <v>4.34</v>
      </c>
      <c r="W697" s="320">
        <v>1</v>
      </c>
      <c r="X697" s="348">
        <f t="shared" si="233"/>
        <v>4.34</v>
      </c>
      <c r="Y697" s="330"/>
      <c r="Z697" s="348">
        <f t="shared" si="234"/>
        <v>0</v>
      </c>
      <c r="AB697" s="333">
        <f t="shared" si="235"/>
        <v>0.5299999999999998</v>
      </c>
      <c r="AC697" s="333">
        <f t="shared" si="236"/>
        <v>-2.5527000000000002</v>
      </c>
    </row>
    <row r="698" spans="1:29" ht="15.6" thickTop="1" thickBot="1">
      <c r="A698" s="318"/>
      <c r="B698" s="319"/>
      <c r="C698" s="318"/>
      <c r="D698" s="318"/>
      <c r="E698" s="319"/>
      <c r="F698" s="336"/>
      <c r="G698" s="318" t="s">
        <v>1136</v>
      </c>
      <c r="H698" s="319">
        <v>4.42</v>
      </c>
      <c r="I698" s="318">
        <v>1</v>
      </c>
      <c r="J698" s="318">
        <f t="shared" si="231"/>
        <v>1</v>
      </c>
      <c r="K698" s="318">
        <f t="shared" si="232"/>
        <v>4.42</v>
      </c>
      <c r="L698" s="350" t="s">
        <v>2914</v>
      </c>
      <c r="M698" s="350" t="s">
        <v>2912</v>
      </c>
      <c r="N698" s="318">
        <v>1</v>
      </c>
      <c r="O698" s="619">
        <f t="shared" si="228"/>
        <v>4.42</v>
      </c>
      <c r="P698" s="755">
        <v>0</v>
      </c>
      <c r="Q698" s="747"/>
      <c r="R698" s="624">
        <v>0</v>
      </c>
      <c r="S698" s="348">
        <f t="shared" si="229"/>
        <v>0</v>
      </c>
      <c r="T698" s="319" t="s">
        <v>3454</v>
      </c>
      <c r="V698" s="333">
        <v>4.34</v>
      </c>
      <c r="W698" s="320"/>
      <c r="X698" s="454">
        <f t="shared" si="233"/>
        <v>0</v>
      </c>
      <c r="Y698" s="330"/>
      <c r="Z698" s="454">
        <f t="shared" si="234"/>
        <v>0</v>
      </c>
      <c r="AB698" s="333">
        <f t="shared" si="235"/>
        <v>-4.42</v>
      </c>
      <c r="AC698" s="333">
        <f t="shared" si="236"/>
        <v>0</v>
      </c>
    </row>
    <row r="699" spans="1:29" ht="15.6" thickTop="1" thickBot="1">
      <c r="A699" s="318"/>
      <c r="B699" s="319"/>
      <c r="C699" s="318"/>
      <c r="D699" s="318"/>
      <c r="E699" s="319"/>
      <c r="F699" s="336"/>
      <c r="G699" s="318" t="s">
        <v>1137</v>
      </c>
      <c r="H699" s="318">
        <v>4.4400000000000004</v>
      </c>
      <c r="I699" s="318">
        <v>1</v>
      </c>
      <c r="J699" s="318">
        <f t="shared" si="231"/>
        <v>1</v>
      </c>
      <c r="K699" s="318">
        <f t="shared" si="232"/>
        <v>4.4400000000000004</v>
      </c>
      <c r="L699" s="350" t="s">
        <v>2915</v>
      </c>
      <c r="M699" s="350" t="s">
        <v>2913</v>
      </c>
      <c r="N699" s="318">
        <v>1</v>
      </c>
      <c r="O699" s="619">
        <f t="shared" si="228"/>
        <v>4.4400000000000004</v>
      </c>
      <c r="P699" s="755">
        <v>0</v>
      </c>
      <c r="Q699" s="747"/>
      <c r="R699" s="624">
        <v>0</v>
      </c>
      <c r="S699" s="348">
        <f t="shared" si="229"/>
        <v>0</v>
      </c>
      <c r="T699" s="319" t="s">
        <v>3454</v>
      </c>
      <c r="V699" s="328">
        <v>3.33</v>
      </c>
      <c r="W699" s="320"/>
      <c r="X699" s="454">
        <f t="shared" si="233"/>
        <v>0</v>
      </c>
      <c r="Y699" s="330"/>
      <c r="Z699" s="454">
        <f t="shared" si="234"/>
        <v>0</v>
      </c>
      <c r="AB699" s="328">
        <f t="shared" si="235"/>
        <v>-4.4400000000000004</v>
      </c>
      <c r="AC699" s="328">
        <f t="shared" si="236"/>
        <v>0</v>
      </c>
    </row>
    <row r="700" spans="1:29" ht="15" thickTop="1">
      <c r="A700" s="318"/>
      <c r="B700" s="319"/>
      <c r="C700" s="318"/>
      <c r="D700" s="318"/>
      <c r="E700" s="319"/>
      <c r="F700" s="319"/>
      <c r="G700" s="318" t="s">
        <v>1138</v>
      </c>
      <c r="H700" s="318">
        <v>4.49</v>
      </c>
      <c r="I700" s="318">
        <v>1</v>
      </c>
      <c r="J700" s="318">
        <f t="shared" si="231"/>
        <v>1</v>
      </c>
      <c r="K700" s="318">
        <f t="shared" si="232"/>
        <v>4.49</v>
      </c>
      <c r="L700" s="318">
        <v>1547</v>
      </c>
      <c r="M700" s="318">
        <v>131</v>
      </c>
      <c r="N700" s="318">
        <v>1</v>
      </c>
      <c r="O700" s="619">
        <f t="shared" si="228"/>
        <v>4.49</v>
      </c>
      <c r="P700" s="750">
        <v>1</v>
      </c>
      <c r="Q700" s="750"/>
      <c r="R700" s="337">
        <v>1</v>
      </c>
      <c r="S700" s="348">
        <f t="shared" si="229"/>
        <v>4.49</v>
      </c>
      <c r="T700" s="319"/>
      <c r="V700" s="328">
        <v>1.8</v>
      </c>
      <c r="W700" s="320">
        <v>1</v>
      </c>
      <c r="X700" s="348">
        <f t="shared" si="233"/>
        <v>1.8</v>
      </c>
      <c r="Y700" s="330">
        <v>1</v>
      </c>
      <c r="Z700" s="454">
        <f t="shared" si="234"/>
        <v>1.8</v>
      </c>
      <c r="AB700" s="328">
        <f t="shared" si="235"/>
        <v>-2.6900000000000004</v>
      </c>
      <c r="AC700" s="328">
        <f t="shared" si="236"/>
        <v>-2.6900000000000004</v>
      </c>
    </row>
    <row r="701" spans="1:29">
      <c r="A701" s="318"/>
      <c r="B701" s="319"/>
      <c r="C701" s="318"/>
      <c r="D701" s="318"/>
      <c r="E701" s="319"/>
      <c r="F701" s="336"/>
      <c r="G701" s="318" t="s">
        <v>1139</v>
      </c>
      <c r="H701" s="318">
        <v>4.49</v>
      </c>
      <c r="I701" s="318">
        <v>1</v>
      </c>
      <c r="J701" s="318">
        <f t="shared" si="231"/>
        <v>1</v>
      </c>
      <c r="K701" s="318">
        <f t="shared" si="232"/>
        <v>4.49</v>
      </c>
      <c r="L701" s="318">
        <v>1547</v>
      </c>
      <c r="M701" s="318">
        <v>131</v>
      </c>
      <c r="N701" s="318">
        <v>1</v>
      </c>
      <c r="O701" s="619">
        <f t="shared" si="228"/>
        <v>4.49</v>
      </c>
      <c r="P701" s="750">
        <v>1</v>
      </c>
      <c r="Q701" s="750"/>
      <c r="R701" s="337">
        <v>1</v>
      </c>
      <c r="S701" s="348">
        <f t="shared" si="229"/>
        <v>4.49</v>
      </c>
      <c r="T701" s="319"/>
      <c r="V701" s="328">
        <f t="shared" ref="V701:V717" si="237">4.49</f>
        <v>4.49</v>
      </c>
      <c r="W701" s="320">
        <v>1</v>
      </c>
      <c r="X701" s="348">
        <f t="shared" si="233"/>
        <v>4.49</v>
      </c>
      <c r="Y701" s="330">
        <v>1</v>
      </c>
      <c r="Z701" s="454">
        <f t="shared" si="234"/>
        <v>4.49</v>
      </c>
      <c r="AB701" s="328">
        <f t="shared" si="235"/>
        <v>0</v>
      </c>
      <c r="AC701" s="328">
        <f t="shared" si="236"/>
        <v>0</v>
      </c>
    </row>
    <row r="702" spans="1:29">
      <c r="A702" s="318"/>
      <c r="B702" s="319"/>
      <c r="C702" s="318"/>
      <c r="D702" s="318"/>
      <c r="E702" s="319"/>
      <c r="F702" s="319"/>
      <c r="G702" s="318" t="s">
        <v>1140</v>
      </c>
      <c r="H702" s="318">
        <v>4.49</v>
      </c>
      <c r="I702" s="318">
        <v>1</v>
      </c>
      <c r="J702" s="318">
        <f t="shared" si="231"/>
        <v>1</v>
      </c>
      <c r="K702" s="318">
        <f t="shared" si="232"/>
        <v>4.49</v>
      </c>
      <c r="L702" s="318">
        <v>1547</v>
      </c>
      <c r="M702" s="318">
        <v>131</v>
      </c>
      <c r="N702" s="318">
        <v>1</v>
      </c>
      <c r="O702" s="619">
        <f t="shared" si="228"/>
        <v>4.49</v>
      </c>
      <c r="P702" s="750">
        <v>1</v>
      </c>
      <c r="Q702" s="750"/>
      <c r="R702" s="337">
        <v>1</v>
      </c>
      <c r="S702" s="348">
        <f t="shared" si="229"/>
        <v>4.49</v>
      </c>
      <c r="T702" s="319"/>
      <c r="V702" s="328">
        <f t="shared" si="237"/>
        <v>4.49</v>
      </c>
      <c r="W702" s="320">
        <v>1</v>
      </c>
      <c r="X702" s="348">
        <f t="shared" si="233"/>
        <v>4.49</v>
      </c>
      <c r="Y702" s="330">
        <v>1</v>
      </c>
      <c r="Z702" s="454">
        <f t="shared" si="234"/>
        <v>4.49</v>
      </c>
      <c r="AB702" s="328">
        <f t="shared" si="235"/>
        <v>0</v>
      </c>
      <c r="AC702" s="328">
        <f t="shared" si="236"/>
        <v>0</v>
      </c>
    </row>
    <row r="703" spans="1:29">
      <c r="A703" s="318"/>
      <c r="B703" s="319"/>
      <c r="C703" s="318"/>
      <c r="D703" s="318"/>
      <c r="E703" s="319"/>
      <c r="F703" s="319"/>
      <c r="G703" s="318" t="s">
        <v>1141</v>
      </c>
      <c r="H703" s="318">
        <v>4.49</v>
      </c>
      <c r="I703" s="318">
        <v>1</v>
      </c>
      <c r="J703" s="318">
        <f t="shared" si="231"/>
        <v>1</v>
      </c>
      <c r="K703" s="318">
        <f t="shared" si="232"/>
        <v>4.49</v>
      </c>
      <c r="L703" s="318">
        <v>1556</v>
      </c>
      <c r="M703" s="318">
        <v>133</v>
      </c>
      <c r="N703" s="318">
        <v>1</v>
      </c>
      <c r="O703" s="619">
        <f t="shared" si="228"/>
        <v>4.49</v>
      </c>
      <c r="P703" s="750">
        <v>1</v>
      </c>
      <c r="Q703" s="750"/>
      <c r="R703" s="337">
        <v>1</v>
      </c>
      <c r="S703" s="348">
        <f t="shared" si="229"/>
        <v>4.49</v>
      </c>
      <c r="T703" s="319"/>
      <c r="V703" s="328">
        <f t="shared" si="237"/>
        <v>4.49</v>
      </c>
      <c r="W703" s="320">
        <v>1</v>
      </c>
      <c r="X703" s="348">
        <f t="shared" si="233"/>
        <v>4.49</v>
      </c>
      <c r="Y703" s="330">
        <v>1</v>
      </c>
      <c r="Z703" s="454">
        <f t="shared" si="234"/>
        <v>4.49</v>
      </c>
      <c r="AB703" s="328">
        <f t="shared" si="235"/>
        <v>0</v>
      </c>
      <c r="AC703" s="328">
        <f t="shared" si="236"/>
        <v>0</v>
      </c>
    </row>
    <row r="704" spans="1:29">
      <c r="A704" s="318"/>
      <c r="B704" s="319"/>
      <c r="C704" s="318"/>
      <c r="D704" s="318"/>
      <c r="E704" s="319"/>
      <c r="F704" s="319"/>
      <c r="G704" s="318" t="s">
        <v>1142</v>
      </c>
      <c r="H704" s="318">
        <v>4.49</v>
      </c>
      <c r="I704" s="318">
        <v>1</v>
      </c>
      <c r="J704" s="318">
        <f t="shared" si="231"/>
        <v>1</v>
      </c>
      <c r="K704" s="318">
        <f t="shared" si="232"/>
        <v>4.49</v>
      </c>
      <c r="L704" s="318">
        <v>1556</v>
      </c>
      <c r="M704" s="318">
        <v>133</v>
      </c>
      <c r="N704" s="318">
        <v>1</v>
      </c>
      <c r="O704" s="619">
        <f t="shared" si="228"/>
        <v>4.49</v>
      </c>
      <c r="P704" s="750">
        <v>1</v>
      </c>
      <c r="Q704" s="750"/>
      <c r="R704" s="337">
        <v>1</v>
      </c>
      <c r="S704" s="348">
        <f t="shared" si="229"/>
        <v>4.49</v>
      </c>
      <c r="T704" s="319"/>
      <c r="V704" s="328">
        <f t="shared" si="237"/>
        <v>4.49</v>
      </c>
      <c r="W704" s="320">
        <v>1</v>
      </c>
      <c r="X704" s="348">
        <f t="shared" si="233"/>
        <v>4.49</v>
      </c>
      <c r="Y704" s="330">
        <v>1</v>
      </c>
      <c r="Z704" s="454">
        <f t="shared" si="234"/>
        <v>4.49</v>
      </c>
      <c r="AB704" s="328">
        <f t="shared" si="235"/>
        <v>0</v>
      </c>
      <c r="AC704" s="328">
        <f t="shared" si="236"/>
        <v>0</v>
      </c>
    </row>
    <row r="705" spans="1:29">
      <c r="A705" s="318"/>
      <c r="B705" s="319"/>
      <c r="C705" s="318"/>
      <c r="D705" s="318"/>
      <c r="E705" s="319"/>
      <c r="F705" s="319"/>
      <c r="G705" s="318" t="s">
        <v>1143</v>
      </c>
      <c r="H705" s="318">
        <v>4.49</v>
      </c>
      <c r="I705" s="318">
        <v>1</v>
      </c>
      <c r="J705" s="318">
        <f t="shared" si="231"/>
        <v>1</v>
      </c>
      <c r="K705" s="318">
        <f t="shared" si="232"/>
        <v>4.49</v>
      </c>
      <c r="L705" s="318">
        <v>1556</v>
      </c>
      <c r="M705" s="318">
        <v>133</v>
      </c>
      <c r="N705" s="318">
        <v>1</v>
      </c>
      <c r="O705" s="619">
        <f t="shared" si="228"/>
        <v>4.49</v>
      </c>
      <c r="P705" s="750">
        <v>1</v>
      </c>
      <c r="Q705" s="750"/>
      <c r="R705" s="337">
        <v>1</v>
      </c>
      <c r="S705" s="348">
        <f t="shared" si="229"/>
        <v>4.49</v>
      </c>
      <c r="T705" s="319"/>
      <c r="V705" s="328">
        <f t="shared" si="237"/>
        <v>4.49</v>
      </c>
      <c r="W705" s="320">
        <v>1</v>
      </c>
      <c r="X705" s="348">
        <f t="shared" si="233"/>
        <v>4.49</v>
      </c>
      <c r="Y705" s="330">
        <v>1</v>
      </c>
      <c r="Z705" s="454">
        <f t="shared" si="234"/>
        <v>4.49</v>
      </c>
      <c r="AB705" s="328">
        <f t="shared" si="235"/>
        <v>0</v>
      </c>
      <c r="AC705" s="328">
        <f t="shared" si="236"/>
        <v>0</v>
      </c>
    </row>
    <row r="706" spans="1:29">
      <c r="A706" s="318"/>
      <c r="B706" s="319"/>
      <c r="C706" s="318"/>
      <c r="D706" s="318"/>
      <c r="E706" s="319"/>
      <c r="F706" s="319"/>
      <c r="G706" s="318" t="s">
        <v>1144</v>
      </c>
      <c r="H706" s="318">
        <v>4.49</v>
      </c>
      <c r="I706" s="318">
        <v>1</v>
      </c>
      <c r="J706" s="318">
        <f t="shared" si="231"/>
        <v>1</v>
      </c>
      <c r="K706" s="318">
        <f t="shared" si="232"/>
        <v>4.49</v>
      </c>
      <c r="L706" s="318">
        <v>1556</v>
      </c>
      <c r="M706" s="318">
        <v>133</v>
      </c>
      <c r="N706" s="318">
        <v>1</v>
      </c>
      <c r="O706" s="619">
        <f t="shared" si="228"/>
        <v>4.49</v>
      </c>
      <c r="P706" s="750">
        <v>1</v>
      </c>
      <c r="Q706" s="750"/>
      <c r="R706" s="337">
        <v>1</v>
      </c>
      <c r="S706" s="348">
        <f t="shared" si="229"/>
        <v>4.49</v>
      </c>
      <c r="T706" s="319"/>
      <c r="V706" s="328">
        <f t="shared" si="237"/>
        <v>4.49</v>
      </c>
      <c r="W706" s="320">
        <v>1</v>
      </c>
      <c r="X706" s="348">
        <f t="shared" si="233"/>
        <v>4.49</v>
      </c>
      <c r="Y706" s="330">
        <v>1</v>
      </c>
      <c r="Z706" s="454">
        <f t="shared" si="234"/>
        <v>4.49</v>
      </c>
      <c r="AB706" s="328">
        <f t="shared" si="235"/>
        <v>0</v>
      </c>
      <c r="AC706" s="328">
        <f t="shared" si="236"/>
        <v>0</v>
      </c>
    </row>
    <row r="707" spans="1:29">
      <c r="A707" s="318"/>
      <c r="B707" s="319"/>
      <c r="C707" s="318"/>
      <c r="D707" s="318"/>
      <c r="E707" s="319"/>
      <c r="F707" s="336"/>
      <c r="G707" s="318" t="s">
        <v>1145</v>
      </c>
      <c r="H707" s="318">
        <v>4.49</v>
      </c>
      <c r="I707" s="318">
        <v>1</v>
      </c>
      <c r="J707" s="318">
        <f t="shared" si="231"/>
        <v>1</v>
      </c>
      <c r="K707" s="318">
        <f t="shared" si="232"/>
        <v>4.49</v>
      </c>
      <c r="L707" s="318">
        <v>1556</v>
      </c>
      <c r="M707" s="318">
        <v>133</v>
      </c>
      <c r="N707" s="318">
        <v>1</v>
      </c>
      <c r="O707" s="619">
        <f t="shared" si="228"/>
        <v>4.49</v>
      </c>
      <c r="P707" s="750">
        <v>1</v>
      </c>
      <c r="Q707" s="750"/>
      <c r="R707" s="337">
        <v>1</v>
      </c>
      <c r="S707" s="348">
        <f t="shared" si="229"/>
        <v>4.49</v>
      </c>
      <c r="T707" s="319"/>
      <c r="V707" s="328">
        <f t="shared" si="237"/>
        <v>4.49</v>
      </c>
      <c r="W707" s="320">
        <v>1</v>
      </c>
      <c r="X707" s="348">
        <f t="shared" si="233"/>
        <v>4.49</v>
      </c>
      <c r="Y707" s="330">
        <v>1</v>
      </c>
      <c r="Z707" s="454">
        <f t="shared" si="234"/>
        <v>4.49</v>
      </c>
      <c r="AB707" s="328">
        <f t="shared" si="235"/>
        <v>0</v>
      </c>
      <c r="AC707" s="328">
        <f t="shared" si="236"/>
        <v>0</v>
      </c>
    </row>
    <row r="708" spans="1:29">
      <c r="A708" s="318"/>
      <c r="B708" s="319"/>
      <c r="C708" s="318"/>
      <c r="D708" s="318"/>
      <c r="E708" s="319"/>
      <c r="F708" s="336"/>
      <c r="G708" s="318" t="s">
        <v>1146</v>
      </c>
      <c r="H708" s="318">
        <v>4.49</v>
      </c>
      <c r="I708" s="318">
        <v>1</v>
      </c>
      <c r="J708" s="318">
        <f t="shared" si="231"/>
        <v>1</v>
      </c>
      <c r="K708" s="318">
        <f t="shared" si="232"/>
        <v>4.49</v>
      </c>
      <c r="L708" s="318">
        <v>1558</v>
      </c>
      <c r="M708" s="318">
        <v>133</v>
      </c>
      <c r="N708" s="318">
        <v>1</v>
      </c>
      <c r="O708" s="619">
        <f t="shared" si="228"/>
        <v>4.49</v>
      </c>
      <c r="P708" s="750">
        <v>1</v>
      </c>
      <c r="Q708" s="750"/>
      <c r="R708" s="337">
        <v>1</v>
      </c>
      <c r="S708" s="348">
        <f t="shared" si="229"/>
        <v>4.49</v>
      </c>
      <c r="T708" s="319"/>
      <c r="V708" s="328">
        <f t="shared" si="237"/>
        <v>4.49</v>
      </c>
      <c r="W708" s="320">
        <v>1</v>
      </c>
      <c r="X708" s="348">
        <f t="shared" si="233"/>
        <v>4.49</v>
      </c>
      <c r="Y708" s="330">
        <v>1</v>
      </c>
      <c r="Z708" s="454">
        <f t="shared" si="234"/>
        <v>4.49</v>
      </c>
      <c r="AB708" s="328">
        <f t="shared" si="235"/>
        <v>0</v>
      </c>
      <c r="AC708" s="328">
        <f t="shared" si="236"/>
        <v>0</v>
      </c>
    </row>
    <row r="709" spans="1:29">
      <c r="A709" s="318"/>
      <c r="B709" s="319"/>
      <c r="C709" s="318"/>
      <c r="D709" s="318"/>
      <c r="E709" s="319"/>
      <c r="F709" s="336"/>
      <c r="G709" s="318" t="s">
        <v>1147</v>
      </c>
      <c r="H709" s="318">
        <v>4.49</v>
      </c>
      <c r="I709" s="318">
        <v>1</v>
      </c>
      <c r="J709" s="318">
        <f t="shared" si="231"/>
        <v>1</v>
      </c>
      <c r="K709" s="318">
        <f t="shared" si="232"/>
        <v>4.49</v>
      </c>
      <c r="L709" s="318">
        <v>1558</v>
      </c>
      <c r="M709" s="318">
        <v>133</v>
      </c>
      <c r="N709" s="318">
        <v>1</v>
      </c>
      <c r="O709" s="619">
        <f t="shared" si="228"/>
        <v>4.49</v>
      </c>
      <c r="P709" s="750">
        <v>1</v>
      </c>
      <c r="Q709" s="750"/>
      <c r="R709" s="337">
        <v>1</v>
      </c>
      <c r="S709" s="348">
        <f t="shared" si="229"/>
        <v>4.49</v>
      </c>
      <c r="T709" s="319"/>
      <c r="V709" s="328">
        <f t="shared" si="237"/>
        <v>4.49</v>
      </c>
      <c r="W709" s="320">
        <v>1</v>
      </c>
      <c r="X709" s="348">
        <f t="shared" si="233"/>
        <v>4.49</v>
      </c>
      <c r="Y709" s="330">
        <v>1</v>
      </c>
      <c r="Z709" s="454">
        <f t="shared" si="234"/>
        <v>4.49</v>
      </c>
      <c r="AB709" s="328">
        <f t="shared" si="235"/>
        <v>0</v>
      </c>
      <c r="AC709" s="328">
        <f t="shared" si="236"/>
        <v>0</v>
      </c>
    </row>
    <row r="710" spans="1:29">
      <c r="A710" s="318"/>
      <c r="B710" s="319"/>
      <c r="C710" s="318"/>
      <c r="D710" s="318"/>
      <c r="E710" s="319"/>
      <c r="F710" s="336"/>
      <c r="G710" s="318" t="s">
        <v>1148</v>
      </c>
      <c r="H710" s="318">
        <v>4.49</v>
      </c>
      <c r="I710" s="318">
        <v>1</v>
      </c>
      <c r="J710" s="318">
        <f t="shared" si="231"/>
        <v>1</v>
      </c>
      <c r="K710" s="318">
        <f t="shared" si="232"/>
        <v>4.49</v>
      </c>
      <c r="L710" s="318">
        <v>1558</v>
      </c>
      <c r="M710" s="318">
        <v>133</v>
      </c>
      <c r="N710" s="318">
        <v>1</v>
      </c>
      <c r="O710" s="619">
        <f t="shared" si="228"/>
        <v>4.49</v>
      </c>
      <c r="P710" s="750">
        <v>1</v>
      </c>
      <c r="Q710" s="750"/>
      <c r="R710" s="337">
        <v>1</v>
      </c>
      <c r="S710" s="348">
        <f t="shared" si="229"/>
        <v>4.49</v>
      </c>
      <c r="T710" s="319"/>
      <c r="V710" s="328">
        <f t="shared" si="237"/>
        <v>4.49</v>
      </c>
      <c r="W710" s="320">
        <v>1</v>
      </c>
      <c r="X710" s="348">
        <f t="shared" si="233"/>
        <v>4.49</v>
      </c>
      <c r="Y710" s="330">
        <v>1</v>
      </c>
      <c r="Z710" s="454">
        <f t="shared" si="234"/>
        <v>4.49</v>
      </c>
      <c r="AB710" s="328">
        <f t="shared" si="235"/>
        <v>0</v>
      </c>
      <c r="AC710" s="328">
        <f t="shared" si="236"/>
        <v>0</v>
      </c>
    </row>
    <row r="711" spans="1:29">
      <c r="A711" s="318"/>
      <c r="B711" s="319"/>
      <c r="C711" s="318"/>
      <c r="D711" s="318"/>
      <c r="E711" s="319"/>
      <c r="F711" s="336"/>
      <c r="G711" s="318" t="s">
        <v>1149</v>
      </c>
      <c r="H711" s="318">
        <v>4.49</v>
      </c>
      <c r="I711" s="318">
        <v>1</v>
      </c>
      <c r="J711" s="318">
        <f t="shared" si="231"/>
        <v>1</v>
      </c>
      <c r="K711" s="318">
        <f t="shared" si="232"/>
        <v>4.49</v>
      </c>
      <c r="L711" s="318">
        <v>1558</v>
      </c>
      <c r="M711" s="318">
        <v>133</v>
      </c>
      <c r="N711" s="318">
        <v>1</v>
      </c>
      <c r="O711" s="619">
        <f t="shared" si="228"/>
        <v>4.49</v>
      </c>
      <c r="P711" s="750">
        <v>1</v>
      </c>
      <c r="Q711" s="750"/>
      <c r="R711" s="337">
        <v>1</v>
      </c>
      <c r="S711" s="348">
        <f t="shared" si="229"/>
        <v>4.49</v>
      </c>
      <c r="T711" s="319"/>
      <c r="V711" s="328">
        <f t="shared" si="237"/>
        <v>4.49</v>
      </c>
      <c r="W711" s="320">
        <v>1</v>
      </c>
      <c r="X711" s="348">
        <f t="shared" si="233"/>
        <v>4.49</v>
      </c>
      <c r="Y711" s="330">
        <v>1</v>
      </c>
      <c r="Z711" s="454">
        <f t="shared" si="234"/>
        <v>4.49</v>
      </c>
      <c r="AB711" s="328">
        <f t="shared" si="235"/>
        <v>0</v>
      </c>
      <c r="AC711" s="328">
        <f t="shared" si="236"/>
        <v>0</v>
      </c>
    </row>
    <row r="712" spans="1:29">
      <c r="A712" s="318"/>
      <c r="B712" s="319"/>
      <c r="C712" s="318"/>
      <c r="D712" s="318"/>
      <c r="E712" s="319"/>
      <c r="F712" s="336"/>
      <c r="G712" s="318" t="s">
        <v>1150</v>
      </c>
      <c r="H712" s="318">
        <v>4.49</v>
      </c>
      <c r="I712" s="318">
        <v>1</v>
      </c>
      <c r="J712" s="318">
        <f t="shared" si="231"/>
        <v>1</v>
      </c>
      <c r="K712" s="318">
        <f t="shared" si="232"/>
        <v>4.49</v>
      </c>
      <c r="L712" s="318">
        <v>1558</v>
      </c>
      <c r="M712" s="318">
        <v>133</v>
      </c>
      <c r="N712" s="318">
        <v>1</v>
      </c>
      <c r="O712" s="619">
        <f t="shared" si="228"/>
        <v>4.49</v>
      </c>
      <c r="P712" s="750">
        <v>1</v>
      </c>
      <c r="Q712" s="750"/>
      <c r="R712" s="337">
        <v>1</v>
      </c>
      <c r="S712" s="348">
        <f t="shared" si="229"/>
        <v>4.49</v>
      </c>
      <c r="T712" s="319"/>
      <c r="V712" s="328">
        <f t="shared" si="237"/>
        <v>4.49</v>
      </c>
      <c r="W712" s="320">
        <v>1</v>
      </c>
      <c r="X712" s="348">
        <f t="shared" si="233"/>
        <v>4.49</v>
      </c>
      <c r="Y712" s="330">
        <v>1</v>
      </c>
      <c r="Z712" s="454">
        <f t="shared" si="234"/>
        <v>4.49</v>
      </c>
      <c r="AB712" s="328">
        <f t="shared" si="235"/>
        <v>0</v>
      </c>
      <c r="AC712" s="328">
        <f t="shared" si="236"/>
        <v>0</v>
      </c>
    </row>
    <row r="713" spans="1:29">
      <c r="A713" s="318"/>
      <c r="B713" s="319"/>
      <c r="C713" s="318"/>
      <c r="D713" s="318"/>
      <c r="E713" s="319"/>
      <c r="F713" s="336"/>
      <c r="G713" s="318" t="s">
        <v>1151</v>
      </c>
      <c r="H713" s="318">
        <v>4.49</v>
      </c>
      <c r="I713" s="318">
        <v>1</v>
      </c>
      <c r="J713" s="318">
        <f t="shared" si="231"/>
        <v>1</v>
      </c>
      <c r="K713" s="318">
        <f t="shared" si="232"/>
        <v>4.49</v>
      </c>
      <c r="L713" s="318">
        <v>1558</v>
      </c>
      <c r="M713" s="318">
        <v>133</v>
      </c>
      <c r="N713" s="318">
        <v>1</v>
      </c>
      <c r="O713" s="619">
        <f t="shared" si="228"/>
        <v>4.49</v>
      </c>
      <c r="P713" s="750">
        <v>1</v>
      </c>
      <c r="Q713" s="750"/>
      <c r="R713" s="337">
        <v>1</v>
      </c>
      <c r="S713" s="348">
        <f t="shared" si="229"/>
        <v>4.49</v>
      </c>
      <c r="T713" s="319"/>
      <c r="V713" s="328">
        <f t="shared" si="237"/>
        <v>4.49</v>
      </c>
      <c r="W713" s="320">
        <v>1</v>
      </c>
      <c r="X713" s="348">
        <f t="shared" si="233"/>
        <v>4.49</v>
      </c>
      <c r="Y713" s="330">
        <v>1</v>
      </c>
      <c r="Z713" s="454">
        <f t="shared" si="234"/>
        <v>4.49</v>
      </c>
      <c r="AB713" s="328">
        <f t="shared" si="235"/>
        <v>0</v>
      </c>
      <c r="AC713" s="328">
        <f t="shared" si="236"/>
        <v>0</v>
      </c>
    </row>
    <row r="714" spans="1:29">
      <c r="A714" s="318"/>
      <c r="B714" s="319"/>
      <c r="C714" s="318"/>
      <c r="D714" s="318"/>
      <c r="E714" s="319"/>
      <c r="F714" s="336"/>
      <c r="G714" s="318" t="s">
        <v>1152</v>
      </c>
      <c r="H714" s="318">
        <v>4.49</v>
      </c>
      <c r="I714" s="318">
        <v>1</v>
      </c>
      <c r="J714" s="318">
        <f t="shared" si="231"/>
        <v>1</v>
      </c>
      <c r="K714" s="318">
        <f t="shared" si="232"/>
        <v>4.49</v>
      </c>
      <c r="L714" s="318">
        <v>1558</v>
      </c>
      <c r="M714" s="318">
        <v>133</v>
      </c>
      <c r="N714" s="318">
        <v>1</v>
      </c>
      <c r="O714" s="619">
        <f t="shared" si="228"/>
        <v>4.49</v>
      </c>
      <c r="P714" s="750">
        <v>1</v>
      </c>
      <c r="Q714" s="750"/>
      <c r="R714" s="337">
        <v>1</v>
      </c>
      <c r="S714" s="348">
        <f t="shared" si="229"/>
        <v>4.49</v>
      </c>
      <c r="T714" s="319"/>
      <c r="V714" s="328">
        <f t="shared" si="237"/>
        <v>4.49</v>
      </c>
      <c r="W714" s="320">
        <v>1</v>
      </c>
      <c r="X714" s="348">
        <f t="shared" si="233"/>
        <v>4.49</v>
      </c>
      <c r="Y714" s="330">
        <v>1</v>
      </c>
      <c r="Z714" s="454">
        <f t="shared" si="234"/>
        <v>4.49</v>
      </c>
      <c r="AB714" s="328">
        <f t="shared" si="235"/>
        <v>0</v>
      </c>
      <c r="AC714" s="328">
        <f t="shared" si="236"/>
        <v>0</v>
      </c>
    </row>
    <row r="715" spans="1:29">
      <c r="A715" s="318"/>
      <c r="B715" s="319"/>
      <c r="C715" s="318"/>
      <c r="D715" s="318"/>
      <c r="E715" s="319"/>
      <c r="F715" s="336"/>
      <c r="G715" s="318" t="s">
        <v>1153</v>
      </c>
      <c r="H715" s="318">
        <v>4.49</v>
      </c>
      <c r="I715" s="318">
        <v>1</v>
      </c>
      <c r="J715" s="318">
        <f t="shared" si="231"/>
        <v>1</v>
      </c>
      <c r="K715" s="318">
        <f t="shared" si="232"/>
        <v>4.49</v>
      </c>
      <c r="L715" s="318">
        <v>1558</v>
      </c>
      <c r="M715" s="318">
        <v>133</v>
      </c>
      <c r="N715" s="318">
        <v>1</v>
      </c>
      <c r="O715" s="619">
        <f t="shared" si="228"/>
        <v>4.49</v>
      </c>
      <c r="P715" s="750">
        <v>1</v>
      </c>
      <c r="Q715" s="750"/>
      <c r="R715" s="337">
        <v>1</v>
      </c>
      <c r="S715" s="348">
        <f t="shared" si="229"/>
        <v>4.49</v>
      </c>
      <c r="T715" s="319"/>
      <c r="V715" s="328">
        <f t="shared" si="237"/>
        <v>4.49</v>
      </c>
      <c r="W715" s="320">
        <v>1</v>
      </c>
      <c r="X715" s="348">
        <f t="shared" si="233"/>
        <v>4.49</v>
      </c>
      <c r="Y715" s="330">
        <v>1</v>
      </c>
      <c r="Z715" s="454">
        <f t="shared" si="234"/>
        <v>4.49</v>
      </c>
      <c r="AB715" s="328">
        <f t="shared" si="235"/>
        <v>0</v>
      </c>
      <c r="AC715" s="328">
        <f t="shared" si="236"/>
        <v>0</v>
      </c>
    </row>
    <row r="716" spans="1:29">
      <c r="A716" s="318"/>
      <c r="B716" s="319"/>
      <c r="C716" s="318"/>
      <c r="D716" s="318"/>
      <c r="E716" s="319"/>
      <c r="F716" s="336"/>
      <c r="G716" s="318" t="s">
        <v>1154</v>
      </c>
      <c r="H716" s="318">
        <v>4.49</v>
      </c>
      <c r="I716" s="318">
        <v>1</v>
      </c>
      <c r="J716" s="318">
        <f t="shared" si="231"/>
        <v>1</v>
      </c>
      <c r="K716" s="318">
        <f t="shared" si="232"/>
        <v>4.49</v>
      </c>
      <c r="L716" s="318">
        <v>1558</v>
      </c>
      <c r="M716" s="318">
        <v>133</v>
      </c>
      <c r="N716" s="318">
        <v>1</v>
      </c>
      <c r="O716" s="619">
        <f t="shared" si="228"/>
        <v>4.49</v>
      </c>
      <c r="P716" s="750">
        <v>1</v>
      </c>
      <c r="Q716" s="750"/>
      <c r="R716" s="337">
        <v>1</v>
      </c>
      <c r="S716" s="348">
        <f t="shared" si="229"/>
        <v>4.49</v>
      </c>
      <c r="T716" s="319"/>
      <c r="V716" s="328">
        <f t="shared" si="237"/>
        <v>4.49</v>
      </c>
      <c r="W716" s="320">
        <v>1</v>
      </c>
      <c r="X716" s="348">
        <f t="shared" si="233"/>
        <v>4.49</v>
      </c>
      <c r="Y716" s="330">
        <v>1</v>
      </c>
      <c r="Z716" s="454">
        <f t="shared" si="234"/>
        <v>4.49</v>
      </c>
      <c r="AB716" s="328">
        <f t="shared" si="235"/>
        <v>0</v>
      </c>
      <c r="AC716" s="328">
        <f t="shared" si="236"/>
        <v>0</v>
      </c>
    </row>
    <row r="717" spans="1:29">
      <c r="A717" s="318"/>
      <c r="B717" s="319"/>
      <c r="C717" s="318"/>
      <c r="D717" s="318"/>
      <c r="E717" s="319"/>
      <c r="F717" s="336"/>
      <c r="G717" s="318" t="s">
        <v>1155</v>
      </c>
      <c r="H717" s="318">
        <v>3.03</v>
      </c>
      <c r="I717" s="318">
        <v>1</v>
      </c>
      <c r="J717" s="318">
        <f t="shared" si="231"/>
        <v>1</v>
      </c>
      <c r="K717" s="318">
        <f t="shared" si="232"/>
        <v>3.03</v>
      </c>
      <c r="L717" s="318" t="s">
        <v>331</v>
      </c>
      <c r="M717" s="318" t="s">
        <v>335</v>
      </c>
      <c r="N717" s="318">
        <v>1</v>
      </c>
      <c r="O717" s="619">
        <f t="shared" si="228"/>
        <v>3.03</v>
      </c>
      <c r="P717" s="750">
        <v>1</v>
      </c>
      <c r="Q717" s="750"/>
      <c r="R717" s="337">
        <v>1</v>
      </c>
      <c r="S717" s="348">
        <f t="shared" si="229"/>
        <v>3.03</v>
      </c>
      <c r="T717" s="319" t="s">
        <v>3334</v>
      </c>
      <c r="V717" s="328">
        <f t="shared" si="237"/>
        <v>4.49</v>
      </c>
      <c r="W717" s="320">
        <v>1</v>
      </c>
      <c r="X717" s="348">
        <f t="shared" si="233"/>
        <v>4.49</v>
      </c>
      <c r="Y717" s="330">
        <v>1</v>
      </c>
      <c r="Z717" s="454">
        <f t="shared" si="234"/>
        <v>4.49</v>
      </c>
      <c r="AB717" s="328">
        <f t="shared" si="235"/>
        <v>1.4600000000000004</v>
      </c>
      <c r="AC717" s="328">
        <f t="shared" si="236"/>
        <v>1.4600000000000004</v>
      </c>
    </row>
    <row r="718" spans="1:29">
      <c r="A718" s="318"/>
      <c r="B718" s="319"/>
      <c r="C718" s="318"/>
      <c r="D718" s="318"/>
      <c r="E718" s="319"/>
      <c r="F718" s="336"/>
      <c r="G718" s="318" t="s">
        <v>1156</v>
      </c>
      <c r="H718" s="318">
        <v>2.8</v>
      </c>
      <c r="I718" s="318">
        <v>1</v>
      </c>
      <c r="J718" s="318">
        <f t="shared" si="231"/>
        <v>1</v>
      </c>
      <c r="K718" s="318">
        <f t="shared" si="232"/>
        <v>2.8</v>
      </c>
      <c r="L718" s="350" t="s">
        <v>2786</v>
      </c>
      <c r="M718" s="349">
        <v>193132</v>
      </c>
      <c r="N718" s="318">
        <v>1</v>
      </c>
      <c r="O718" s="619">
        <f>H718*N718</f>
        <v>2.8</v>
      </c>
      <c r="P718" s="750">
        <v>1</v>
      </c>
      <c r="Q718" s="750"/>
      <c r="R718" s="337">
        <v>1</v>
      </c>
      <c r="S718" s="348">
        <f t="shared" si="229"/>
        <v>2.8</v>
      </c>
      <c r="T718" s="319" t="s">
        <v>3334</v>
      </c>
      <c r="V718" s="328">
        <v>4.99</v>
      </c>
      <c r="W718" s="320">
        <v>1</v>
      </c>
      <c r="X718" s="348">
        <f t="shared" si="233"/>
        <v>4.99</v>
      </c>
      <c r="Y718" s="330">
        <v>1</v>
      </c>
      <c r="Z718" s="348">
        <f t="shared" si="234"/>
        <v>4.99</v>
      </c>
      <c r="AB718" s="328">
        <f t="shared" si="235"/>
        <v>2.1900000000000004</v>
      </c>
      <c r="AC718" s="328">
        <f t="shared" si="236"/>
        <v>2.1900000000000004</v>
      </c>
    </row>
    <row r="719" spans="1:29">
      <c r="A719" s="318"/>
      <c r="B719" s="319"/>
      <c r="C719" s="318"/>
      <c r="D719" s="318"/>
      <c r="E719" s="319"/>
      <c r="F719" s="319"/>
      <c r="G719" s="318"/>
      <c r="H719" s="318"/>
      <c r="I719" s="318"/>
      <c r="J719" s="382" t="s">
        <v>389</v>
      </c>
      <c r="K719" s="321">
        <f>SUM(K674:K718)</f>
        <v>176.9800000000001</v>
      </c>
      <c r="L719" s="318"/>
      <c r="M719" s="318"/>
      <c r="N719" s="382" t="s">
        <v>389</v>
      </c>
      <c r="O719" s="748">
        <f>SUM(O674:O718)</f>
        <v>176.9800000000001</v>
      </c>
      <c r="P719" s="751" t="s">
        <v>389</v>
      </c>
      <c r="Q719" s="751"/>
      <c r="R719" s="382"/>
      <c r="S719" s="321">
        <f>SUM(S674:S718)</f>
        <v>139.75319999999996</v>
      </c>
      <c r="T719" s="319"/>
      <c r="V719" s="328"/>
      <c r="W719" s="321" t="s">
        <v>389</v>
      </c>
      <c r="X719" s="338">
        <f>SUM(X674:X718)</f>
        <v>145.06599999999997</v>
      </c>
      <c r="Y719" s="321" t="s">
        <v>389</v>
      </c>
      <c r="Z719" s="338">
        <f>SUM(Z674:Z718)</f>
        <v>127.47399999999993</v>
      </c>
      <c r="AB719" s="328"/>
      <c r="AC719" s="328"/>
    </row>
    <row r="720" spans="1:29" ht="6.75" customHeight="1">
      <c r="A720" s="316"/>
      <c r="B720" s="317"/>
      <c r="C720" s="316"/>
      <c r="D720" s="316"/>
      <c r="E720" s="317"/>
      <c r="F720" s="317"/>
      <c r="G720" s="316"/>
      <c r="H720" s="316"/>
      <c r="I720" s="316"/>
      <c r="J720" s="316"/>
      <c r="K720" s="316"/>
      <c r="L720" s="316"/>
      <c r="M720" s="316"/>
      <c r="N720" s="316"/>
      <c r="O720" s="749"/>
      <c r="P720" s="633"/>
      <c r="Q720" s="633"/>
      <c r="R720" s="949"/>
      <c r="S720" s="339"/>
      <c r="T720" s="317"/>
      <c r="V720" s="332"/>
      <c r="W720" s="316"/>
      <c r="X720" s="339"/>
      <c r="Y720" s="316"/>
      <c r="Z720" s="339"/>
      <c r="AB720" s="332"/>
      <c r="AC720" s="332"/>
    </row>
    <row r="721" spans="1:29">
      <c r="A721" s="318">
        <v>18</v>
      </c>
      <c r="B721" s="319" t="s">
        <v>383</v>
      </c>
      <c r="C721" s="318">
        <v>600</v>
      </c>
      <c r="D721" s="318">
        <v>23</v>
      </c>
      <c r="E721" s="319">
        <v>1</v>
      </c>
      <c r="F721" s="336"/>
      <c r="G721" s="318" t="s">
        <v>1157</v>
      </c>
      <c r="H721" s="318">
        <v>4.49</v>
      </c>
      <c r="I721" s="318">
        <v>1</v>
      </c>
      <c r="J721" s="318">
        <f t="shared" ref="J721:J739" si="238">IF(N721&gt;0,1,0)</f>
        <v>1</v>
      </c>
      <c r="K721" s="318">
        <f t="shared" ref="K721:K742" si="239">H721*J721</f>
        <v>4.49</v>
      </c>
      <c r="L721" s="318">
        <v>1423</v>
      </c>
      <c r="M721" s="318">
        <v>106</v>
      </c>
      <c r="N721" s="318">
        <v>1</v>
      </c>
      <c r="O721" s="619">
        <f t="shared" ref="O721:O769" si="240">H721*N721</f>
        <v>4.49</v>
      </c>
      <c r="P721" s="750">
        <v>1</v>
      </c>
      <c r="Q721" s="750"/>
      <c r="R721" s="337">
        <v>1</v>
      </c>
      <c r="S721" s="348">
        <f>H721*R721</f>
        <v>4.49</v>
      </c>
      <c r="T721" s="319"/>
      <c r="V721" s="328">
        <v>4.99</v>
      </c>
      <c r="W721" s="320">
        <v>1</v>
      </c>
      <c r="X721" s="348">
        <f t="shared" ref="X721:X752" si="241">V721*W721</f>
        <v>4.99</v>
      </c>
      <c r="Y721" s="458"/>
      <c r="Z721" s="454">
        <f t="shared" ref="Z721:Z752" si="242">V721*Y721</f>
        <v>0</v>
      </c>
      <c r="AB721" s="328">
        <f t="shared" ref="AB721:AB769" si="243">X721-O721</f>
        <v>0.5</v>
      </c>
      <c r="AC721" s="328">
        <f t="shared" ref="AC721:AC769" si="244">Z721-S721</f>
        <v>-4.49</v>
      </c>
    </row>
    <row r="722" spans="1:29">
      <c r="A722" s="318"/>
      <c r="B722" s="319"/>
      <c r="C722" s="318"/>
      <c r="D722" s="318"/>
      <c r="E722" s="319"/>
      <c r="F722" s="319"/>
      <c r="G722" s="318" t="s">
        <v>1158</v>
      </c>
      <c r="H722" s="318">
        <v>4.49</v>
      </c>
      <c r="I722" s="318">
        <v>1</v>
      </c>
      <c r="J722" s="318">
        <f t="shared" si="238"/>
        <v>1</v>
      </c>
      <c r="K722" s="318">
        <f t="shared" si="239"/>
        <v>4.49</v>
      </c>
      <c r="L722" s="318">
        <v>1428</v>
      </c>
      <c r="M722" s="318">
        <v>106</v>
      </c>
      <c r="N722" s="318">
        <v>1</v>
      </c>
      <c r="O722" s="619">
        <f t="shared" si="240"/>
        <v>4.49</v>
      </c>
      <c r="P722" s="750">
        <v>1</v>
      </c>
      <c r="Q722" s="750"/>
      <c r="R722" s="337">
        <v>1</v>
      </c>
      <c r="S722" s="348">
        <f>H722*R722</f>
        <v>4.49</v>
      </c>
      <c r="T722" s="319"/>
      <c r="V722" s="328">
        <v>4.99</v>
      </c>
      <c r="W722" s="320">
        <v>1</v>
      </c>
      <c r="X722" s="348">
        <f t="shared" si="241"/>
        <v>4.99</v>
      </c>
      <c r="Y722" s="320"/>
      <c r="Z722" s="454">
        <f t="shared" si="242"/>
        <v>0</v>
      </c>
      <c r="AB722" s="328">
        <f t="shared" si="243"/>
        <v>0.5</v>
      </c>
      <c r="AC722" s="328">
        <f t="shared" si="244"/>
        <v>-4.49</v>
      </c>
    </row>
    <row r="723" spans="1:29">
      <c r="A723" s="318"/>
      <c r="B723" s="319"/>
      <c r="C723" s="318"/>
      <c r="D723" s="318"/>
      <c r="E723" s="319"/>
      <c r="F723" s="319"/>
      <c r="G723" s="318" t="s">
        <v>1159</v>
      </c>
      <c r="H723" s="318">
        <v>4.49</v>
      </c>
      <c r="I723" s="318">
        <v>1</v>
      </c>
      <c r="J723" s="318">
        <f t="shared" si="238"/>
        <v>1</v>
      </c>
      <c r="K723" s="318">
        <f t="shared" si="239"/>
        <v>4.49</v>
      </c>
      <c r="L723" s="318">
        <v>1428</v>
      </c>
      <c r="M723" s="318">
        <v>106</v>
      </c>
      <c r="N723" s="318">
        <v>1</v>
      </c>
      <c r="O723" s="619">
        <f t="shared" si="240"/>
        <v>4.49</v>
      </c>
      <c r="P723" s="750">
        <v>1</v>
      </c>
      <c r="Q723" s="750"/>
      <c r="R723" s="337">
        <v>1</v>
      </c>
      <c r="S723" s="348">
        <f t="shared" ref="S723:S773" si="245">H723*R723</f>
        <v>4.49</v>
      </c>
      <c r="T723" s="319"/>
      <c r="V723" s="328">
        <v>4.99</v>
      </c>
      <c r="W723" s="320">
        <v>1</v>
      </c>
      <c r="X723" s="348">
        <f t="shared" si="241"/>
        <v>4.99</v>
      </c>
      <c r="Y723" s="330">
        <v>1</v>
      </c>
      <c r="Z723" s="348">
        <f t="shared" si="242"/>
        <v>4.99</v>
      </c>
      <c r="AB723" s="328">
        <f t="shared" si="243"/>
        <v>0.5</v>
      </c>
      <c r="AC723" s="328">
        <f t="shared" si="244"/>
        <v>0.5</v>
      </c>
    </row>
    <row r="724" spans="1:29">
      <c r="A724" s="318"/>
      <c r="B724" s="319"/>
      <c r="C724" s="318"/>
      <c r="D724" s="318"/>
      <c r="E724" s="319"/>
      <c r="F724" s="336"/>
      <c r="G724" s="318" t="s">
        <v>1160</v>
      </c>
      <c r="H724" s="318">
        <v>4.49</v>
      </c>
      <c r="I724" s="318">
        <v>1</v>
      </c>
      <c r="J724" s="318">
        <f t="shared" si="238"/>
        <v>1</v>
      </c>
      <c r="K724" s="318">
        <f t="shared" si="239"/>
        <v>4.49</v>
      </c>
      <c r="L724" s="318">
        <v>1437</v>
      </c>
      <c r="M724" s="318">
        <v>107</v>
      </c>
      <c r="N724" s="318">
        <v>1</v>
      </c>
      <c r="O724" s="619">
        <f t="shared" si="240"/>
        <v>4.49</v>
      </c>
      <c r="P724" s="750">
        <v>1</v>
      </c>
      <c r="Q724" s="750"/>
      <c r="R724" s="337">
        <v>1</v>
      </c>
      <c r="S724" s="348">
        <f t="shared" si="245"/>
        <v>4.49</v>
      </c>
      <c r="T724" s="319"/>
      <c r="V724" s="328">
        <v>4.99</v>
      </c>
      <c r="W724" s="320">
        <v>1</v>
      </c>
      <c r="X724" s="348">
        <f t="shared" si="241"/>
        <v>4.99</v>
      </c>
      <c r="Y724" s="330">
        <v>1</v>
      </c>
      <c r="Z724" s="348">
        <f t="shared" si="242"/>
        <v>4.99</v>
      </c>
      <c r="AB724" s="328">
        <f t="shared" si="243"/>
        <v>0.5</v>
      </c>
      <c r="AC724" s="328">
        <f t="shared" si="244"/>
        <v>0.5</v>
      </c>
    </row>
    <row r="725" spans="1:29">
      <c r="A725" s="318"/>
      <c r="B725" s="319"/>
      <c r="C725" s="318"/>
      <c r="D725" s="318"/>
      <c r="E725" s="319"/>
      <c r="F725" s="319"/>
      <c r="G725" s="318" t="s">
        <v>1161</v>
      </c>
      <c r="H725" s="318">
        <v>4.49</v>
      </c>
      <c r="I725" s="318">
        <v>1</v>
      </c>
      <c r="J725" s="318">
        <f t="shared" si="238"/>
        <v>1</v>
      </c>
      <c r="K725" s="318">
        <f t="shared" si="239"/>
        <v>4.49</v>
      </c>
      <c r="L725" s="318">
        <v>1437</v>
      </c>
      <c r="M725" s="318">
        <v>107</v>
      </c>
      <c r="N725" s="318">
        <v>1</v>
      </c>
      <c r="O725" s="619">
        <f t="shared" si="240"/>
        <v>4.49</v>
      </c>
      <c r="P725" s="750">
        <v>1</v>
      </c>
      <c r="Q725" s="750"/>
      <c r="R725" s="337">
        <v>1</v>
      </c>
      <c r="S725" s="348">
        <f t="shared" si="245"/>
        <v>4.49</v>
      </c>
      <c r="T725" s="319"/>
      <c r="V725" s="328">
        <v>4.99</v>
      </c>
      <c r="W725" s="320">
        <v>1</v>
      </c>
      <c r="X725" s="348">
        <f t="shared" si="241"/>
        <v>4.99</v>
      </c>
      <c r="Y725" s="330">
        <v>1</v>
      </c>
      <c r="Z725" s="348">
        <f t="shared" si="242"/>
        <v>4.99</v>
      </c>
      <c r="AB725" s="328">
        <f t="shared" si="243"/>
        <v>0.5</v>
      </c>
      <c r="AC725" s="328">
        <f t="shared" si="244"/>
        <v>0.5</v>
      </c>
    </row>
    <row r="726" spans="1:29">
      <c r="A726" s="318"/>
      <c r="B726" s="319"/>
      <c r="C726" s="318"/>
      <c r="D726" s="318"/>
      <c r="E726" s="319"/>
      <c r="F726" s="319"/>
      <c r="G726" s="318" t="s">
        <v>1162</v>
      </c>
      <c r="H726" s="318">
        <v>4.49</v>
      </c>
      <c r="I726" s="318">
        <v>1</v>
      </c>
      <c r="J726" s="318">
        <f t="shared" si="238"/>
        <v>1</v>
      </c>
      <c r="K726" s="318">
        <f t="shared" si="239"/>
        <v>4.49</v>
      </c>
      <c r="L726" s="318">
        <v>1437</v>
      </c>
      <c r="M726" s="318">
        <v>107</v>
      </c>
      <c r="N726" s="318">
        <v>1</v>
      </c>
      <c r="O726" s="619">
        <f t="shared" si="240"/>
        <v>4.49</v>
      </c>
      <c r="P726" s="750">
        <v>1</v>
      </c>
      <c r="Q726" s="750"/>
      <c r="R726" s="337">
        <v>1</v>
      </c>
      <c r="S726" s="348">
        <f t="shared" si="245"/>
        <v>4.49</v>
      </c>
      <c r="T726" s="319"/>
      <c r="V726" s="328">
        <v>4.99</v>
      </c>
      <c r="W726" s="320">
        <v>1</v>
      </c>
      <c r="X726" s="348">
        <f t="shared" si="241"/>
        <v>4.99</v>
      </c>
      <c r="Y726" s="330">
        <v>1</v>
      </c>
      <c r="Z726" s="348">
        <f t="shared" si="242"/>
        <v>4.99</v>
      </c>
      <c r="AB726" s="328">
        <f t="shared" si="243"/>
        <v>0.5</v>
      </c>
      <c r="AC726" s="328">
        <f t="shared" si="244"/>
        <v>0.5</v>
      </c>
    </row>
    <row r="727" spans="1:29">
      <c r="A727" s="318"/>
      <c r="B727" s="319"/>
      <c r="C727" s="318"/>
      <c r="D727" s="318"/>
      <c r="E727" s="319"/>
      <c r="F727" s="319"/>
      <c r="G727" s="318" t="s">
        <v>1163</v>
      </c>
      <c r="H727" s="318">
        <v>4.49</v>
      </c>
      <c r="I727" s="318">
        <v>1</v>
      </c>
      <c r="J727" s="318">
        <f t="shared" si="238"/>
        <v>1</v>
      </c>
      <c r="K727" s="318">
        <f t="shared" si="239"/>
        <v>4.49</v>
      </c>
      <c r="L727" s="318">
        <v>1437</v>
      </c>
      <c r="M727" s="318">
        <v>107</v>
      </c>
      <c r="N727" s="318">
        <v>1</v>
      </c>
      <c r="O727" s="619">
        <f t="shared" si="240"/>
        <v>4.49</v>
      </c>
      <c r="P727" s="750">
        <v>1</v>
      </c>
      <c r="Q727" s="750"/>
      <c r="R727" s="337">
        <v>1</v>
      </c>
      <c r="S727" s="348">
        <f t="shared" si="245"/>
        <v>4.49</v>
      </c>
      <c r="T727" s="319"/>
      <c r="V727" s="328">
        <v>4.99</v>
      </c>
      <c r="W727" s="320">
        <v>1</v>
      </c>
      <c r="X727" s="348">
        <f t="shared" si="241"/>
        <v>4.99</v>
      </c>
      <c r="Y727" s="330">
        <v>1</v>
      </c>
      <c r="Z727" s="348">
        <f t="shared" si="242"/>
        <v>4.99</v>
      </c>
      <c r="AB727" s="328">
        <f t="shared" si="243"/>
        <v>0.5</v>
      </c>
      <c r="AC727" s="328">
        <f t="shared" si="244"/>
        <v>0.5</v>
      </c>
    </row>
    <row r="728" spans="1:29">
      <c r="A728" s="318"/>
      <c r="B728" s="319"/>
      <c r="C728" s="318"/>
      <c r="D728" s="318"/>
      <c r="E728" s="319"/>
      <c r="F728" s="319"/>
      <c r="G728" s="318" t="s">
        <v>1164</v>
      </c>
      <c r="H728" s="318">
        <v>4.49</v>
      </c>
      <c r="I728" s="318">
        <v>1</v>
      </c>
      <c r="J728" s="318">
        <f t="shared" si="238"/>
        <v>1</v>
      </c>
      <c r="K728" s="318">
        <f t="shared" si="239"/>
        <v>4.49</v>
      </c>
      <c r="L728" s="318">
        <v>1445</v>
      </c>
      <c r="M728" s="318">
        <v>109</v>
      </c>
      <c r="N728" s="318">
        <v>1</v>
      </c>
      <c r="O728" s="619">
        <f t="shared" si="240"/>
        <v>4.49</v>
      </c>
      <c r="P728" s="750">
        <v>1</v>
      </c>
      <c r="Q728" s="750"/>
      <c r="R728" s="337">
        <v>1</v>
      </c>
      <c r="S728" s="348">
        <f t="shared" si="245"/>
        <v>4.49</v>
      </c>
      <c r="T728" s="319"/>
      <c r="V728" s="328">
        <v>4.99</v>
      </c>
      <c r="W728" s="320">
        <v>1</v>
      </c>
      <c r="X728" s="348">
        <f t="shared" si="241"/>
        <v>4.99</v>
      </c>
      <c r="Y728" s="330">
        <v>1</v>
      </c>
      <c r="Z728" s="348">
        <f t="shared" si="242"/>
        <v>4.99</v>
      </c>
      <c r="AB728" s="328">
        <f t="shared" si="243"/>
        <v>0.5</v>
      </c>
      <c r="AC728" s="328">
        <f t="shared" si="244"/>
        <v>0.5</v>
      </c>
    </row>
    <row r="729" spans="1:29" ht="14.4" customHeight="1">
      <c r="A729" s="318"/>
      <c r="B729" s="319"/>
      <c r="C729" s="318"/>
      <c r="D729" s="318"/>
      <c r="E729" s="319"/>
      <c r="F729" s="336"/>
      <c r="G729" s="318" t="s">
        <v>1165</v>
      </c>
      <c r="H729" s="318">
        <v>4.49</v>
      </c>
      <c r="I729" s="318">
        <v>1</v>
      </c>
      <c r="J729" s="318">
        <f t="shared" si="238"/>
        <v>1</v>
      </c>
      <c r="K729" s="318">
        <f t="shared" si="239"/>
        <v>4.49</v>
      </c>
      <c r="L729" s="318">
        <v>1444</v>
      </c>
      <c r="M729" s="318">
        <v>108</v>
      </c>
      <c r="N729" s="318">
        <v>1</v>
      </c>
      <c r="O729" s="619">
        <f t="shared" si="240"/>
        <v>4.49</v>
      </c>
      <c r="P729" s="750">
        <v>1</v>
      </c>
      <c r="Q729" s="750"/>
      <c r="R729" s="337">
        <v>1</v>
      </c>
      <c r="S729" s="348">
        <f t="shared" si="245"/>
        <v>4.49</v>
      </c>
      <c r="T729" s="319"/>
      <c r="V729" s="328">
        <v>4.99</v>
      </c>
      <c r="W729" s="320">
        <v>1</v>
      </c>
      <c r="X729" s="348">
        <f t="shared" si="241"/>
        <v>4.99</v>
      </c>
      <c r="Y729" s="330">
        <v>1</v>
      </c>
      <c r="Z729" s="348">
        <f t="shared" si="242"/>
        <v>4.99</v>
      </c>
      <c r="AB729" s="328">
        <f t="shared" si="243"/>
        <v>0.5</v>
      </c>
      <c r="AC729" s="328">
        <f t="shared" si="244"/>
        <v>0.5</v>
      </c>
    </row>
    <row r="730" spans="1:29">
      <c r="A730" s="318"/>
      <c r="B730" s="319"/>
      <c r="C730" s="318"/>
      <c r="D730" s="318"/>
      <c r="E730" s="319"/>
      <c r="F730" s="336"/>
      <c r="G730" s="318" t="s">
        <v>1166</v>
      </c>
      <c r="H730" s="318">
        <v>4.49</v>
      </c>
      <c r="I730" s="318">
        <v>1</v>
      </c>
      <c r="J730" s="318">
        <f t="shared" si="238"/>
        <v>1</v>
      </c>
      <c r="K730" s="318">
        <f t="shared" si="239"/>
        <v>4.49</v>
      </c>
      <c r="L730" s="318">
        <v>1458</v>
      </c>
      <c r="M730" s="318">
        <v>1112</v>
      </c>
      <c r="N730" s="318">
        <v>1</v>
      </c>
      <c r="O730" s="619">
        <f t="shared" si="240"/>
        <v>4.49</v>
      </c>
      <c r="P730" s="750">
        <v>1</v>
      </c>
      <c r="Q730" s="750"/>
      <c r="R730" s="337">
        <v>1</v>
      </c>
      <c r="S730" s="348">
        <f t="shared" si="245"/>
        <v>4.49</v>
      </c>
      <c r="T730" s="319"/>
      <c r="V730" s="328">
        <v>4.99</v>
      </c>
      <c r="W730" s="320">
        <v>1</v>
      </c>
      <c r="X730" s="348">
        <f t="shared" si="241"/>
        <v>4.99</v>
      </c>
      <c r="Y730" s="330">
        <v>1</v>
      </c>
      <c r="Z730" s="348">
        <f t="shared" si="242"/>
        <v>4.99</v>
      </c>
      <c r="AB730" s="328">
        <f t="shared" si="243"/>
        <v>0.5</v>
      </c>
      <c r="AC730" s="328">
        <f t="shared" si="244"/>
        <v>0.5</v>
      </c>
    </row>
    <row r="731" spans="1:29">
      <c r="A731" s="318"/>
      <c r="B731" s="319"/>
      <c r="C731" s="318"/>
      <c r="D731" s="318"/>
      <c r="E731" s="319"/>
      <c r="F731" s="319"/>
      <c r="G731" s="318" t="s">
        <v>1167</v>
      </c>
      <c r="H731" s="318">
        <v>4.49</v>
      </c>
      <c r="I731" s="318">
        <v>1</v>
      </c>
      <c r="J731" s="318">
        <f t="shared" si="238"/>
        <v>1</v>
      </c>
      <c r="K731" s="318">
        <f t="shared" si="239"/>
        <v>4.49</v>
      </c>
      <c r="L731" s="318">
        <v>1445</v>
      </c>
      <c r="M731" s="318">
        <v>109</v>
      </c>
      <c r="N731" s="318">
        <v>1</v>
      </c>
      <c r="O731" s="619">
        <f t="shared" si="240"/>
        <v>4.49</v>
      </c>
      <c r="P731" s="750">
        <v>1</v>
      </c>
      <c r="Q731" s="750"/>
      <c r="R731" s="337">
        <v>1</v>
      </c>
      <c r="S731" s="348">
        <f t="shared" si="245"/>
        <v>4.49</v>
      </c>
      <c r="T731" s="319"/>
      <c r="V731" s="328">
        <v>4.99</v>
      </c>
      <c r="W731" s="320">
        <v>1</v>
      </c>
      <c r="X731" s="348">
        <f t="shared" si="241"/>
        <v>4.99</v>
      </c>
      <c r="Y731" s="330">
        <v>1</v>
      </c>
      <c r="Z731" s="348">
        <f t="shared" si="242"/>
        <v>4.99</v>
      </c>
      <c r="AB731" s="328">
        <f t="shared" si="243"/>
        <v>0.5</v>
      </c>
      <c r="AC731" s="328">
        <f t="shared" si="244"/>
        <v>0.5</v>
      </c>
    </row>
    <row r="732" spans="1:29">
      <c r="A732" s="318"/>
      <c r="B732" s="319"/>
      <c r="C732" s="318"/>
      <c r="D732" s="318"/>
      <c r="E732" s="319"/>
      <c r="F732" s="319"/>
      <c r="G732" s="318" t="s">
        <v>1168</v>
      </c>
      <c r="H732" s="318">
        <v>4.49</v>
      </c>
      <c r="I732" s="318">
        <v>1</v>
      </c>
      <c r="J732" s="318">
        <f t="shared" si="238"/>
        <v>1</v>
      </c>
      <c r="K732" s="318">
        <f t="shared" si="239"/>
        <v>4.49</v>
      </c>
      <c r="L732" s="318">
        <v>1458</v>
      </c>
      <c r="M732" s="318">
        <v>1112</v>
      </c>
      <c r="N732" s="318">
        <v>1</v>
      </c>
      <c r="O732" s="619">
        <f t="shared" si="240"/>
        <v>4.49</v>
      </c>
      <c r="P732" s="750">
        <v>1</v>
      </c>
      <c r="Q732" s="750"/>
      <c r="R732" s="337">
        <v>1</v>
      </c>
      <c r="S732" s="348">
        <f t="shared" si="245"/>
        <v>4.49</v>
      </c>
      <c r="T732" s="319"/>
      <c r="V732" s="328">
        <v>4.99</v>
      </c>
      <c r="W732" s="320">
        <v>1</v>
      </c>
      <c r="X732" s="348">
        <f t="shared" si="241"/>
        <v>4.99</v>
      </c>
      <c r="Y732" s="330">
        <v>1</v>
      </c>
      <c r="Z732" s="348">
        <f t="shared" si="242"/>
        <v>4.99</v>
      </c>
      <c r="AB732" s="328">
        <f t="shared" si="243"/>
        <v>0.5</v>
      </c>
      <c r="AC732" s="328">
        <f t="shared" si="244"/>
        <v>0.5</v>
      </c>
    </row>
    <row r="733" spans="1:29">
      <c r="A733" s="318"/>
      <c r="B733" s="319"/>
      <c r="C733" s="318"/>
      <c r="D733" s="318"/>
      <c r="E733" s="319"/>
      <c r="F733" s="319"/>
      <c r="G733" s="318" t="s">
        <v>1169</v>
      </c>
      <c r="H733" s="318">
        <v>4.49</v>
      </c>
      <c r="I733" s="318">
        <v>1</v>
      </c>
      <c r="J733" s="318">
        <f t="shared" si="238"/>
        <v>1</v>
      </c>
      <c r="K733" s="318">
        <f t="shared" si="239"/>
        <v>4.49</v>
      </c>
      <c r="L733" s="318">
        <v>1450</v>
      </c>
      <c r="M733" s="318">
        <v>110</v>
      </c>
      <c r="N733" s="318">
        <v>1</v>
      </c>
      <c r="O733" s="619">
        <f t="shared" si="240"/>
        <v>4.49</v>
      </c>
      <c r="P733" s="750">
        <v>1</v>
      </c>
      <c r="Q733" s="750"/>
      <c r="R733" s="337">
        <v>1</v>
      </c>
      <c r="S733" s="348">
        <f t="shared" si="245"/>
        <v>4.49</v>
      </c>
      <c r="T733" s="319"/>
      <c r="V733" s="328">
        <v>4.99</v>
      </c>
      <c r="W733" s="320">
        <v>1</v>
      </c>
      <c r="X733" s="348">
        <f t="shared" si="241"/>
        <v>4.99</v>
      </c>
      <c r="Y733" s="330">
        <v>1</v>
      </c>
      <c r="Z733" s="348">
        <f t="shared" si="242"/>
        <v>4.99</v>
      </c>
      <c r="AB733" s="328">
        <f t="shared" si="243"/>
        <v>0.5</v>
      </c>
      <c r="AC733" s="328">
        <f t="shared" si="244"/>
        <v>0.5</v>
      </c>
    </row>
    <row r="734" spans="1:29">
      <c r="A734" s="318"/>
      <c r="B734" s="319"/>
      <c r="C734" s="318"/>
      <c r="D734" s="318"/>
      <c r="E734" s="319"/>
      <c r="F734" s="319"/>
      <c r="G734" s="318" t="s">
        <v>1170</v>
      </c>
      <c r="H734" s="318">
        <v>4.49</v>
      </c>
      <c r="I734" s="318">
        <v>1</v>
      </c>
      <c r="J734" s="318">
        <f t="shared" si="238"/>
        <v>1</v>
      </c>
      <c r="K734" s="318">
        <f t="shared" si="239"/>
        <v>4.49</v>
      </c>
      <c r="L734" s="318">
        <v>1453</v>
      </c>
      <c r="M734" s="318">
        <v>111</v>
      </c>
      <c r="N734" s="318">
        <v>1</v>
      </c>
      <c r="O734" s="619">
        <f t="shared" si="240"/>
        <v>4.49</v>
      </c>
      <c r="P734" s="750">
        <v>1</v>
      </c>
      <c r="Q734" s="750"/>
      <c r="R734" s="337">
        <v>1</v>
      </c>
      <c r="S734" s="348">
        <f t="shared" si="245"/>
        <v>4.49</v>
      </c>
      <c r="T734" s="319"/>
      <c r="V734" s="328">
        <v>4.99</v>
      </c>
      <c r="W734" s="320">
        <v>1</v>
      </c>
      <c r="X734" s="348">
        <f t="shared" si="241"/>
        <v>4.99</v>
      </c>
      <c r="Y734" s="330">
        <v>1</v>
      </c>
      <c r="Z734" s="348">
        <f t="shared" si="242"/>
        <v>4.99</v>
      </c>
      <c r="AB734" s="328">
        <f t="shared" si="243"/>
        <v>0.5</v>
      </c>
      <c r="AC734" s="328">
        <f t="shared" si="244"/>
        <v>0.5</v>
      </c>
    </row>
    <row r="735" spans="1:29">
      <c r="A735" s="318"/>
      <c r="B735" s="319"/>
      <c r="C735" s="318"/>
      <c r="D735" s="318"/>
      <c r="E735" s="319"/>
      <c r="F735" s="336"/>
      <c r="G735" s="318" t="s">
        <v>1171</v>
      </c>
      <c r="H735" s="318">
        <v>4.49</v>
      </c>
      <c r="I735" s="318">
        <v>1</v>
      </c>
      <c r="J735" s="318">
        <f t="shared" si="238"/>
        <v>1</v>
      </c>
      <c r="K735" s="318">
        <f t="shared" si="239"/>
        <v>4.49</v>
      </c>
      <c r="L735" s="318">
        <v>1453</v>
      </c>
      <c r="M735" s="318">
        <v>111</v>
      </c>
      <c r="N735" s="318">
        <v>1</v>
      </c>
      <c r="O735" s="619">
        <f t="shared" si="240"/>
        <v>4.49</v>
      </c>
      <c r="P735" s="750">
        <v>1</v>
      </c>
      <c r="Q735" s="750"/>
      <c r="R735" s="337">
        <v>1</v>
      </c>
      <c r="S735" s="348">
        <f t="shared" si="245"/>
        <v>4.49</v>
      </c>
      <c r="T735" s="319"/>
      <c r="V735" s="328">
        <v>4.99</v>
      </c>
      <c r="W735" s="320">
        <v>1</v>
      </c>
      <c r="X735" s="348">
        <f t="shared" si="241"/>
        <v>4.99</v>
      </c>
      <c r="Y735" s="330">
        <v>1</v>
      </c>
      <c r="Z735" s="348">
        <f t="shared" si="242"/>
        <v>4.99</v>
      </c>
      <c r="AB735" s="328">
        <f t="shared" si="243"/>
        <v>0.5</v>
      </c>
      <c r="AC735" s="328">
        <f t="shared" si="244"/>
        <v>0.5</v>
      </c>
    </row>
    <row r="736" spans="1:29">
      <c r="A736" s="318"/>
      <c r="B736" s="319"/>
      <c r="C736" s="318"/>
      <c r="D736" s="318"/>
      <c r="E736" s="319"/>
      <c r="F736" s="319"/>
      <c r="G736" s="318" t="s">
        <v>1172</v>
      </c>
      <c r="H736" s="318">
        <v>4.49</v>
      </c>
      <c r="I736" s="318">
        <v>1</v>
      </c>
      <c r="J736" s="318">
        <f t="shared" si="238"/>
        <v>1</v>
      </c>
      <c r="K736" s="318">
        <f t="shared" si="239"/>
        <v>4.49</v>
      </c>
      <c r="L736" s="318"/>
      <c r="M736" s="318"/>
      <c r="N736" s="318">
        <v>1</v>
      </c>
      <c r="O736" s="619">
        <f t="shared" si="240"/>
        <v>4.49</v>
      </c>
      <c r="P736" s="750">
        <v>1</v>
      </c>
      <c r="Q736" s="750"/>
      <c r="R736" s="337">
        <v>1</v>
      </c>
      <c r="S736" s="348">
        <f t="shared" si="245"/>
        <v>4.49</v>
      </c>
      <c r="T736" s="319"/>
      <c r="V736" s="328">
        <v>4.99</v>
      </c>
      <c r="W736" s="320">
        <v>1</v>
      </c>
      <c r="X736" s="348">
        <f t="shared" si="241"/>
        <v>4.99</v>
      </c>
      <c r="Y736" s="330">
        <v>1</v>
      </c>
      <c r="Z736" s="348">
        <f t="shared" si="242"/>
        <v>4.99</v>
      </c>
      <c r="AB736" s="328">
        <f t="shared" si="243"/>
        <v>0.5</v>
      </c>
      <c r="AC736" s="328">
        <f t="shared" si="244"/>
        <v>0.5</v>
      </c>
    </row>
    <row r="737" spans="1:29">
      <c r="A737" s="318"/>
      <c r="B737" s="319"/>
      <c r="C737" s="318"/>
      <c r="D737" s="318"/>
      <c r="E737" s="319"/>
      <c r="F737" s="319"/>
      <c r="G737" s="318" t="s">
        <v>1173</v>
      </c>
      <c r="H737" s="318">
        <v>4.49</v>
      </c>
      <c r="I737" s="318">
        <v>1</v>
      </c>
      <c r="J737" s="318">
        <f t="shared" si="238"/>
        <v>1</v>
      </c>
      <c r="K737" s="318">
        <f t="shared" si="239"/>
        <v>4.49</v>
      </c>
      <c r="L737" s="318"/>
      <c r="M737" s="318"/>
      <c r="N737" s="318">
        <v>1</v>
      </c>
      <c r="O737" s="619">
        <f t="shared" si="240"/>
        <v>4.49</v>
      </c>
      <c r="P737" s="750">
        <v>1</v>
      </c>
      <c r="Q737" s="750"/>
      <c r="R737" s="337">
        <v>1</v>
      </c>
      <c r="S737" s="348">
        <f t="shared" si="245"/>
        <v>4.49</v>
      </c>
      <c r="T737" s="319"/>
      <c r="V737" s="328">
        <v>4.99</v>
      </c>
      <c r="W737" s="320">
        <v>1</v>
      </c>
      <c r="X737" s="348">
        <f t="shared" si="241"/>
        <v>4.99</v>
      </c>
      <c r="Y737" s="330">
        <v>1</v>
      </c>
      <c r="Z737" s="348">
        <f t="shared" si="242"/>
        <v>4.99</v>
      </c>
      <c r="AB737" s="328">
        <f t="shared" si="243"/>
        <v>0.5</v>
      </c>
      <c r="AC737" s="328">
        <f t="shared" si="244"/>
        <v>0.5</v>
      </c>
    </row>
    <row r="738" spans="1:29">
      <c r="A738" s="318"/>
      <c r="B738" s="319"/>
      <c r="C738" s="318"/>
      <c r="D738" s="318"/>
      <c r="E738" s="319"/>
      <c r="F738" s="319"/>
      <c r="G738" s="318" t="s">
        <v>1174</v>
      </c>
      <c r="H738" s="318">
        <v>4.49</v>
      </c>
      <c r="I738" s="318">
        <v>1</v>
      </c>
      <c r="J738" s="318">
        <f t="shared" si="238"/>
        <v>1</v>
      </c>
      <c r="K738" s="318">
        <f t="shared" si="239"/>
        <v>4.49</v>
      </c>
      <c r="L738" s="318"/>
      <c r="M738" s="318"/>
      <c r="N738" s="318">
        <v>1</v>
      </c>
      <c r="O738" s="619">
        <f t="shared" si="240"/>
        <v>4.49</v>
      </c>
      <c r="P738" s="750">
        <v>1</v>
      </c>
      <c r="Q738" s="750"/>
      <c r="R738" s="337">
        <v>1</v>
      </c>
      <c r="S738" s="348">
        <f t="shared" si="245"/>
        <v>4.49</v>
      </c>
      <c r="T738" s="319"/>
      <c r="V738" s="328">
        <v>4.99</v>
      </c>
      <c r="W738" s="320">
        <v>1</v>
      </c>
      <c r="X738" s="348">
        <f t="shared" si="241"/>
        <v>4.99</v>
      </c>
      <c r="Y738" s="330">
        <v>1</v>
      </c>
      <c r="Z738" s="348">
        <f t="shared" si="242"/>
        <v>4.99</v>
      </c>
      <c r="AB738" s="328">
        <f t="shared" si="243"/>
        <v>0.5</v>
      </c>
      <c r="AC738" s="328">
        <f t="shared" si="244"/>
        <v>0.5</v>
      </c>
    </row>
    <row r="739" spans="1:29" ht="15" thickBot="1">
      <c r="A739" s="318"/>
      <c r="B739" s="319"/>
      <c r="C739" s="318"/>
      <c r="D739" s="318"/>
      <c r="E739" s="319"/>
      <c r="F739" s="336"/>
      <c r="G739" s="318" t="s">
        <v>1175</v>
      </c>
      <c r="H739" s="318">
        <v>4.49</v>
      </c>
      <c r="I739" s="318">
        <v>1</v>
      </c>
      <c r="J739" s="318">
        <f t="shared" si="238"/>
        <v>1</v>
      </c>
      <c r="K739" s="318">
        <f t="shared" si="239"/>
        <v>4.49</v>
      </c>
      <c r="L739" s="318">
        <v>1465</v>
      </c>
      <c r="M739" s="318">
        <v>114</v>
      </c>
      <c r="N739" s="318">
        <v>1</v>
      </c>
      <c r="O739" s="619">
        <f t="shared" si="240"/>
        <v>4.49</v>
      </c>
      <c r="P739" s="750">
        <v>1</v>
      </c>
      <c r="Q739" s="750"/>
      <c r="R739" s="592">
        <v>1</v>
      </c>
      <c r="S739" s="348">
        <f t="shared" si="245"/>
        <v>4.49</v>
      </c>
      <c r="T739" s="319"/>
      <c r="V739" s="328">
        <v>4.99</v>
      </c>
      <c r="W739" s="320">
        <v>1</v>
      </c>
      <c r="X739" s="348">
        <f t="shared" si="241"/>
        <v>4.99</v>
      </c>
      <c r="Y739" s="330">
        <v>1</v>
      </c>
      <c r="Z739" s="348">
        <f t="shared" si="242"/>
        <v>4.99</v>
      </c>
      <c r="AB739" s="328">
        <f t="shared" si="243"/>
        <v>0.5</v>
      </c>
      <c r="AC739" s="328">
        <f t="shared" si="244"/>
        <v>0.5</v>
      </c>
    </row>
    <row r="740" spans="1:29" ht="21.6" thickTop="1" thickBot="1">
      <c r="A740" s="318"/>
      <c r="B740" s="319"/>
      <c r="C740" s="318"/>
      <c r="D740" s="318"/>
      <c r="E740" s="319"/>
      <c r="F740" s="336" t="s">
        <v>604</v>
      </c>
      <c r="G740" s="318" t="s">
        <v>1176</v>
      </c>
      <c r="H740" s="319">
        <v>4.49</v>
      </c>
      <c r="I740" s="318">
        <v>1</v>
      </c>
      <c r="J740" s="318">
        <v>1</v>
      </c>
      <c r="K740" s="318">
        <f t="shared" si="239"/>
        <v>4.49</v>
      </c>
      <c r="L740" s="350" t="s">
        <v>3260</v>
      </c>
      <c r="M740" s="350" t="s">
        <v>3259</v>
      </c>
      <c r="N740" s="318">
        <v>1</v>
      </c>
      <c r="O740" s="619">
        <f t="shared" si="240"/>
        <v>4.49</v>
      </c>
      <c r="P740" s="750">
        <v>1</v>
      </c>
      <c r="Q740" s="747"/>
      <c r="R740" s="624">
        <v>1</v>
      </c>
      <c r="S740" s="348">
        <f t="shared" si="245"/>
        <v>4.49</v>
      </c>
      <c r="T740" s="319" t="s">
        <v>3338</v>
      </c>
      <c r="V740" s="333">
        <f>2.423+2.062</f>
        <v>4.4849999999999994</v>
      </c>
      <c r="W740" s="320"/>
      <c r="X740" s="348">
        <f t="shared" si="241"/>
        <v>0</v>
      </c>
      <c r="Y740" s="330"/>
      <c r="Z740" s="348">
        <f t="shared" si="242"/>
        <v>0</v>
      </c>
      <c r="AB740" s="333">
        <f t="shared" si="243"/>
        <v>-4.49</v>
      </c>
      <c r="AC740" s="333">
        <f t="shared" si="244"/>
        <v>-4.49</v>
      </c>
    </row>
    <row r="741" spans="1:29" ht="21.6" thickTop="1" thickBot="1">
      <c r="A741" s="318"/>
      <c r="B741" s="319"/>
      <c r="C741" s="318"/>
      <c r="D741" s="318"/>
      <c r="E741" s="319"/>
      <c r="F741" s="336" t="s">
        <v>604</v>
      </c>
      <c r="G741" s="318" t="s">
        <v>1177</v>
      </c>
      <c r="H741" s="319">
        <v>4.99</v>
      </c>
      <c r="I741" s="318">
        <v>1</v>
      </c>
      <c r="J741" s="318">
        <f>IF(N741&gt;0,1,0)</f>
        <v>1</v>
      </c>
      <c r="K741" s="318">
        <f t="shared" si="239"/>
        <v>4.99</v>
      </c>
      <c r="L741" s="350" t="s">
        <v>3635</v>
      </c>
      <c r="M741" s="318">
        <v>302</v>
      </c>
      <c r="N741" s="318">
        <v>1</v>
      </c>
      <c r="O741" s="619">
        <f t="shared" si="240"/>
        <v>4.99</v>
      </c>
      <c r="P741" s="750">
        <v>1</v>
      </c>
      <c r="Q741" s="747"/>
      <c r="R741" s="624">
        <v>1</v>
      </c>
      <c r="S741" s="348">
        <f t="shared" si="245"/>
        <v>4.99</v>
      </c>
      <c r="T741" s="319" t="s">
        <v>3633</v>
      </c>
      <c r="V741" s="333">
        <f>2.923+2.062</f>
        <v>4.9849999999999994</v>
      </c>
      <c r="W741" s="320"/>
      <c r="X741" s="348">
        <f t="shared" si="241"/>
        <v>0</v>
      </c>
      <c r="Y741" s="330"/>
      <c r="Z741" s="348">
        <f t="shared" si="242"/>
        <v>0</v>
      </c>
      <c r="AB741" s="333">
        <f t="shared" si="243"/>
        <v>-4.99</v>
      </c>
      <c r="AC741" s="333">
        <f t="shared" si="244"/>
        <v>-4.99</v>
      </c>
    </row>
    <row r="742" spans="1:29" ht="30" thickTop="1" thickBot="1">
      <c r="A742" s="318"/>
      <c r="B742" s="319"/>
      <c r="C742" s="318"/>
      <c r="D742" s="318"/>
      <c r="E742" s="319"/>
      <c r="F742" s="336"/>
      <c r="G742" s="318" t="s">
        <v>1178</v>
      </c>
      <c r="H742" s="319">
        <f>2.344+3.802+3.802+3.802+3.802+2.344</f>
        <v>19.896000000000001</v>
      </c>
      <c r="I742" s="318">
        <v>1</v>
      </c>
      <c r="J742" s="318">
        <f>IF(N742&gt;0,1,0)</f>
        <v>1</v>
      </c>
      <c r="K742" s="318">
        <f t="shared" si="239"/>
        <v>19.896000000000001</v>
      </c>
      <c r="L742" s="318" t="s">
        <v>3636</v>
      </c>
      <c r="M742" s="318" t="s">
        <v>3637</v>
      </c>
      <c r="N742" s="318">
        <v>1</v>
      </c>
      <c r="O742" s="619">
        <f t="shared" si="240"/>
        <v>19.896000000000001</v>
      </c>
      <c r="P742" s="750">
        <v>1</v>
      </c>
      <c r="Q742" s="772">
        <f>R742-P742</f>
        <v>0</v>
      </c>
      <c r="R742" s="624">
        <v>1</v>
      </c>
      <c r="S742" s="348">
        <f t="shared" si="245"/>
        <v>19.896000000000001</v>
      </c>
      <c r="T742" s="874" t="s">
        <v>3634</v>
      </c>
      <c r="V742" s="333"/>
      <c r="W742" s="320"/>
      <c r="X742" s="348">
        <f t="shared" si="241"/>
        <v>0</v>
      </c>
      <c r="Y742" s="330"/>
      <c r="Z742" s="348">
        <f t="shared" si="242"/>
        <v>0</v>
      </c>
      <c r="AB742" s="333">
        <f t="shared" si="243"/>
        <v>-19.896000000000001</v>
      </c>
      <c r="AC742" s="333">
        <f t="shared" si="244"/>
        <v>-19.896000000000001</v>
      </c>
    </row>
    <row r="743" spans="1:29" ht="21.6" thickTop="1" thickBot="1">
      <c r="A743" s="318"/>
      <c r="B743" s="319"/>
      <c r="C743" s="318"/>
      <c r="D743" s="318"/>
      <c r="E743" s="319"/>
      <c r="F743" s="336" t="s">
        <v>604</v>
      </c>
      <c r="G743" s="318" t="s">
        <v>1179</v>
      </c>
      <c r="H743" s="319">
        <v>5.0199999999999996</v>
      </c>
      <c r="I743" s="318">
        <v>1</v>
      </c>
      <c r="J743" s="318">
        <f t="shared" ref="J743:J769" si="246">IF(N743&gt;0,1,0)</f>
        <v>1</v>
      </c>
      <c r="K743" s="318">
        <f t="shared" ref="K743:K769" si="247">H743*J743</f>
        <v>5.0199999999999996</v>
      </c>
      <c r="L743" s="350" t="s">
        <v>3765</v>
      </c>
      <c r="M743" s="318">
        <v>113</v>
      </c>
      <c r="N743" s="318">
        <v>1</v>
      </c>
      <c r="O743" s="619">
        <f t="shared" si="240"/>
        <v>5.0199999999999996</v>
      </c>
      <c r="P743" s="750">
        <v>1</v>
      </c>
      <c r="Q743" s="747"/>
      <c r="R743" s="624">
        <v>1</v>
      </c>
      <c r="S743" s="348">
        <f t="shared" si="245"/>
        <v>5.0199999999999996</v>
      </c>
      <c r="T743" s="319" t="s">
        <v>3633</v>
      </c>
      <c r="V743" s="333">
        <f>2.496+2.062</f>
        <v>4.5579999999999998</v>
      </c>
      <c r="W743" s="320"/>
      <c r="X743" s="348">
        <f t="shared" si="241"/>
        <v>0</v>
      </c>
      <c r="Y743" s="330"/>
      <c r="Z743" s="348">
        <f t="shared" si="242"/>
        <v>0</v>
      </c>
      <c r="AB743" s="333">
        <f t="shared" si="243"/>
        <v>-5.0199999999999996</v>
      </c>
      <c r="AC743" s="333">
        <f t="shared" si="244"/>
        <v>-5.0199999999999996</v>
      </c>
    </row>
    <row r="744" spans="1:29" ht="14.4" customHeight="1" thickTop="1" thickBot="1">
      <c r="A744" s="318"/>
      <c r="B744" s="319"/>
      <c r="C744" s="318"/>
      <c r="D744" s="318"/>
      <c r="E744" s="319"/>
      <c r="F744" s="336" t="s">
        <v>604</v>
      </c>
      <c r="G744" s="318" t="s">
        <v>1180</v>
      </c>
      <c r="H744" s="319">
        <v>4.49</v>
      </c>
      <c r="I744" s="318">
        <v>1</v>
      </c>
      <c r="J744" s="318">
        <v>1</v>
      </c>
      <c r="K744" s="318">
        <f t="shared" si="247"/>
        <v>4.49</v>
      </c>
      <c r="L744" s="350" t="s">
        <v>3766</v>
      </c>
      <c r="M744" s="350" t="s">
        <v>3259</v>
      </c>
      <c r="N744" s="318">
        <v>1</v>
      </c>
      <c r="O744" s="619">
        <f t="shared" si="240"/>
        <v>4.49</v>
      </c>
      <c r="P744" s="750">
        <v>1</v>
      </c>
      <c r="Q744" s="747"/>
      <c r="R744" s="624">
        <v>1</v>
      </c>
      <c r="S744" s="348">
        <f t="shared" si="245"/>
        <v>4.49</v>
      </c>
      <c r="T744" s="319" t="s">
        <v>3337</v>
      </c>
      <c r="V744" s="333">
        <f>2.423+2.062</f>
        <v>4.4849999999999994</v>
      </c>
      <c r="W744" s="320"/>
      <c r="X744" s="348">
        <f t="shared" si="241"/>
        <v>0</v>
      </c>
      <c r="Y744" s="330"/>
      <c r="Z744" s="348">
        <f t="shared" si="242"/>
        <v>0</v>
      </c>
      <c r="AB744" s="333">
        <f t="shared" si="243"/>
        <v>-4.49</v>
      </c>
      <c r="AC744" s="333">
        <f t="shared" si="244"/>
        <v>-4.49</v>
      </c>
    </row>
    <row r="745" spans="1:29" ht="15" thickTop="1">
      <c r="A745" s="318"/>
      <c r="B745" s="319"/>
      <c r="C745" s="318"/>
      <c r="D745" s="318"/>
      <c r="E745" s="319"/>
      <c r="F745" s="336"/>
      <c r="G745" s="318" t="s">
        <v>1181</v>
      </c>
      <c r="H745" s="318">
        <v>4.49</v>
      </c>
      <c r="I745" s="318">
        <v>1</v>
      </c>
      <c r="J745" s="318">
        <f t="shared" si="246"/>
        <v>1</v>
      </c>
      <c r="K745" s="318">
        <f t="shared" si="247"/>
        <v>4.49</v>
      </c>
      <c r="L745" s="318">
        <v>1465</v>
      </c>
      <c r="M745" s="318">
        <v>114</v>
      </c>
      <c r="N745" s="318">
        <v>1</v>
      </c>
      <c r="O745" s="619">
        <f t="shared" si="240"/>
        <v>4.49</v>
      </c>
      <c r="P745" s="750">
        <v>1</v>
      </c>
      <c r="Q745" s="750"/>
      <c r="R745" s="337">
        <v>1</v>
      </c>
      <c r="S745" s="348">
        <f t="shared" si="245"/>
        <v>4.49</v>
      </c>
      <c r="T745" s="319"/>
      <c r="V745" s="328">
        <v>4.99</v>
      </c>
      <c r="W745" s="320">
        <v>1</v>
      </c>
      <c r="X745" s="348">
        <f t="shared" si="241"/>
        <v>4.99</v>
      </c>
      <c r="Y745" s="330">
        <v>1</v>
      </c>
      <c r="Z745" s="348">
        <f t="shared" si="242"/>
        <v>4.99</v>
      </c>
      <c r="AB745" s="328">
        <f t="shared" si="243"/>
        <v>0.5</v>
      </c>
      <c r="AC745" s="328">
        <f t="shared" si="244"/>
        <v>0.5</v>
      </c>
    </row>
    <row r="746" spans="1:29">
      <c r="A746" s="318"/>
      <c r="B746" s="319"/>
      <c r="C746" s="318"/>
      <c r="D746" s="318"/>
      <c r="E746" s="319"/>
      <c r="F746" s="336"/>
      <c r="G746" s="318" t="s">
        <v>1182</v>
      </c>
      <c r="H746" s="318">
        <v>4.49</v>
      </c>
      <c r="I746" s="318">
        <v>1</v>
      </c>
      <c r="J746" s="318">
        <f t="shared" si="246"/>
        <v>1</v>
      </c>
      <c r="K746" s="318">
        <f t="shared" si="247"/>
        <v>4.49</v>
      </c>
      <c r="L746" s="318">
        <v>1469</v>
      </c>
      <c r="M746" s="318">
        <v>115</v>
      </c>
      <c r="N746" s="318">
        <v>1</v>
      </c>
      <c r="O746" s="619">
        <f t="shared" si="240"/>
        <v>4.49</v>
      </c>
      <c r="P746" s="750">
        <v>1</v>
      </c>
      <c r="Q746" s="750"/>
      <c r="R746" s="337">
        <v>1</v>
      </c>
      <c r="S746" s="348">
        <f t="shared" si="245"/>
        <v>4.49</v>
      </c>
      <c r="T746" s="319"/>
      <c r="V746" s="328">
        <v>4.99</v>
      </c>
      <c r="W746" s="320">
        <v>1</v>
      </c>
      <c r="X746" s="348">
        <f t="shared" si="241"/>
        <v>4.99</v>
      </c>
      <c r="Y746" s="330">
        <v>1</v>
      </c>
      <c r="Z746" s="348">
        <f t="shared" si="242"/>
        <v>4.99</v>
      </c>
      <c r="AB746" s="328">
        <f t="shared" si="243"/>
        <v>0.5</v>
      </c>
      <c r="AC746" s="328">
        <f t="shared" si="244"/>
        <v>0.5</v>
      </c>
    </row>
    <row r="747" spans="1:29">
      <c r="A747" s="318"/>
      <c r="B747" s="319"/>
      <c r="C747" s="318"/>
      <c r="D747" s="318"/>
      <c r="E747" s="319"/>
      <c r="F747" s="319"/>
      <c r="G747" s="318" t="s">
        <v>1183</v>
      </c>
      <c r="H747" s="318">
        <v>4.49</v>
      </c>
      <c r="I747" s="318">
        <v>1</v>
      </c>
      <c r="J747" s="318">
        <f t="shared" si="246"/>
        <v>1</v>
      </c>
      <c r="K747" s="318">
        <f t="shared" si="247"/>
        <v>4.49</v>
      </c>
      <c r="L747" s="318">
        <v>1469</v>
      </c>
      <c r="M747" s="318">
        <v>115</v>
      </c>
      <c r="N747" s="318">
        <v>1</v>
      </c>
      <c r="O747" s="619">
        <f t="shared" si="240"/>
        <v>4.49</v>
      </c>
      <c r="P747" s="750">
        <v>1</v>
      </c>
      <c r="Q747" s="750"/>
      <c r="R747" s="337">
        <v>1</v>
      </c>
      <c r="S747" s="348">
        <f t="shared" si="245"/>
        <v>4.49</v>
      </c>
      <c r="T747" s="319"/>
      <c r="V747" s="328">
        <v>4.99</v>
      </c>
      <c r="W747" s="320">
        <v>1</v>
      </c>
      <c r="X747" s="348">
        <f t="shared" si="241"/>
        <v>4.99</v>
      </c>
      <c r="Y747" s="330">
        <v>1</v>
      </c>
      <c r="Z747" s="348">
        <f t="shared" si="242"/>
        <v>4.99</v>
      </c>
      <c r="AB747" s="328">
        <f t="shared" si="243"/>
        <v>0.5</v>
      </c>
      <c r="AC747" s="328">
        <f t="shared" si="244"/>
        <v>0.5</v>
      </c>
    </row>
    <row r="748" spans="1:29">
      <c r="A748" s="318"/>
      <c r="B748" s="319"/>
      <c r="C748" s="318"/>
      <c r="D748" s="318"/>
      <c r="E748" s="319"/>
      <c r="F748" s="336"/>
      <c r="G748" s="318" t="s">
        <v>1184</v>
      </c>
      <c r="H748" s="318">
        <v>4.49</v>
      </c>
      <c r="I748" s="318">
        <v>1</v>
      </c>
      <c r="J748" s="318">
        <f t="shared" si="246"/>
        <v>1</v>
      </c>
      <c r="K748" s="318">
        <f t="shared" si="247"/>
        <v>4.49</v>
      </c>
      <c r="L748" s="318">
        <v>1472</v>
      </c>
      <c r="M748" s="318">
        <v>171</v>
      </c>
      <c r="N748" s="318">
        <v>1</v>
      </c>
      <c r="O748" s="619">
        <f t="shared" si="240"/>
        <v>4.49</v>
      </c>
      <c r="P748" s="750">
        <v>1</v>
      </c>
      <c r="Q748" s="750"/>
      <c r="R748" s="337">
        <v>1</v>
      </c>
      <c r="S748" s="348">
        <f t="shared" si="245"/>
        <v>4.49</v>
      </c>
      <c r="T748" s="319"/>
      <c r="V748" s="328">
        <v>4.99</v>
      </c>
      <c r="W748" s="320">
        <v>1</v>
      </c>
      <c r="X748" s="348">
        <f t="shared" si="241"/>
        <v>4.99</v>
      </c>
      <c r="Y748" s="330">
        <v>1</v>
      </c>
      <c r="Z748" s="348">
        <f t="shared" si="242"/>
        <v>4.99</v>
      </c>
      <c r="AB748" s="328">
        <f t="shared" si="243"/>
        <v>0.5</v>
      </c>
      <c r="AC748" s="328">
        <f t="shared" si="244"/>
        <v>0.5</v>
      </c>
    </row>
    <row r="749" spans="1:29">
      <c r="A749" s="318"/>
      <c r="B749" s="319"/>
      <c r="C749" s="318"/>
      <c r="D749" s="318"/>
      <c r="E749" s="319"/>
      <c r="F749" s="319"/>
      <c r="G749" s="318" t="s">
        <v>1185</v>
      </c>
      <c r="H749" s="318">
        <v>4.49</v>
      </c>
      <c r="I749" s="318">
        <v>1</v>
      </c>
      <c r="J749" s="318">
        <f t="shared" si="246"/>
        <v>1</v>
      </c>
      <c r="K749" s="318">
        <f t="shared" si="247"/>
        <v>4.49</v>
      </c>
      <c r="L749" s="318">
        <v>1472</v>
      </c>
      <c r="M749" s="318">
        <v>171</v>
      </c>
      <c r="N749" s="318">
        <v>1</v>
      </c>
      <c r="O749" s="619">
        <f t="shared" si="240"/>
        <v>4.49</v>
      </c>
      <c r="P749" s="750">
        <v>1</v>
      </c>
      <c r="Q749" s="750"/>
      <c r="R749" s="337">
        <v>1</v>
      </c>
      <c r="S749" s="348">
        <f t="shared" si="245"/>
        <v>4.49</v>
      </c>
      <c r="T749" s="319"/>
      <c r="V749" s="328">
        <v>4.99</v>
      </c>
      <c r="W749" s="320">
        <v>1</v>
      </c>
      <c r="X749" s="348">
        <f t="shared" si="241"/>
        <v>4.99</v>
      </c>
      <c r="Y749" s="330">
        <v>1</v>
      </c>
      <c r="Z749" s="348">
        <f t="shared" si="242"/>
        <v>4.99</v>
      </c>
      <c r="AB749" s="328">
        <f t="shared" si="243"/>
        <v>0.5</v>
      </c>
      <c r="AC749" s="328">
        <f t="shared" si="244"/>
        <v>0.5</v>
      </c>
    </row>
    <row r="750" spans="1:29">
      <c r="A750" s="318"/>
      <c r="B750" s="319"/>
      <c r="C750" s="318"/>
      <c r="D750" s="318"/>
      <c r="E750" s="319"/>
      <c r="F750" s="319"/>
      <c r="G750" s="318" t="s">
        <v>1186</v>
      </c>
      <c r="H750" s="318">
        <v>4.49</v>
      </c>
      <c r="I750" s="318">
        <v>1</v>
      </c>
      <c r="J750" s="318">
        <f t="shared" si="246"/>
        <v>1</v>
      </c>
      <c r="K750" s="318">
        <f t="shared" si="247"/>
        <v>4.49</v>
      </c>
      <c r="L750" s="318">
        <v>1472</v>
      </c>
      <c r="M750" s="318">
        <v>171</v>
      </c>
      <c r="N750" s="318">
        <v>1</v>
      </c>
      <c r="O750" s="619">
        <f t="shared" si="240"/>
        <v>4.49</v>
      </c>
      <c r="P750" s="750">
        <v>1</v>
      </c>
      <c r="Q750" s="750"/>
      <c r="R750" s="337">
        <v>1</v>
      </c>
      <c r="S750" s="348">
        <f t="shared" si="245"/>
        <v>4.49</v>
      </c>
      <c r="T750" s="319"/>
      <c r="V750" s="328">
        <f t="shared" ref="V750:V763" si="248">4.49</f>
        <v>4.49</v>
      </c>
      <c r="W750" s="320">
        <v>1</v>
      </c>
      <c r="X750" s="348">
        <f t="shared" si="241"/>
        <v>4.49</v>
      </c>
      <c r="Y750" s="330">
        <v>1</v>
      </c>
      <c r="Z750" s="348">
        <f t="shared" si="242"/>
        <v>4.49</v>
      </c>
      <c r="AB750" s="328">
        <f t="shared" si="243"/>
        <v>0</v>
      </c>
      <c r="AC750" s="328">
        <f t="shared" si="244"/>
        <v>0</v>
      </c>
    </row>
    <row r="751" spans="1:29">
      <c r="A751" s="318"/>
      <c r="B751" s="319"/>
      <c r="C751" s="318"/>
      <c r="D751" s="318"/>
      <c r="E751" s="319"/>
      <c r="F751" s="319"/>
      <c r="G751" s="318" t="s">
        <v>1187</v>
      </c>
      <c r="H751" s="318">
        <v>4.49</v>
      </c>
      <c r="I751" s="318">
        <v>1</v>
      </c>
      <c r="J751" s="318">
        <f t="shared" si="246"/>
        <v>1</v>
      </c>
      <c r="K751" s="318">
        <f t="shared" si="247"/>
        <v>4.49</v>
      </c>
      <c r="L751" s="318">
        <v>1472</v>
      </c>
      <c r="M751" s="318">
        <v>171</v>
      </c>
      <c r="N751" s="318">
        <v>1</v>
      </c>
      <c r="O751" s="619">
        <f t="shared" si="240"/>
        <v>4.49</v>
      </c>
      <c r="P751" s="750">
        <v>1</v>
      </c>
      <c r="Q751" s="750"/>
      <c r="R751" s="337">
        <v>1</v>
      </c>
      <c r="S751" s="348">
        <f t="shared" si="245"/>
        <v>4.49</v>
      </c>
      <c r="T751" s="319"/>
      <c r="V751" s="328">
        <f t="shared" si="248"/>
        <v>4.49</v>
      </c>
      <c r="W751" s="320">
        <v>1</v>
      </c>
      <c r="X751" s="348">
        <f t="shared" si="241"/>
        <v>4.49</v>
      </c>
      <c r="Y751" s="330">
        <v>1</v>
      </c>
      <c r="Z751" s="348">
        <f t="shared" si="242"/>
        <v>4.49</v>
      </c>
      <c r="AB751" s="328">
        <f t="shared" si="243"/>
        <v>0</v>
      </c>
      <c r="AC751" s="328">
        <f t="shared" si="244"/>
        <v>0</v>
      </c>
    </row>
    <row r="752" spans="1:29">
      <c r="A752" s="318"/>
      <c r="B752" s="319"/>
      <c r="C752" s="318"/>
      <c r="D752" s="318"/>
      <c r="E752" s="319"/>
      <c r="F752" s="319"/>
      <c r="G752" s="318" t="s">
        <v>1188</v>
      </c>
      <c r="H752" s="318">
        <v>4.49</v>
      </c>
      <c r="I752" s="318">
        <v>1</v>
      </c>
      <c r="J752" s="318">
        <f t="shared" si="246"/>
        <v>1</v>
      </c>
      <c r="K752" s="318">
        <f t="shared" si="247"/>
        <v>4.49</v>
      </c>
      <c r="L752" s="318">
        <v>1474</v>
      </c>
      <c r="M752" s="318">
        <v>118</v>
      </c>
      <c r="N752" s="318">
        <v>1</v>
      </c>
      <c r="O752" s="619">
        <f t="shared" si="240"/>
        <v>4.49</v>
      </c>
      <c r="P752" s="750">
        <v>1</v>
      </c>
      <c r="Q752" s="750"/>
      <c r="R752" s="337">
        <v>1</v>
      </c>
      <c r="S752" s="348">
        <f t="shared" si="245"/>
        <v>4.49</v>
      </c>
      <c r="T752" s="319"/>
      <c r="V752" s="328">
        <f t="shared" si="248"/>
        <v>4.49</v>
      </c>
      <c r="W752" s="320">
        <v>1</v>
      </c>
      <c r="X752" s="348">
        <f t="shared" si="241"/>
        <v>4.49</v>
      </c>
      <c r="Y752" s="330">
        <v>1</v>
      </c>
      <c r="Z752" s="348">
        <f t="shared" si="242"/>
        <v>4.49</v>
      </c>
      <c r="AB752" s="328">
        <f t="shared" si="243"/>
        <v>0</v>
      </c>
      <c r="AC752" s="328">
        <f t="shared" si="244"/>
        <v>0</v>
      </c>
    </row>
    <row r="753" spans="1:29" ht="15" thickBot="1">
      <c r="A753" s="318"/>
      <c r="B753" s="319"/>
      <c r="C753" s="318"/>
      <c r="D753" s="318"/>
      <c r="E753" s="319"/>
      <c r="F753" s="319"/>
      <c r="G753" s="318" t="s">
        <v>1189</v>
      </c>
      <c r="H753" s="318">
        <v>4.49</v>
      </c>
      <c r="I753" s="318">
        <v>1</v>
      </c>
      <c r="J753" s="318">
        <f t="shared" si="246"/>
        <v>1</v>
      </c>
      <c r="K753" s="318">
        <f t="shared" si="247"/>
        <v>4.49</v>
      </c>
      <c r="L753" s="318">
        <v>1480</v>
      </c>
      <c r="M753" s="318">
        <v>119</v>
      </c>
      <c r="N753" s="318">
        <v>1</v>
      </c>
      <c r="O753" s="619">
        <f t="shared" si="240"/>
        <v>4.49</v>
      </c>
      <c r="P753" s="750">
        <v>1</v>
      </c>
      <c r="Q753" s="750"/>
      <c r="R753" s="592">
        <v>1</v>
      </c>
      <c r="S753" s="348">
        <f t="shared" si="245"/>
        <v>4.49</v>
      </c>
      <c r="T753" s="319"/>
      <c r="V753" s="328">
        <f t="shared" si="248"/>
        <v>4.49</v>
      </c>
      <c r="W753" s="320">
        <v>1</v>
      </c>
      <c r="X753" s="348">
        <f t="shared" ref="X753:X769" si="249">V753*W753</f>
        <v>4.49</v>
      </c>
      <c r="Y753" s="330">
        <v>1</v>
      </c>
      <c r="Z753" s="348">
        <f t="shared" ref="Z753:Z769" si="250">V753*Y753</f>
        <v>4.49</v>
      </c>
      <c r="AB753" s="328">
        <f t="shared" si="243"/>
        <v>0</v>
      </c>
      <c r="AC753" s="328">
        <f t="shared" si="244"/>
        <v>0</v>
      </c>
    </row>
    <row r="754" spans="1:29" ht="15.6" thickTop="1" thickBot="1">
      <c r="A754" s="318"/>
      <c r="B754" s="319"/>
      <c r="C754" s="318"/>
      <c r="D754" s="318"/>
      <c r="E754" s="319"/>
      <c r="F754" s="336"/>
      <c r="G754" s="652" t="s">
        <v>1190</v>
      </c>
      <c r="H754" s="318">
        <v>4.49</v>
      </c>
      <c r="I754" s="318">
        <v>1</v>
      </c>
      <c r="J754" s="318">
        <v>1</v>
      </c>
      <c r="K754" s="318">
        <f t="shared" si="247"/>
        <v>4.49</v>
      </c>
      <c r="L754" s="318"/>
      <c r="M754" s="318"/>
      <c r="N754" s="318"/>
      <c r="O754" s="619">
        <f t="shared" si="240"/>
        <v>0</v>
      </c>
      <c r="P754" s="750"/>
      <c r="Q754" s="747"/>
      <c r="R754" s="624"/>
      <c r="S754" s="348">
        <f t="shared" si="245"/>
        <v>0</v>
      </c>
      <c r="T754" s="319" t="s">
        <v>3351</v>
      </c>
      <c r="V754" s="328">
        <f t="shared" si="248"/>
        <v>4.49</v>
      </c>
      <c r="W754" s="320"/>
      <c r="X754" s="348">
        <f t="shared" si="249"/>
        <v>0</v>
      </c>
      <c r="Y754" s="330"/>
      <c r="Z754" s="348">
        <f t="shared" si="250"/>
        <v>0</v>
      </c>
      <c r="AB754" s="328">
        <f t="shared" si="243"/>
        <v>0</v>
      </c>
      <c r="AC754" s="328">
        <f t="shared" si="244"/>
        <v>0</v>
      </c>
    </row>
    <row r="755" spans="1:29" ht="15.6" thickTop="1" thickBot="1">
      <c r="A755" s="318"/>
      <c r="B755" s="319"/>
      <c r="C755" s="318"/>
      <c r="D755" s="318"/>
      <c r="E755" s="319"/>
      <c r="F755" s="336"/>
      <c r="G755" s="652" t="s">
        <v>1191</v>
      </c>
      <c r="H755" s="318">
        <v>4.49</v>
      </c>
      <c r="I755" s="318">
        <v>1</v>
      </c>
      <c r="J755" s="318">
        <v>1</v>
      </c>
      <c r="K755" s="318">
        <f t="shared" si="247"/>
        <v>4.49</v>
      </c>
      <c r="L755" s="318"/>
      <c r="M755" s="318"/>
      <c r="N755" s="318"/>
      <c r="O755" s="619">
        <f t="shared" si="240"/>
        <v>0</v>
      </c>
      <c r="P755" s="750"/>
      <c r="Q755" s="747"/>
      <c r="R755" s="624"/>
      <c r="S755" s="348">
        <f t="shared" si="245"/>
        <v>0</v>
      </c>
      <c r="T755" s="319" t="s">
        <v>3351</v>
      </c>
      <c r="V755" s="328">
        <f t="shared" si="248"/>
        <v>4.49</v>
      </c>
      <c r="W755" s="320"/>
      <c r="X755" s="348">
        <f t="shared" si="249"/>
        <v>0</v>
      </c>
      <c r="Y755" s="330"/>
      <c r="Z755" s="348">
        <f t="shared" si="250"/>
        <v>0</v>
      </c>
      <c r="AB755" s="328">
        <f t="shared" si="243"/>
        <v>0</v>
      </c>
      <c r="AC755" s="328">
        <f t="shared" si="244"/>
        <v>0</v>
      </c>
    </row>
    <row r="756" spans="1:29" ht="15.6" thickTop="1" thickBot="1">
      <c r="A756" s="318"/>
      <c r="B756" s="319"/>
      <c r="C756" s="318"/>
      <c r="D756" s="318"/>
      <c r="E756" s="319"/>
      <c r="F756" s="336"/>
      <c r="G756" s="649" t="s">
        <v>1192</v>
      </c>
      <c r="H756" s="318">
        <v>4.49</v>
      </c>
      <c r="I756" s="318">
        <v>1</v>
      </c>
      <c r="J756" s="318">
        <v>1</v>
      </c>
      <c r="K756" s="318">
        <f t="shared" si="247"/>
        <v>4.49</v>
      </c>
      <c r="L756" s="350" t="s">
        <v>3260</v>
      </c>
      <c r="M756" s="350" t="s">
        <v>3259</v>
      </c>
      <c r="N756" s="318"/>
      <c r="O756" s="619">
        <f t="shared" si="240"/>
        <v>0</v>
      </c>
      <c r="P756" s="750"/>
      <c r="Q756" s="747"/>
      <c r="R756" s="624"/>
      <c r="S756" s="348">
        <f t="shared" si="245"/>
        <v>0</v>
      </c>
      <c r="T756" s="319" t="s">
        <v>3351</v>
      </c>
      <c r="V756" s="328">
        <f t="shared" si="248"/>
        <v>4.49</v>
      </c>
      <c r="W756" s="320"/>
      <c r="X756" s="348">
        <f t="shared" si="249"/>
        <v>0</v>
      </c>
      <c r="Y756" s="330"/>
      <c r="Z756" s="348">
        <f t="shared" si="250"/>
        <v>0</v>
      </c>
      <c r="AB756" s="328">
        <f t="shared" si="243"/>
        <v>0</v>
      </c>
      <c r="AC756" s="328">
        <f t="shared" si="244"/>
        <v>0</v>
      </c>
    </row>
    <row r="757" spans="1:29" ht="15.6" thickTop="1" thickBot="1">
      <c r="A757" s="318"/>
      <c r="B757" s="319"/>
      <c r="C757" s="318"/>
      <c r="D757" s="318"/>
      <c r="E757" s="319"/>
      <c r="F757" s="336"/>
      <c r="G757" s="652" t="s">
        <v>1193</v>
      </c>
      <c r="H757" s="318">
        <v>4.49</v>
      </c>
      <c r="I757" s="318">
        <v>1</v>
      </c>
      <c r="J757" s="318">
        <v>1</v>
      </c>
      <c r="K757" s="318">
        <f t="shared" si="247"/>
        <v>4.49</v>
      </c>
      <c r="L757" s="318"/>
      <c r="M757" s="318"/>
      <c r="N757" s="318"/>
      <c r="O757" s="619">
        <f t="shared" si="240"/>
        <v>0</v>
      </c>
      <c r="P757" s="750"/>
      <c r="Q757" s="747"/>
      <c r="R757" s="624"/>
      <c r="S757" s="348">
        <f t="shared" si="245"/>
        <v>0</v>
      </c>
      <c r="T757" s="319" t="s">
        <v>3351</v>
      </c>
      <c r="V757" s="328">
        <f t="shared" si="248"/>
        <v>4.49</v>
      </c>
      <c r="W757" s="320"/>
      <c r="X757" s="348">
        <f t="shared" si="249"/>
        <v>0</v>
      </c>
      <c r="Y757" s="330"/>
      <c r="Z757" s="348">
        <f t="shared" si="250"/>
        <v>0</v>
      </c>
      <c r="AB757" s="328">
        <f t="shared" si="243"/>
        <v>0</v>
      </c>
      <c r="AC757" s="328">
        <f t="shared" si="244"/>
        <v>0</v>
      </c>
    </row>
    <row r="758" spans="1:29" ht="15.6" thickTop="1" thickBot="1">
      <c r="A758" s="318"/>
      <c r="B758" s="319"/>
      <c r="C758" s="318"/>
      <c r="D758" s="318"/>
      <c r="E758" s="319"/>
      <c r="F758" s="336"/>
      <c r="G758" s="652" t="s">
        <v>1194</v>
      </c>
      <c r="H758" s="318">
        <v>4.49</v>
      </c>
      <c r="I758" s="318">
        <v>1</v>
      </c>
      <c r="J758" s="318">
        <v>1</v>
      </c>
      <c r="K758" s="318">
        <f t="shared" si="247"/>
        <v>4.49</v>
      </c>
      <c r="L758" s="318"/>
      <c r="M758" s="318"/>
      <c r="N758" s="318"/>
      <c r="O758" s="619">
        <f t="shared" si="240"/>
        <v>0</v>
      </c>
      <c r="P758" s="750"/>
      <c r="Q758" s="747"/>
      <c r="R758" s="624"/>
      <c r="S758" s="348">
        <f t="shared" si="245"/>
        <v>0</v>
      </c>
      <c r="T758" s="319" t="s">
        <v>3351</v>
      </c>
      <c r="V758" s="328">
        <f t="shared" si="248"/>
        <v>4.49</v>
      </c>
      <c r="W758" s="320"/>
      <c r="X758" s="348">
        <f t="shared" si="249"/>
        <v>0</v>
      </c>
      <c r="Y758" s="330"/>
      <c r="Z758" s="348">
        <f t="shared" si="250"/>
        <v>0</v>
      </c>
      <c r="AB758" s="328">
        <f t="shared" si="243"/>
        <v>0</v>
      </c>
      <c r="AC758" s="328">
        <f t="shared" si="244"/>
        <v>0</v>
      </c>
    </row>
    <row r="759" spans="1:29" ht="15.6" thickTop="1" thickBot="1">
      <c r="A759" s="318"/>
      <c r="B759" s="319"/>
      <c r="C759" s="318"/>
      <c r="D759" s="318"/>
      <c r="E759" s="319"/>
      <c r="F759" s="336"/>
      <c r="G759" s="652" t="s">
        <v>1195</v>
      </c>
      <c r="H759" s="318">
        <v>4.49</v>
      </c>
      <c r="I759" s="318">
        <v>1</v>
      </c>
      <c r="J759" s="318">
        <v>1</v>
      </c>
      <c r="K759" s="318">
        <f t="shared" si="247"/>
        <v>4.49</v>
      </c>
      <c r="L759" s="318"/>
      <c r="M759" s="318"/>
      <c r="N759" s="318"/>
      <c r="O759" s="619">
        <f t="shared" si="240"/>
        <v>0</v>
      </c>
      <c r="P759" s="750"/>
      <c r="Q759" s="747"/>
      <c r="R759" s="624"/>
      <c r="S759" s="348">
        <f t="shared" si="245"/>
        <v>0</v>
      </c>
      <c r="T759" s="319" t="s">
        <v>3351</v>
      </c>
      <c r="V759" s="328">
        <f t="shared" si="248"/>
        <v>4.49</v>
      </c>
      <c r="W759" s="320"/>
      <c r="X759" s="348">
        <f t="shared" si="249"/>
        <v>0</v>
      </c>
      <c r="Y759" s="330"/>
      <c r="Z759" s="348">
        <f t="shared" si="250"/>
        <v>0</v>
      </c>
      <c r="AB759" s="328">
        <f t="shared" si="243"/>
        <v>0</v>
      </c>
      <c r="AC759" s="328">
        <f t="shared" si="244"/>
        <v>0</v>
      </c>
    </row>
    <row r="760" spans="1:29" ht="15" thickTop="1">
      <c r="A760" s="318"/>
      <c r="B760" s="319"/>
      <c r="C760" s="318"/>
      <c r="D760" s="318"/>
      <c r="E760" s="319"/>
      <c r="F760" s="336"/>
      <c r="G760" s="318" t="s">
        <v>1196</v>
      </c>
      <c r="H760" s="318">
        <v>4.49</v>
      </c>
      <c r="I760" s="318">
        <v>1</v>
      </c>
      <c r="J760" s="318">
        <f t="shared" si="246"/>
        <v>1</v>
      </c>
      <c r="K760" s="318">
        <f t="shared" si="247"/>
        <v>4.49</v>
      </c>
      <c r="L760" s="318">
        <v>1478</v>
      </c>
      <c r="M760" s="318">
        <v>119</v>
      </c>
      <c r="N760" s="318">
        <v>1</v>
      </c>
      <c r="O760" s="619">
        <f t="shared" si="240"/>
        <v>4.49</v>
      </c>
      <c r="P760" s="750">
        <v>1</v>
      </c>
      <c r="Q760" s="750"/>
      <c r="R760" s="337">
        <v>1</v>
      </c>
      <c r="S760" s="348">
        <f t="shared" si="245"/>
        <v>4.49</v>
      </c>
      <c r="T760" s="319"/>
      <c r="V760" s="328">
        <f t="shared" si="248"/>
        <v>4.49</v>
      </c>
      <c r="W760" s="320"/>
      <c r="X760" s="348">
        <f t="shared" si="249"/>
        <v>0</v>
      </c>
      <c r="Y760" s="330"/>
      <c r="Z760" s="348">
        <f t="shared" si="250"/>
        <v>0</v>
      </c>
      <c r="AB760" s="328">
        <f t="shared" si="243"/>
        <v>-4.49</v>
      </c>
      <c r="AC760" s="328">
        <f t="shared" si="244"/>
        <v>-4.49</v>
      </c>
    </row>
    <row r="761" spans="1:29">
      <c r="A761" s="318"/>
      <c r="B761" s="319"/>
      <c r="C761" s="318"/>
      <c r="D761" s="318"/>
      <c r="E761" s="319"/>
      <c r="F761" s="336"/>
      <c r="G761" s="318" t="s">
        <v>1197</v>
      </c>
      <c r="H761" s="318">
        <v>4.49</v>
      </c>
      <c r="I761" s="318">
        <v>1</v>
      </c>
      <c r="J761" s="318">
        <f t="shared" si="246"/>
        <v>1</v>
      </c>
      <c r="K761" s="318">
        <f t="shared" si="247"/>
        <v>4.49</v>
      </c>
      <c r="L761" s="318">
        <v>1529</v>
      </c>
      <c r="M761" s="318">
        <v>129</v>
      </c>
      <c r="N761" s="318">
        <v>1</v>
      </c>
      <c r="O761" s="619">
        <f t="shared" si="240"/>
        <v>4.49</v>
      </c>
      <c r="P761" s="750">
        <v>1</v>
      </c>
      <c r="Q761" s="750"/>
      <c r="R761" s="337">
        <v>1</v>
      </c>
      <c r="S761" s="348">
        <f t="shared" si="245"/>
        <v>4.49</v>
      </c>
      <c r="T761" s="319"/>
      <c r="V761" s="328">
        <f t="shared" si="248"/>
        <v>4.49</v>
      </c>
      <c r="W761" s="320"/>
      <c r="X761" s="348">
        <f t="shared" si="249"/>
        <v>0</v>
      </c>
      <c r="Y761" s="330"/>
      <c r="Z761" s="348">
        <f t="shared" si="250"/>
        <v>0</v>
      </c>
      <c r="AB761" s="328">
        <f t="shared" si="243"/>
        <v>-4.49</v>
      </c>
      <c r="AC761" s="328">
        <f t="shared" si="244"/>
        <v>-4.49</v>
      </c>
    </row>
    <row r="762" spans="1:29">
      <c r="A762" s="318"/>
      <c r="B762" s="319"/>
      <c r="C762" s="318"/>
      <c r="D762" s="318"/>
      <c r="E762" s="319"/>
      <c r="F762" s="336"/>
      <c r="G762" s="318" t="s">
        <v>1198</v>
      </c>
      <c r="H762" s="318">
        <v>4.49</v>
      </c>
      <c r="I762" s="318">
        <v>1</v>
      </c>
      <c r="J762" s="318">
        <f t="shared" si="246"/>
        <v>1</v>
      </c>
      <c r="K762" s="318">
        <f t="shared" si="247"/>
        <v>4.49</v>
      </c>
      <c r="L762" s="318">
        <v>1482</v>
      </c>
      <c r="M762" s="318">
        <v>122</v>
      </c>
      <c r="N762" s="318">
        <v>1</v>
      </c>
      <c r="O762" s="619">
        <f t="shared" si="240"/>
        <v>4.49</v>
      </c>
      <c r="P762" s="750">
        <v>1</v>
      </c>
      <c r="Q762" s="750"/>
      <c r="R762" s="337">
        <v>1</v>
      </c>
      <c r="S762" s="348">
        <f t="shared" si="245"/>
        <v>4.49</v>
      </c>
      <c r="T762" s="319"/>
      <c r="V762" s="328">
        <f t="shared" si="248"/>
        <v>4.49</v>
      </c>
      <c r="W762" s="320">
        <v>1</v>
      </c>
      <c r="X762" s="348">
        <f t="shared" si="249"/>
        <v>4.49</v>
      </c>
      <c r="Y762" s="330">
        <v>1</v>
      </c>
      <c r="Z762" s="348">
        <f t="shared" si="250"/>
        <v>4.49</v>
      </c>
      <c r="AB762" s="328">
        <f t="shared" si="243"/>
        <v>0</v>
      </c>
      <c r="AC762" s="328">
        <f t="shared" si="244"/>
        <v>0</v>
      </c>
    </row>
    <row r="763" spans="1:29">
      <c r="A763" s="318"/>
      <c r="B763" s="319"/>
      <c r="C763" s="318"/>
      <c r="D763" s="318"/>
      <c r="E763" s="319"/>
      <c r="F763" s="336"/>
      <c r="G763" s="318" t="s">
        <v>1199</v>
      </c>
      <c r="H763" s="318">
        <v>4.49</v>
      </c>
      <c r="I763" s="318">
        <v>1</v>
      </c>
      <c r="J763" s="318">
        <f t="shared" si="246"/>
        <v>1</v>
      </c>
      <c r="K763" s="318">
        <f t="shared" si="247"/>
        <v>4.49</v>
      </c>
      <c r="L763" s="318">
        <v>1480</v>
      </c>
      <c r="M763" s="318">
        <v>119</v>
      </c>
      <c r="N763" s="318">
        <v>1</v>
      </c>
      <c r="O763" s="619">
        <f t="shared" si="240"/>
        <v>4.49</v>
      </c>
      <c r="P763" s="750">
        <v>1</v>
      </c>
      <c r="Q763" s="750"/>
      <c r="R763" s="337">
        <v>1</v>
      </c>
      <c r="S763" s="348">
        <f t="shared" si="245"/>
        <v>4.49</v>
      </c>
      <c r="T763" s="319"/>
      <c r="V763" s="328">
        <f t="shared" si="248"/>
        <v>4.49</v>
      </c>
      <c r="W763" s="320">
        <v>1</v>
      </c>
      <c r="X763" s="348">
        <f t="shared" si="249"/>
        <v>4.49</v>
      </c>
      <c r="Y763" s="330">
        <v>1</v>
      </c>
      <c r="Z763" s="348">
        <f t="shared" si="250"/>
        <v>4.49</v>
      </c>
      <c r="AB763" s="328">
        <f t="shared" si="243"/>
        <v>0</v>
      </c>
      <c r="AC763" s="328">
        <f t="shared" si="244"/>
        <v>0</v>
      </c>
    </row>
    <row r="764" spans="1:29">
      <c r="A764" s="318"/>
      <c r="B764" s="319"/>
      <c r="C764" s="318"/>
      <c r="D764" s="318"/>
      <c r="E764" s="319"/>
      <c r="F764" s="336"/>
      <c r="G764" s="318" t="s">
        <v>1200</v>
      </c>
      <c r="H764" s="318">
        <v>4.99</v>
      </c>
      <c r="I764" s="318">
        <v>1</v>
      </c>
      <c r="J764" s="318">
        <f t="shared" si="246"/>
        <v>1</v>
      </c>
      <c r="K764" s="318">
        <f t="shared" si="247"/>
        <v>4.99</v>
      </c>
      <c r="L764" s="350" t="s">
        <v>2720</v>
      </c>
      <c r="M764" s="318">
        <v>179</v>
      </c>
      <c r="N764" s="318">
        <v>1</v>
      </c>
      <c r="O764" s="619">
        <f t="shared" si="240"/>
        <v>4.99</v>
      </c>
      <c r="P764" s="750">
        <v>1</v>
      </c>
      <c r="Q764" s="750"/>
      <c r="R764" s="337">
        <v>1</v>
      </c>
      <c r="S764" s="348">
        <f t="shared" si="245"/>
        <v>4.99</v>
      </c>
      <c r="T764" s="319"/>
      <c r="V764" s="328">
        <f>1.8+3.805</f>
        <v>5.6050000000000004</v>
      </c>
      <c r="W764" s="320">
        <v>1</v>
      </c>
      <c r="X764" s="348">
        <f t="shared" si="249"/>
        <v>5.6050000000000004</v>
      </c>
      <c r="Y764" s="330">
        <v>1</v>
      </c>
      <c r="Z764" s="348">
        <f t="shared" si="250"/>
        <v>5.6050000000000004</v>
      </c>
      <c r="AB764" s="328">
        <f t="shared" si="243"/>
        <v>0.61500000000000021</v>
      </c>
      <c r="AC764" s="328">
        <f t="shared" si="244"/>
        <v>0.61500000000000021</v>
      </c>
    </row>
    <row r="765" spans="1:29">
      <c r="A765" s="318"/>
      <c r="B765" s="319"/>
      <c r="C765" s="318"/>
      <c r="D765" s="318"/>
      <c r="E765" s="319"/>
      <c r="F765" s="336"/>
      <c r="G765" s="318" t="s">
        <v>1201</v>
      </c>
      <c r="H765" s="318">
        <v>4.3499999999999996</v>
      </c>
      <c r="I765" s="318">
        <v>1</v>
      </c>
      <c r="J765" s="318">
        <f t="shared" si="246"/>
        <v>1</v>
      </c>
      <c r="K765" s="318">
        <f t="shared" si="247"/>
        <v>4.3499999999999996</v>
      </c>
      <c r="L765" s="318">
        <v>1481</v>
      </c>
      <c r="M765" s="318">
        <v>121</v>
      </c>
      <c r="N765" s="318">
        <v>1</v>
      </c>
      <c r="O765" s="619">
        <f t="shared" si="240"/>
        <v>4.3499999999999996</v>
      </c>
      <c r="P765" s="750">
        <v>1</v>
      </c>
      <c r="Q765" s="750"/>
      <c r="R765" s="337">
        <v>1</v>
      </c>
      <c r="S765" s="348">
        <f t="shared" si="245"/>
        <v>4.3499999999999996</v>
      </c>
      <c r="T765" s="319"/>
      <c r="V765" s="328">
        <v>4.34</v>
      </c>
      <c r="W765" s="320">
        <v>1</v>
      </c>
      <c r="X765" s="348">
        <f t="shared" si="249"/>
        <v>4.34</v>
      </c>
      <c r="Y765" s="330">
        <v>1</v>
      </c>
      <c r="Z765" s="348">
        <f t="shared" si="250"/>
        <v>4.34</v>
      </c>
      <c r="AB765" s="328">
        <f t="shared" si="243"/>
        <v>-9.9999999999997868E-3</v>
      </c>
      <c r="AC765" s="328">
        <f t="shared" si="244"/>
        <v>-9.9999999999997868E-3</v>
      </c>
    </row>
    <row r="766" spans="1:29">
      <c r="A766" s="318"/>
      <c r="B766" s="319"/>
      <c r="C766" s="318"/>
      <c r="D766" s="318"/>
      <c r="E766" s="319"/>
      <c r="F766" s="336"/>
      <c r="G766" s="318" t="s">
        <v>1202</v>
      </c>
      <c r="H766" s="318">
        <v>4.3499999999999996</v>
      </c>
      <c r="I766" s="318">
        <v>1</v>
      </c>
      <c r="J766" s="318">
        <f t="shared" si="246"/>
        <v>1</v>
      </c>
      <c r="K766" s="318">
        <f t="shared" si="247"/>
        <v>4.3499999999999996</v>
      </c>
      <c r="L766" s="318">
        <v>1496</v>
      </c>
      <c r="M766" s="318"/>
      <c r="N766" s="318">
        <v>1</v>
      </c>
      <c r="O766" s="619">
        <f t="shared" si="240"/>
        <v>4.3499999999999996</v>
      </c>
      <c r="P766" s="750">
        <v>1</v>
      </c>
      <c r="Q766" s="750"/>
      <c r="R766" s="337">
        <v>1</v>
      </c>
      <c r="S766" s="348">
        <f t="shared" si="245"/>
        <v>4.3499999999999996</v>
      </c>
      <c r="T766" s="319"/>
      <c r="V766" s="328">
        <v>4.34</v>
      </c>
      <c r="W766" s="320">
        <v>1</v>
      </c>
      <c r="X766" s="348">
        <f t="shared" si="249"/>
        <v>4.34</v>
      </c>
      <c r="Y766" s="330">
        <v>1</v>
      </c>
      <c r="Z766" s="348">
        <f t="shared" si="250"/>
        <v>4.34</v>
      </c>
      <c r="AB766" s="328">
        <f t="shared" si="243"/>
        <v>-9.9999999999997868E-3</v>
      </c>
      <c r="AC766" s="328">
        <f t="shared" si="244"/>
        <v>-9.9999999999997868E-3</v>
      </c>
    </row>
    <row r="767" spans="1:29">
      <c r="A767" s="318"/>
      <c r="B767" s="319"/>
      <c r="C767" s="318"/>
      <c r="D767" s="318"/>
      <c r="E767" s="319"/>
      <c r="F767" s="336"/>
      <c r="G767" s="318" t="s">
        <v>1203</v>
      </c>
      <c r="H767" s="318">
        <v>4.3499999999999996</v>
      </c>
      <c r="I767" s="318">
        <v>1</v>
      </c>
      <c r="J767" s="318">
        <f t="shared" si="246"/>
        <v>1</v>
      </c>
      <c r="K767" s="318">
        <f t="shared" si="247"/>
        <v>4.3499999999999996</v>
      </c>
      <c r="L767" s="318">
        <v>1482</v>
      </c>
      <c r="M767" s="318">
        <v>122</v>
      </c>
      <c r="N767" s="318">
        <v>1</v>
      </c>
      <c r="O767" s="619">
        <f t="shared" si="240"/>
        <v>4.3499999999999996</v>
      </c>
      <c r="P767" s="750">
        <v>1</v>
      </c>
      <c r="Q767" s="750"/>
      <c r="R767" s="337">
        <v>1</v>
      </c>
      <c r="S767" s="348">
        <f t="shared" si="245"/>
        <v>4.3499999999999996</v>
      </c>
      <c r="T767" s="319"/>
      <c r="V767" s="328">
        <v>4.34</v>
      </c>
      <c r="W767" s="320">
        <v>1</v>
      </c>
      <c r="X767" s="348">
        <f t="shared" si="249"/>
        <v>4.34</v>
      </c>
      <c r="Y767" s="330">
        <v>1</v>
      </c>
      <c r="Z767" s="348">
        <f t="shared" si="250"/>
        <v>4.34</v>
      </c>
      <c r="AB767" s="328">
        <f t="shared" si="243"/>
        <v>-9.9999999999997868E-3</v>
      </c>
      <c r="AC767" s="328">
        <f t="shared" si="244"/>
        <v>-9.9999999999997868E-3</v>
      </c>
    </row>
    <row r="768" spans="1:29">
      <c r="A768" s="318"/>
      <c r="B768" s="319"/>
      <c r="C768" s="318"/>
      <c r="D768" s="318"/>
      <c r="E768" s="319"/>
      <c r="F768" s="336"/>
      <c r="G768" s="318" t="s">
        <v>1204</v>
      </c>
      <c r="H768" s="318">
        <v>4.3499999999999996</v>
      </c>
      <c r="I768" s="318">
        <v>1</v>
      </c>
      <c r="J768" s="318">
        <f t="shared" si="246"/>
        <v>1</v>
      </c>
      <c r="K768" s="318">
        <f t="shared" si="247"/>
        <v>4.3499999999999996</v>
      </c>
      <c r="L768" s="318">
        <v>1492</v>
      </c>
      <c r="M768" s="318">
        <v>124</v>
      </c>
      <c r="N768" s="318">
        <v>1</v>
      </c>
      <c r="O768" s="619">
        <f t="shared" si="240"/>
        <v>4.3499999999999996</v>
      </c>
      <c r="P768" s="750">
        <v>1</v>
      </c>
      <c r="Q768" s="750"/>
      <c r="R768" s="337">
        <v>1</v>
      </c>
      <c r="S768" s="348">
        <f t="shared" si="245"/>
        <v>4.3499999999999996</v>
      </c>
      <c r="T768" s="319"/>
      <c r="V768" s="328">
        <v>4.34</v>
      </c>
      <c r="W768" s="320">
        <v>1</v>
      </c>
      <c r="X768" s="348">
        <f t="shared" si="249"/>
        <v>4.34</v>
      </c>
      <c r="Y768" s="330">
        <v>1</v>
      </c>
      <c r="Z768" s="348">
        <f t="shared" si="250"/>
        <v>4.34</v>
      </c>
      <c r="AB768" s="328">
        <f t="shared" si="243"/>
        <v>-9.9999999999997868E-3</v>
      </c>
      <c r="AC768" s="328">
        <f t="shared" si="244"/>
        <v>-9.9999999999997868E-3</v>
      </c>
    </row>
    <row r="769" spans="1:29">
      <c r="A769" s="318"/>
      <c r="B769" s="319"/>
      <c r="C769" s="318"/>
      <c r="D769" s="318"/>
      <c r="E769" s="319"/>
      <c r="F769" s="336"/>
      <c r="G769" s="318" t="s">
        <v>1205</v>
      </c>
      <c r="H769" s="318">
        <v>5.18</v>
      </c>
      <c r="I769" s="318">
        <v>1</v>
      </c>
      <c r="J769" s="318">
        <f t="shared" si="246"/>
        <v>1</v>
      </c>
      <c r="K769" s="318">
        <f t="shared" si="247"/>
        <v>5.18</v>
      </c>
      <c r="L769" s="318">
        <v>1577</v>
      </c>
      <c r="M769" s="318">
        <v>135</v>
      </c>
      <c r="N769" s="318">
        <v>1</v>
      </c>
      <c r="O769" s="619">
        <f t="shared" si="240"/>
        <v>5.18</v>
      </c>
      <c r="P769" s="750">
        <v>1</v>
      </c>
      <c r="Q769" s="750"/>
      <c r="R769" s="337">
        <v>1</v>
      </c>
      <c r="S769" s="348">
        <f t="shared" si="245"/>
        <v>5.18</v>
      </c>
      <c r="T769" s="319"/>
      <c r="V769" s="328">
        <f>4+1.8</f>
        <v>5.8</v>
      </c>
      <c r="W769" s="320"/>
      <c r="X769" s="454">
        <f t="shared" si="249"/>
        <v>0</v>
      </c>
      <c r="Y769" s="330"/>
      <c r="Z769" s="454">
        <f t="shared" si="250"/>
        <v>0</v>
      </c>
      <c r="AB769" s="328">
        <f t="shared" si="243"/>
        <v>-5.18</v>
      </c>
      <c r="AC769" s="328">
        <f t="shared" si="244"/>
        <v>-5.18</v>
      </c>
    </row>
    <row r="770" spans="1:29">
      <c r="A770" s="318"/>
      <c r="B770" s="319"/>
      <c r="C770" s="318"/>
      <c r="D770" s="318"/>
      <c r="E770" s="319"/>
      <c r="F770" s="336"/>
      <c r="G770" s="649" t="s">
        <v>3472</v>
      </c>
      <c r="H770" s="318"/>
      <c r="I770" s="318">
        <v>1</v>
      </c>
      <c r="J770" s="318">
        <v>1</v>
      </c>
      <c r="K770" s="318"/>
      <c r="L770" s="318"/>
      <c r="M770" s="318"/>
      <c r="N770" s="318"/>
      <c r="O770" s="619"/>
      <c r="P770" s="750">
        <v>1</v>
      </c>
      <c r="Q770" s="750"/>
      <c r="R770" s="337">
        <v>1</v>
      </c>
      <c r="S770" s="348">
        <f t="shared" si="245"/>
        <v>0</v>
      </c>
      <c r="T770" s="319" t="s">
        <v>3633</v>
      </c>
      <c r="V770" s="328"/>
      <c r="W770" s="320"/>
      <c r="X770" s="454"/>
      <c r="Y770" s="330"/>
      <c r="Z770" s="454"/>
      <c r="AB770" s="328"/>
      <c r="AC770" s="328"/>
    </row>
    <row r="771" spans="1:29">
      <c r="A771" s="318"/>
      <c r="B771" s="319"/>
      <c r="C771" s="318"/>
      <c r="D771" s="318"/>
      <c r="E771" s="319"/>
      <c r="F771" s="336"/>
      <c r="G771" s="649" t="s">
        <v>3473</v>
      </c>
      <c r="H771" s="318"/>
      <c r="I771" s="318">
        <v>1</v>
      </c>
      <c r="J771" s="318">
        <v>1</v>
      </c>
      <c r="K771" s="318"/>
      <c r="L771" s="318"/>
      <c r="M771" s="318"/>
      <c r="N771" s="318"/>
      <c r="O771" s="619"/>
      <c r="P771" s="750">
        <v>1</v>
      </c>
      <c r="Q771" s="750"/>
      <c r="R771" s="337">
        <v>1</v>
      </c>
      <c r="S771" s="348">
        <f t="shared" si="245"/>
        <v>0</v>
      </c>
      <c r="T771" s="319" t="s">
        <v>3633</v>
      </c>
      <c r="V771" s="328"/>
      <c r="W771" s="320"/>
      <c r="X771" s="454"/>
      <c r="Y771" s="330"/>
      <c r="Z771" s="454"/>
      <c r="AB771" s="328"/>
      <c r="AC771" s="328"/>
    </row>
    <row r="772" spans="1:29">
      <c r="A772" s="318"/>
      <c r="B772" s="319"/>
      <c r="C772" s="318"/>
      <c r="D772" s="318"/>
      <c r="E772" s="319"/>
      <c r="F772" s="336"/>
      <c r="G772" s="649" t="s">
        <v>3473</v>
      </c>
      <c r="H772" s="318"/>
      <c r="I772" s="318">
        <v>1</v>
      </c>
      <c r="J772" s="318">
        <v>1</v>
      </c>
      <c r="K772" s="318"/>
      <c r="L772" s="318"/>
      <c r="M772" s="318"/>
      <c r="N772" s="318"/>
      <c r="O772" s="619"/>
      <c r="P772" s="750">
        <v>1</v>
      </c>
      <c r="Q772" s="750"/>
      <c r="R772" s="337">
        <v>1</v>
      </c>
      <c r="S772" s="348">
        <f t="shared" si="245"/>
        <v>0</v>
      </c>
      <c r="T772" s="319" t="s">
        <v>3633</v>
      </c>
      <c r="V772" s="328"/>
      <c r="W772" s="320"/>
      <c r="X772" s="454"/>
      <c r="Y772" s="330"/>
      <c r="Z772" s="454"/>
      <c r="AB772" s="328"/>
      <c r="AC772" s="328"/>
    </row>
    <row r="773" spans="1:29">
      <c r="A773" s="318"/>
      <c r="B773" s="319"/>
      <c r="C773" s="318"/>
      <c r="D773" s="318"/>
      <c r="E773" s="319"/>
      <c r="F773" s="336"/>
      <c r="G773" s="652" t="s">
        <v>3476</v>
      </c>
      <c r="H773" s="318"/>
      <c r="I773" s="318">
        <v>1</v>
      </c>
      <c r="J773" s="318">
        <v>1</v>
      </c>
      <c r="K773" s="318"/>
      <c r="L773" s="318"/>
      <c r="M773" s="318"/>
      <c r="N773" s="318"/>
      <c r="O773" s="619"/>
      <c r="P773" s="750">
        <v>1</v>
      </c>
      <c r="Q773" s="750"/>
      <c r="R773" s="337">
        <v>1</v>
      </c>
      <c r="S773" s="348">
        <f t="shared" si="245"/>
        <v>0</v>
      </c>
      <c r="T773" s="319" t="s">
        <v>3633</v>
      </c>
      <c r="V773" s="328"/>
      <c r="W773" s="320"/>
      <c r="X773" s="454"/>
      <c r="Y773" s="330"/>
      <c r="Z773" s="454"/>
      <c r="AB773" s="328"/>
      <c r="AC773" s="328"/>
    </row>
    <row r="774" spans="1:29">
      <c r="A774" s="318"/>
      <c r="B774" s="319"/>
      <c r="C774" s="318"/>
      <c r="D774" s="318"/>
      <c r="E774" s="319"/>
      <c r="F774" s="319"/>
      <c r="G774" s="318"/>
      <c r="H774" s="318"/>
      <c r="I774" s="318"/>
      <c r="J774" s="382" t="s">
        <v>389</v>
      </c>
      <c r="K774" s="321">
        <f>SUM(K721:K769)</f>
        <v>237.07600000000014</v>
      </c>
      <c r="L774" s="318"/>
      <c r="M774" s="318"/>
      <c r="N774" s="382" t="s">
        <v>389</v>
      </c>
      <c r="O774" s="748">
        <f>SUM(O721:O769)</f>
        <v>210.13600000000008</v>
      </c>
      <c r="P774" s="751" t="s">
        <v>389</v>
      </c>
      <c r="Q774" s="751"/>
      <c r="R774" s="382"/>
      <c r="S774" s="321">
        <f>SUM(S721:S769)</f>
        <v>210.13600000000008</v>
      </c>
      <c r="T774" s="319"/>
      <c r="V774" s="328"/>
      <c r="W774" s="321" t="s">
        <v>389</v>
      </c>
      <c r="X774" s="338">
        <f>SUM(X721:X769)</f>
        <v>169.66499999999999</v>
      </c>
      <c r="Y774" s="321" t="s">
        <v>389</v>
      </c>
      <c r="Z774" s="338">
        <f>SUM(Z721:Z769)</f>
        <v>159.68499999999997</v>
      </c>
      <c r="AB774" s="328"/>
      <c r="AC774" s="328"/>
    </row>
    <row r="775" spans="1:29" ht="6.75" customHeight="1">
      <c r="A775" s="316"/>
      <c r="B775" s="317"/>
      <c r="C775" s="316"/>
      <c r="D775" s="316"/>
      <c r="E775" s="317"/>
      <c r="F775" s="317"/>
      <c r="G775" s="316"/>
      <c r="H775" s="316"/>
      <c r="I775" s="316"/>
      <c r="J775" s="316"/>
      <c r="K775" s="316"/>
      <c r="L775" s="316"/>
      <c r="M775" s="316"/>
      <c r="N775" s="316"/>
      <c r="O775" s="749"/>
      <c r="P775" s="633"/>
      <c r="Q775" s="633"/>
      <c r="R775" s="949"/>
      <c r="S775" s="339"/>
      <c r="T775" s="317"/>
      <c r="V775" s="332"/>
      <c r="W775" s="316"/>
      <c r="X775" s="339"/>
      <c r="Y775" s="316"/>
      <c r="Z775" s="339"/>
      <c r="AB775" s="332"/>
      <c r="AC775" s="332"/>
    </row>
    <row r="776" spans="1:29">
      <c r="A776" s="318">
        <v>19</v>
      </c>
      <c r="B776" s="319" t="s">
        <v>383</v>
      </c>
      <c r="C776" s="318">
        <v>600</v>
      </c>
      <c r="D776" s="318">
        <v>24</v>
      </c>
      <c r="E776" s="319">
        <v>1</v>
      </c>
      <c r="F776" s="336"/>
      <c r="G776" s="318" t="s">
        <v>1206</v>
      </c>
      <c r="H776" s="318">
        <v>4.49</v>
      </c>
      <c r="I776" s="318">
        <v>1</v>
      </c>
      <c r="J776" s="318">
        <f t="shared" ref="J776:J814" si="251">IF(N776&gt;0,1,0)</f>
        <v>1</v>
      </c>
      <c r="K776" s="318">
        <f t="shared" ref="K776:K814" si="252">H776*J776</f>
        <v>4.49</v>
      </c>
      <c r="L776" s="318">
        <v>1444</v>
      </c>
      <c r="M776" s="318">
        <v>108</v>
      </c>
      <c r="N776" s="318">
        <v>1</v>
      </c>
      <c r="O776" s="619">
        <f t="shared" ref="O776:O814" si="253">H776*N776</f>
        <v>4.49</v>
      </c>
      <c r="P776" s="750">
        <v>1</v>
      </c>
      <c r="Q776" s="750"/>
      <c r="R776" s="337">
        <v>1</v>
      </c>
      <c r="S776" s="348">
        <f>H776*R776</f>
        <v>4.49</v>
      </c>
      <c r="T776" s="319"/>
      <c r="V776" s="328">
        <v>4.49</v>
      </c>
      <c r="W776" s="320">
        <v>1</v>
      </c>
      <c r="X776" s="348">
        <f t="shared" ref="X776:X814" si="254">V776*W776</f>
        <v>4.49</v>
      </c>
      <c r="Y776" s="330">
        <v>1</v>
      </c>
      <c r="Z776" s="348">
        <f t="shared" ref="Z776:Z814" si="255">V776*Y776</f>
        <v>4.49</v>
      </c>
      <c r="AB776" s="328">
        <f t="shared" ref="AB776:AB814" si="256">X776-O776</f>
        <v>0</v>
      </c>
      <c r="AC776" s="328">
        <f t="shared" ref="AC776:AC814" si="257">Z776-S776</f>
        <v>0</v>
      </c>
    </row>
    <row r="777" spans="1:29">
      <c r="A777" s="318"/>
      <c r="B777" s="319"/>
      <c r="C777" s="318"/>
      <c r="D777" s="318"/>
      <c r="E777" s="319"/>
      <c r="F777" s="319"/>
      <c r="G777" s="318" t="s">
        <v>1207</v>
      </c>
      <c r="H777" s="318">
        <v>4.49</v>
      </c>
      <c r="I777" s="318">
        <v>1</v>
      </c>
      <c r="J777" s="318">
        <f t="shared" si="251"/>
        <v>1</v>
      </c>
      <c r="K777" s="318">
        <f t="shared" si="252"/>
        <v>4.49</v>
      </c>
      <c r="L777" s="318">
        <v>1444</v>
      </c>
      <c r="M777" s="318">
        <v>108</v>
      </c>
      <c r="N777" s="318">
        <v>1</v>
      </c>
      <c r="O777" s="619">
        <f t="shared" si="253"/>
        <v>4.49</v>
      </c>
      <c r="P777" s="750">
        <v>1</v>
      </c>
      <c r="Q777" s="750"/>
      <c r="R777" s="337">
        <v>1</v>
      </c>
      <c r="S777" s="348">
        <f>H777*R777</f>
        <v>4.49</v>
      </c>
      <c r="T777" s="319"/>
      <c r="V777" s="328">
        <v>4.49</v>
      </c>
      <c r="W777" s="320">
        <v>1</v>
      </c>
      <c r="X777" s="348">
        <f t="shared" si="254"/>
        <v>4.49</v>
      </c>
      <c r="Y777" s="330">
        <v>1</v>
      </c>
      <c r="Z777" s="348">
        <f t="shared" si="255"/>
        <v>4.49</v>
      </c>
      <c r="AB777" s="328">
        <f t="shared" si="256"/>
        <v>0</v>
      </c>
      <c r="AC777" s="328">
        <f t="shared" si="257"/>
        <v>0</v>
      </c>
    </row>
    <row r="778" spans="1:29">
      <c r="A778" s="318"/>
      <c r="B778" s="319"/>
      <c r="C778" s="318"/>
      <c r="D778" s="318"/>
      <c r="E778" s="319"/>
      <c r="F778" s="319"/>
      <c r="G778" s="318" t="s">
        <v>1208</v>
      </c>
      <c r="H778" s="318">
        <v>4.49</v>
      </c>
      <c r="I778" s="318">
        <v>1</v>
      </c>
      <c r="J778" s="318">
        <f t="shared" si="251"/>
        <v>1</v>
      </c>
      <c r="K778" s="318">
        <f t="shared" si="252"/>
        <v>4.49</v>
      </c>
      <c r="L778" s="318">
        <v>1444</v>
      </c>
      <c r="M778" s="318">
        <v>108</v>
      </c>
      <c r="N778" s="318">
        <v>1</v>
      </c>
      <c r="O778" s="619">
        <f t="shared" si="253"/>
        <v>4.49</v>
      </c>
      <c r="P778" s="750">
        <v>1</v>
      </c>
      <c r="Q778" s="750"/>
      <c r="R778" s="337">
        <v>1</v>
      </c>
      <c r="S778" s="348">
        <f t="shared" ref="S778:S814" si="258">H778*R778</f>
        <v>4.49</v>
      </c>
      <c r="T778" s="319"/>
      <c r="V778" s="328">
        <v>4.49</v>
      </c>
      <c r="W778" s="320">
        <v>1</v>
      </c>
      <c r="X778" s="348">
        <f t="shared" si="254"/>
        <v>4.49</v>
      </c>
      <c r="Y778" s="330">
        <v>1</v>
      </c>
      <c r="Z778" s="348">
        <f t="shared" si="255"/>
        <v>4.49</v>
      </c>
      <c r="AB778" s="328">
        <f t="shared" si="256"/>
        <v>0</v>
      </c>
      <c r="AC778" s="328">
        <f t="shared" si="257"/>
        <v>0</v>
      </c>
    </row>
    <row r="779" spans="1:29">
      <c r="A779" s="318"/>
      <c r="B779" s="319"/>
      <c r="C779" s="318"/>
      <c r="D779" s="318"/>
      <c r="E779" s="319"/>
      <c r="F779" s="336"/>
      <c r="G779" s="318" t="s">
        <v>1209</v>
      </c>
      <c r="H779" s="318">
        <v>4.49</v>
      </c>
      <c r="I779" s="318">
        <v>1</v>
      </c>
      <c r="J779" s="318">
        <f t="shared" si="251"/>
        <v>1</v>
      </c>
      <c r="K779" s="318">
        <f t="shared" si="252"/>
        <v>4.49</v>
      </c>
      <c r="L779" s="318"/>
      <c r="M779" s="318"/>
      <c r="N779" s="318">
        <v>1</v>
      </c>
      <c r="O779" s="619">
        <f t="shared" si="253"/>
        <v>4.49</v>
      </c>
      <c r="P779" s="750">
        <v>1</v>
      </c>
      <c r="Q779" s="750"/>
      <c r="R779" s="337">
        <v>1</v>
      </c>
      <c r="S779" s="348">
        <f t="shared" si="258"/>
        <v>4.49</v>
      </c>
      <c r="T779" s="319"/>
      <c r="V779" s="328">
        <v>4.49</v>
      </c>
      <c r="W779" s="320">
        <v>1</v>
      </c>
      <c r="X779" s="348">
        <f t="shared" si="254"/>
        <v>4.49</v>
      </c>
      <c r="Y779" s="330">
        <v>1</v>
      </c>
      <c r="Z779" s="348">
        <f t="shared" si="255"/>
        <v>4.49</v>
      </c>
      <c r="AB779" s="328">
        <f t="shared" si="256"/>
        <v>0</v>
      </c>
      <c r="AC779" s="328">
        <f t="shared" si="257"/>
        <v>0</v>
      </c>
    </row>
    <row r="780" spans="1:29">
      <c r="A780" s="318"/>
      <c r="B780" s="319"/>
      <c r="C780" s="318"/>
      <c r="D780" s="318"/>
      <c r="E780" s="319"/>
      <c r="F780" s="319"/>
      <c r="G780" s="318" t="s">
        <v>1210</v>
      </c>
      <c r="H780" s="318">
        <v>4.49</v>
      </c>
      <c r="I780" s="318">
        <v>1</v>
      </c>
      <c r="J780" s="318">
        <f t="shared" si="251"/>
        <v>1</v>
      </c>
      <c r="K780" s="318">
        <f t="shared" si="252"/>
        <v>4.49</v>
      </c>
      <c r="L780" s="318">
        <v>1450</v>
      </c>
      <c r="M780" s="318">
        <v>110</v>
      </c>
      <c r="N780" s="318">
        <v>1</v>
      </c>
      <c r="O780" s="619">
        <f t="shared" si="253"/>
        <v>4.49</v>
      </c>
      <c r="P780" s="750">
        <v>1</v>
      </c>
      <c r="Q780" s="750"/>
      <c r="R780" s="337">
        <v>1</v>
      </c>
      <c r="S780" s="348">
        <f t="shared" si="258"/>
        <v>4.49</v>
      </c>
      <c r="T780" s="319"/>
      <c r="V780" s="328">
        <v>4.49</v>
      </c>
      <c r="W780" s="320">
        <v>1</v>
      </c>
      <c r="X780" s="348">
        <f t="shared" si="254"/>
        <v>4.49</v>
      </c>
      <c r="Y780" s="330">
        <v>1</v>
      </c>
      <c r="Z780" s="348">
        <f t="shared" si="255"/>
        <v>4.49</v>
      </c>
      <c r="AB780" s="328">
        <f t="shared" si="256"/>
        <v>0</v>
      </c>
      <c r="AC780" s="328">
        <f t="shared" si="257"/>
        <v>0</v>
      </c>
    </row>
    <row r="781" spans="1:29">
      <c r="A781" s="318"/>
      <c r="B781" s="319"/>
      <c r="C781" s="318"/>
      <c r="D781" s="318"/>
      <c r="E781" s="319"/>
      <c r="F781" s="319"/>
      <c r="G781" s="318" t="s">
        <v>1211</v>
      </c>
      <c r="H781" s="318">
        <v>4.49</v>
      </c>
      <c r="I781" s="318">
        <v>1</v>
      </c>
      <c r="J781" s="318">
        <f t="shared" si="251"/>
        <v>1</v>
      </c>
      <c r="K781" s="318">
        <f t="shared" si="252"/>
        <v>4.49</v>
      </c>
      <c r="L781" s="318">
        <v>1445</v>
      </c>
      <c r="M781" s="318">
        <v>109</v>
      </c>
      <c r="N781" s="318">
        <v>1</v>
      </c>
      <c r="O781" s="619">
        <f t="shared" si="253"/>
        <v>4.49</v>
      </c>
      <c r="P781" s="750">
        <v>1</v>
      </c>
      <c r="Q781" s="750"/>
      <c r="R781" s="337">
        <v>1</v>
      </c>
      <c r="S781" s="348">
        <f t="shared" si="258"/>
        <v>4.49</v>
      </c>
      <c r="T781" s="319"/>
      <c r="V781" s="328">
        <v>4.49</v>
      </c>
      <c r="W781" s="320">
        <v>1</v>
      </c>
      <c r="X781" s="348">
        <f t="shared" si="254"/>
        <v>4.49</v>
      </c>
      <c r="Y781" s="330">
        <v>1</v>
      </c>
      <c r="Z781" s="348">
        <f t="shared" si="255"/>
        <v>4.49</v>
      </c>
      <c r="AB781" s="328">
        <f t="shared" si="256"/>
        <v>0</v>
      </c>
      <c r="AC781" s="328">
        <f t="shared" si="257"/>
        <v>0</v>
      </c>
    </row>
    <row r="782" spans="1:29">
      <c r="A782" s="318"/>
      <c r="B782" s="319"/>
      <c r="C782" s="318"/>
      <c r="D782" s="318"/>
      <c r="E782" s="319"/>
      <c r="F782" s="319"/>
      <c r="G782" s="318" t="s">
        <v>1212</v>
      </c>
      <c r="H782" s="318">
        <v>4.49</v>
      </c>
      <c r="I782" s="318">
        <v>1</v>
      </c>
      <c r="J782" s="318">
        <f t="shared" si="251"/>
        <v>1</v>
      </c>
      <c r="K782" s="318">
        <f t="shared" si="252"/>
        <v>4.49</v>
      </c>
      <c r="L782" s="318">
        <v>1453</v>
      </c>
      <c r="M782" s="318">
        <v>111</v>
      </c>
      <c r="N782" s="318">
        <v>1</v>
      </c>
      <c r="O782" s="619">
        <f t="shared" si="253"/>
        <v>4.49</v>
      </c>
      <c r="P782" s="750">
        <v>1</v>
      </c>
      <c r="Q782" s="750"/>
      <c r="R782" s="337">
        <v>1</v>
      </c>
      <c r="S782" s="348">
        <f t="shared" si="258"/>
        <v>4.49</v>
      </c>
      <c r="T782" s="319"/>
      <c r="V782" s="328">
        <v>4.49</v>
      </c>
      <c r="W782" s="320">
        <v>1</v>
      </c>
      <c r="X782" s="348">
        <f t="shared" si="254"/>
        <v>4.49</v>
      </c>
      <c r="Y782" s="330">
        <v>1</v>
      </c>
      <c r="Z782" s="348">
        <f t="shared" si="255"/>
        <v>4.49</v>
      </c>
      <c r="AB782" s="328">
        <f t="shared" si="256"/>
        <v>0</v>
      </c>
      <c r="AC782" s="328">
        <f t="shared" si="257"/>
        <v>0</v>
      </c>
    </row>
    <row r="783" spans="1:29">
      <c r="A783" s="318"/>
      <c r="B783" s="319"/>
      <c r="C783" s="318"/>
      <c r="D783" s="318"/>
      <c r="E783" s="319"/>
      <c r="F783" s="319"/>
      <c r="G783" s="318" t="s">
        <v>1213</v>
      </c>
      <c r="H783" s="318">
        <v>4.49</v>
      </c>
      <c r="I783" s="318">
        <v>1</v>
      </c>
      <c r="J783" s="318">
        <f t="shared" si="251"/>
        <v>1</v>
      </c>
      <c r="K783" s="318">
        <f t="shared" si="252"/>
        <v>4.49</v>
      </c>
      <c r="L783" s="318">
        <v>1453</v>
      </c>
      <c r="M783" s="318">
        <v>111</v>
      </c>
      <c r="N783" s="318">
        <v>1</v>
      </c>
      <c r="O783" s="619">
        <f t="shared" si="253"/>
        <v>4.49</v>
      </c>
      <c r="P783" s="750">
        <v>1</v>
      </c>
      <c r="Q783" s="750"/>
      <c r="R783" s="337">
        <v>1</v>
      </c>
      <c r="S783" s="348">
        <f t="shared" si="258"/>
        <v>4.49</v>
      </c>
      <c r="T783" s="319"/>
      <c r="V783" s="328">
        <v>4.49</v>
      </c>
      <c r="W783" s="320">
        <v>1</v>
      </c>
      <c r="X783" s="348">
        <f t="shared" si="254"/>
        <v>4.49</v>
      </c>
      <c r="Y783" s="330">
        <v>1</v>
      </c>
      <c r="Z783" s="348">
        <f t="shared" si="255"/>
        <v>4.49</v>
      </c>
      <c r="AB783" s="328">
        <f t="shared" si="256"/>
        <v>0</v>
      </c>
      <c r="AC783" s="328">
        <f t="shared" si="257"/>
        <v>0</v>
      </c>
    </row>
    <row r="784" spans="1:29" ht="14.4" customHeight="1">
      <c r="A784" s="318"/>
      <c r="B784" s="319"/>
      <c r="C784" s="318"/>
      <c r="D784" s="318"/>
      <c r="E784" s="319"/>
      <c r="F784" s="336"/>
      <c r="G784" s="318" t="s">
        <v>1214</v>
      </c>
      <c r="H784" s="318">
        <v>4.49</v>
      </c>
      <c r="I784" s="318">
        <v>1</v>
      </c>
      <c r="J784" s="318">
        <f t="shared" si="251"/>
        <v>1</v>
      </c>
      <c r="K784" s="318">
        <f t="shared" si="252"/>
        <v>4.49</v>
      </c>
      <c r="L784" s="318">
        <v>1453</v>
      </c>
      <c r="M784" s="318">
        <v>111</v>
      </c>
      <c r="N784" s="318">
        <v>1</v>
      </c>
      <c r="O784" s="619">
        <f t="shared" si="253"/>
        <v>4.49</v>
      </c>
      <c r="P784" s="750">
        <v>1</v>
      </c>
      <c r="Q784" s="750"/>
      <c r="R784" s="337">
        <v>1</v>
      </c>
      <c r="S784" s="348">
        <f t="shared" si="258"/>
        <v>4.49</v>
      </c>
      <c r="T784" s="319"/>
      <c r="V784" s="328">
        <v>4.49</v>
      </c>
      <c r="W784" s="320">
        <v>1</v>
      </c>
      <c r="X784" s="348">
        <f t="shared" si="254"/>
        <v>4.49</v>
      </c>
      <c r="Y784" s="330">
        <v>1</v>
      </c>
      <c r="Z784" s="348">
        <f t="shared" si="255"/>
        <v>4.49</v>
      </c>
      <c r="AB784" s="328">
        <f t="shared" si="256"/>
        <v>0</v>
      </c>
      <c r="AC784" s="328">
        <f t="shared" si="257"/>
        <v>0</v>
      </c>
    </row>
    <row r="785" spans="1:29">
      <c r="A785" s="318"/>
      <c r="B785" s="319"/>
      <c r="C785" s="318"/>
      <c r="D785" s="318"/>
      <c r="E785" s="319"/>
      <c r="F785" s="336"/>
      <c r="G785" s="318" t="s">
        <v>1215</v>
      </c>
      <c r="H785" s="318">
        <v>4.49</v>
      </c>
      <c r="I785" s="318">
        <v>1</v>
      </c>
      <c r="J785" s="318">
        <f t="shared" si="251"/>
        <v>1</v>
      </c>
      <c r="K785" s="318">
        <f t="shared" si="252"/>
        <v>4.49</v>
      </c>
      <c r="L785" s="318">
        <v>1473</v>
      </c>
      <c r="M785" s="318">
        <v>118</v>
      </c>
      <c r="N785" s="318">
        <v>1</v>
      </c>
      <c r="O785" s="619">
        <f t="shared" si="253"/>
        <v>4.49</v>
      </c>
      <c r="P785" s="750">
        <v>1</v>
      </c>
      <c r="Q785" s="750"/>
      <c r="R785" s="337">
        <v>1</v>
      </c>
      <c r="S785" s="348">
        <f t="shared" si="258"/>
        <v>4.49</v>
      </c>
      <c r="T785" s="319"/>
      <c r="V785" s="328">
        <v>4.49</v>
      </c>
      <c r="W785" s="320">
        <v>1</v>
      </c>
      <c r="X785" s="348">
        <f t="shared" si="254"/>
        <v>4.49</v>
      </c>
      <c r="Y785" s="330">
        <v>1</v>
      </c>
      <c r="Z785" s="348">
        <f t="shared" si="255"/>
        <v>4.49</v>
      </c>
      <c r="AB785" s="328">
        <f t="shared" si="256"/>
        <v>0</v>
      </c>
      <c r="AC785" s="328">
        <f t="shared" si="257"/>
        <v>0</v>
      </c>
    </row>
    <row r="786" spans="1:29">
      <c r="A786" s="318"/>
      <c r="B786" s="319"/>
      <c r="C786" s="318"/>
      <c r="D786" s="318"/>
      <c r="E786" s="319"/>
      <c r="F786" s="319"/>
      <c r="G786" s="318" t="s">
        <v>1216</v>
      </c>
      <c r="H786" s="318">
        <v>3.25</v>
      </c>
      <c r="I786" s="318">
        <v>1</v>
      </c>
      <c r="J786" s="318">
        <f t="shared" si="251"/>
        <v>1</v>
      </c>
      <c r="K786" s="318">
        <f t="shared" si="252"/>
        <v>3.25</v>
      </c>
      <c r="L786" s="318">
        <v>1473</v>
      </c>
      <c r="M786" s="318">
        <v>118</v>
      </c>
      <c r="N786" s="318">
        <v>1</v>
      </c>
      <c r="O786" s="619">
        <f t="shared" si="253"/>
        <v>3.25</v>
      </c>
      <c r="P786" s="750">
        <v>1</v>
      </c>
      <c r="Q786" s="750"/>
      <c r="R786" s="337">
        <v>1</v>
      </c>
      <c r="S786" s="348">
        <f t="shared" si="258"/>
        <v>3.25</v>
      </c>
      <c r="T786" s="319"/>
      <c r="V786" s="328">
        <v>3.238</v>
      </c>
      <c r="W786" s="320">
        <v>1</v>
      </c>
      <c r="X786" s="348">
        <f t="shared" si="254"/>
        <v>3.238</v>
      </c>
      <c r="Y786" s="330">
        <v>1</v>
      </c>
      <c r="Z786" s="348">
        <f t="shared" si="255"/>
        <v>3.238</v>
      </c>
      <c r="AB786" s="328">
        <f t="shared" si="256"/>
        <v>-1.2000000000000011E-2</v>
      </c>
      <c r="AC786" s="328">
        <f t="shared" si="257"/>
        <v>-1.2000000000000011E-2</v>
      </c>
    </row>
    <row r="787" spans="1:29">
      <c r="A787" s="318"/>
      <c r="B787" s="319"/>
      <c r="C787" s="318"/>
      <c r="D787" s="318"/>
      <c r="E787" s="319"/>
      <c r="F787" s="319"/>
      <c r="G787" s="318" t="s">
        <v>1217</v>
      </c>
      <c r="H787" s="318">
        <v>3.25</v>
      </c>
      <c r="I787" s="318">
        <v>1</v>
      </c>
      <c r="J787" s="318">
        <f t="shared" si="251"/>
        <v>1</v>
      </c>
      <c r="K787" s="318">
        <f t="shared" si="252"/>
        <v>3.25</v>
      </c>
      <c r="L787" s="318">
        <v>1465</v>
      </c>
      <c r="M787" s="318">
        <v>114</v>
      </c>
      <c r="N787" s="318">
        <v>1</v>
      </c>
      <c r="O787" s="619">
        <f t="shared" si="253"/>
        <v>3.25</v>
      </c>
      <c r="P787" s="750">
        <v>1</v>
      </c>
      <c r="Q787" s="750"/>
      <c r="R787" s="337">
        <v>1</v>
      </c>
      <c r="S787" s="348">
        <f t="shared" si="258"/>
        <v>3.25</v>
      </c>
      <c r="T787" s="319"/>
      <c r="V787" s="328">
        <v>3.238</v>
      </c>
      <c r="W787" s="320">
        <v>1</v>
      </c>
      <c r="X787" s="348">
        <f t="shared" si="254"/>
        <v>3.238</v>
      </c>
      <c r="Y787" s="330">
        <v>1</v>
      </c>
      <c r="Z787" s="348">
        <f t="shared" si="255"/>
        <v>3.238</v>
      </c>
      <c r="AB787" s="328">
        <f t="shared" si="256"/>
        <v>-1.2000000000000011E-2</v>
      </c>
      <c r="AC787" s="328">
        <f t="shared" si="257"/>
        <v>-1.2000000000000011E-2</v>
      </c>
    </row>
    <row r="788" spans="1:29">
      <c r="A788" s="318"/>
      <c r="B788" s="319"/>
      <c r="C788" s="318"/>
      <c r="D788" s="318"/>
      <c r="E788" s="319"/>
      <c r="F788" s="319" t="s">
        <v>721</v>
      </c>
      <c r="G788" s="318" t="s">
        <v>1218</v>
      </c>
      <c r="H788" s="318">
        <v>3.27</v>
      </c>
      <c r="I788" s="318">
        <v>1</v>
      </c>
      <c r="J788" s="318">
        <f t="shared" si="251"/>
        <v>1</v>
      </c>
      <c r="K788" s="318">
        <f t="shared" si="252"/>
        <v>3.27</v>
      </c>
      <c r="L788" s="318">
        <v>1567</v>
      </c>
      <c r="M788" s="318">
        <v>133</v>
      </c>
      <c r="N788" s="318">
        <v>1</v>
      </c>
      <c r="O788" s="619">
        <f t="shared" si="253"/>
        <v>3.27</v>
      </c>
      <c r="P788" s="750">
        <v>1</v>
      </c>
      <c r="Q788" s="750"/>
      <c r="R788" s="337">
        <v>1</v>
      </c>
      <c r="S788" s="348">
        <f t="shared" si="258"/>
        <v>3.27</v>
      </c>
      <c r="T788" s="319"/>
      <c r="V788" s="328">
        <v>3.258</v>
      </c>
      <c r="W788" s="320">
        <v>1</v>
      </c>
      <c r="X788" s="348">
        <f t="shared" si="254"/>
        <v>3.258</v>
      </c>
      <c r="Y788" s="330">
        <v>1</v>
      </c>
      <c r="Z788" s="348">
        <f t="shared" si="255"/>
        <v>3.258</v>
      </c>
      <c r="AB788" s="328">
        <f t="shared" si="256"/>
        <v>-1.2000000000000011E-2</v>
      </c>
      <c r="AC788" s="328">
        <f t="shared" si="257"/>
        <v>-1.2000000000000011E-2</v>
      </c>
    </row>
    <row r="789" spans="1:29">
      <c r="A789" s="318"/>
      <c r="B789" s="319"/>
      <c r="C789" s="318"/>
      <c r="D789" s="318"/>
      <c r="E789" s="319"/>
      <c r="F789" s="319" t="s">
        <v>721</v>
      </c>
      <c r="G789" s="318" t="s">
        <v>1219</v>
      </c>
      <c r="H789" s="318">
        <v>4.09</v>
      </c>
      <c r="I789" s="318">
        <v>1</v>
      </c>
      <c r="J789" s="318">
        <f t="shared" si="251"/>
        <v>1</v>
      </c>
      <c r="K789" s="318">
        <f t="shared" si="252"/>
        <v>4.09</v>
      </c>
      <c r="L789" s="318" t="s">
        <v>329</v>
      </c>
      <c r="M789" s="318" t="s">
        <v>333</v>
      </c>
      <c r="N789" s="318">
        <v>1</v>
      </c>
      <c r="O789" s="619">
        <f t="shared" si="253"/>
        <v>4.09</v>
      </c>
      <c r="P789" s="750">
        <v>1</v>
      </c>
      <c r="Q789" s="750"/>
      <c r="R789" s="337">
        <v>1</v>
      </c>
      <c r="S789" s="348">
        <f t="shared" si="258"/>
        <v>4.09</v>
      </c>
      <c r="T789" s="319"/>
      <c r="V789" s="328">
        <f>3.258+0.82</f>
        <v>4.0780000000000003</v>
      </c>
      <c r="W789" s="320">
        <v>1</v>
      </c>
      <c r="X789" s="348">
        <f t="shared" si="254"/>
        <v>4.0780000000000003</v>
      </c>
      <c r="Y789" s="330">
        <v>1</v>
      </c>
      <c r="Z789" s="348">
        <f t="shared" si="255"/>
        <v>4.0780000000000003</v>
      </c>
      <c r="AB789" s="328">
        <f t="shared" si="256"/>
        <v>-1.1999999999999567E-2</v>
      </c>
      <c r="AC789" s="328">
        <f t="shared" si="257"/>
        <v>-1.1999999999999567E-2</v>
      </c>
    </row>
    <row r="790" spans="1:29">
      <c r="A790" s="318"/>
      <c r="B790" s="319"/>
      <c r="C790" s="318"/>
      <c r="D790" s="318"/>
      <c r="E790" s="319"/>
      <c r="F790" s="336"/>
      <c r="G790" s="318" t="s">
        <v>1220</v>
      </c>
      <c r="H790" s="318">
        <v>3.81</v>
      </c>
      <c r="I790" s="318">
        <v>1</v>
      </c>
      <c r="J790" s="318">
        <f t="shared" si="251"/>
        <v>1</v>
      </c>
      <c r="K790" s="318">
        <f t="shared" si="252"/>
        <v>3.81</v>
      </c>
      <c r="L790" s="318">
        <v>1465</v>
      </c>
      <c r="M790" s="318">
        <v>114</v>
      </c>
      <c r="N790" s="318">
        <v>1</v>
      </c>
      <c r="O790" s="619">
        <f t="shared" si="253"/>
        <v>3.81</v>
      </c>
      <c r="P790" s="750">
        <v>1</v>
      </c>
      <c r="Q790" s="750"/>
      <c r="R790" s="337">
        <v>1</v>
      </c>
      <c r="S790" s="348">
        <f t="shared" si="258"/>
        <v>3.81</v>
      </c>
      <c r="T790" s="319"/>
      <c r="V790" s="328">
        <v>3.802</v>
      </c>
      <c r="W790" s="320">
        <v>1</v>
      </c>
      <c r="X790" s="348">
        <f t="shared" si="254"/>
        <v>3.802</v>
      </c>
      <c r="Y790" s="330">
        <v>1</v>
      </c>
      <c r="Z790" s="348">
        <f t="shared" si="255"/>
        <v>3.802</v>
      </c>
      <c r="AB790" s="328">
        <f t="shared" si="256"/>
        <v>-8.0000000000000071E-3</v>
      </c>
      <c r="AC790" s="328">
        <f t="shared" si="257"/>
        <v>-8.0000000000000071E-3</v>
      </c>
    </row>
    <row r="791" spans="1:29">
      <c r="A791" s="318"/>
      <c r="B791" s="319"/>
      <c r="C791" s="318"/>
      <c r="D791" s="318"/>
      <c r="E791" s="319"/>
      <c r="F791" s="319"/>
      <c r="G791" s="318" t="s">
        <v>1221</v>
      </c>
      <c r="H791" s="318">
        <v>3.81</v>
      </c>
      <c r="I791" s="318">
        <v>1</v>
      </c>
      <c r="J791" s="318">
        <f t="shared" si="251"/>
        <v>1</v>
      </c>
      <c r="K791" s="318">
        <f t="shared" si="252"/>
        <v>3.81</v>
      </c>
      <c r="L791" s="318">
        <v>1469</v>
      </c>
      <c r="M791" s="318">
        <v>115</v>
      </c>
      <c r="N791" s="318">
        <v>1</v>
      </c>
      <c r="O791" s="619">
        <f t="shared" si="253"/>
        <v>3.81</v>
      </c>
      <c r="P791" s="750">
        <v>1</v>
      </c>
      <c r="Q791" s="750"/>
      <c r="R791" s="337">
        <v>1</v>
      </c>
      <c r="S791" s="348">
        <f t="shared" si="258"/>
        <v>3.81</v>
      </c>
      <c r="T791" s="319"/>
      <c r="V791" s="328">
        <v>3.802</v>
      </c>
      <c r="W791" s="320">
        <v>1</v>
      </c>
      <c r="X791" s="348">
        <f t="shared" si="254"/>
        <v>3.802</v>
      </c>
      <c r="Y791" s="330">
        <v>1</v>
      </c>
      <c r="Z791" s="348">
        <f t="shared" si="255"/>
        <v>3.802</v>
      </c>
      <c r="AB791" s="328">
        <f t="shared" si="256"/>
        <v>-8.0000000000000071E-3</v>
      </c>
      <c r="AC791" s="328">
        <f t="shared" si="257"/>
        <v>-8.0000000000000071E-3</v>
      </c>
    </row>
    <row r="792" spans="1:29">
      <c r="A792" s="318"/>
      <c r="B792" s="319"/>
      <c r="C792" s="318"/>
      <c r="D792" s="318"/>
      <c r="E792" s="319"/>
      <c r="F792" s="319"/>
      <c r="G792" s="318" t="s">
        <v>1222</v>
      </c>
      <c r="H792" s="318">
        <v>3.81</v>
      </c>
      <c r="I792" s="318">
        <v>1</v>
      </c>
      <c r="J792" s="318">
        <f t="shared" si="251"/>
        <v>1</v>
      </c>
      <c r="K792" s="318">
        <f t="shared" si="252"/>
        <v>3.81</v>
      </c>
      <c r="L792" s="318">
        <v>1469</v>
      </c>
      <c r="M792" s="318">
        <v>115</v>
      </c>
      <c r="N792" s="318">
        <v>1</v>
      </c>
      <c r="O792" s="619">
        <f t="shared" si="253"/>
        <v>3.81</v>
      </c>
      <c r="P792" s="750">
        <v>1</v>
      </c>
      <c r="Q792" s="750"/>
      <c r="R792" s="337">
        <v>1</v>
      </c>
      <c r="S792" s="348">
        <f t="shared" si="258"/>
        <v>3.81</v>
      </c>
      <c r="T792" s="319"/>
      <c r="V792" s="328">
        <v>3.802</v>
      </c>
      <c r="W792" s="320">
        <v>1</v>
      </c>
      <c r="X792" s="348">
        <f t="shared" si="254"/>
        <v>3.802</v>
      </c>
      <c r="Y792" s="330">
        <v>1</v>
      </c>
      <c r="Z792" s="348">
        <f t="shared" si="255"/>
        <v>3.802</v>
      </c>
      <c r="AB792" s="328">
        <f t="shared" si="256"/>
        <v>-8.0000000000000071E-3</v>
      </c>
      <c r="AC792" s="328">
        <f t="shared" si="257"/>
        <v>-8.0000000000000071E-3</v>
      </c>
    </row>
    <row r="793" spans="1:29">
      <c r="A793" s="318"/>
      <c r="B793" s="319"/>
      <c r="C793" s="318"/>
      <c r="D793" s="318"/>
      <c r="E793" s="319"/>
      <c r="F793" s="319"/>
      <c r="G793" s="318" t="s">
        <v>1223</v>
      </c>
      <c r="H793" s="318">
        <v>3.91</v>
      </c>
      <c r="I793" s="318">
        <v>1</v>
      </c>
      <c r="J793" s="318">
        <f t="shared" si="251"/>
        <v>1</v>
      </c>
      <c r="K793" s="318">
        <f t="shared" si="252"/>
        <v>3.91</v>
      </c>
      <c r="L793" s="318">
        <v>1474</v>
      </c>
      <c r="M793" s="318">
        <v>118</v>
      </c>
      <c r="N793" s="318">
        <v>1</v>
      </c>
      <c r="O793" s="619">
        <f t="shared" si="253"/>
        <v>3.91</v>
      </c>
      <c r="P793" s="750">
        <v>1</v>
      </c>
      <c r="Q793" s="750"/>
      <c r="R793" s="337">
        <v>1</v>
      </c>
      <c r="S793" s="348">
        <f t="shared" si="258"/>
        <v>3.91</v>
      </c>
      <c r="T793" s="319"/>
      <c r="V793" s="328">
        <v>3.802</v>
      </c>
      <c r="W793" s="320">
        <v>1</v>
      </c>
      <c r="X793" s="348">
        <f t="shared" si="254"/>
        <v>3.802</v>
      </c>
      <c r="Y793" s="330">
        <v>1</v>
      </c>
      <c r="Z793" s="348">
        <f t="shared" si="255"/>
        <v>3.802</v>
      </c>
      <c r="AB793" s="328">
        <f t="shared" si="256"/>
        <v>-0.1080000000000001</v>
      </c>
      <c r="AC793" s="328">
        <f t="shared" si="257"/>
        <v>-0.1080000000000001</v>
      </c>
    </row>
    <row r="794" spans="1:29">
      <c r="A794" s="318"/>
      <c r="B794" s="319"/>
      <c r="C794" s="318"/>
      <c r="D794" s="318"/>
      <c r="E794" s="319"/>
      <c r="F794" s="336"/>
      <c r="G794" s="318" t="s">
        <v>1224</v>
      </c>
      <c r="H794" s="318">
        <v>3.81</v>
      </c>
      <c r="I794" s="318">
        <v>1</v>
      </c>
      <c r="J794" s="318">
        <f t="shared" si="251"/>
        <v>1</v>
      </c>
      <c r="K794" s="318">
        <f t="shared" si="252"/>
        <v>3.81</v>
      </c>
      <c r="L794" s="318">
        <v>1558</v>
      </c>
      <c r="M794" s="318">
        <v>133</v>
      </c>
      <c r="N794" s="318">
        <v>1</v>
      </c>
      <c r="O794" s="619">
        <f t="shared" si="253"/>
        <v>3.81</v>
      </c>
      <c r="P794" s="750">
        <v>1</v>
      </c>
      <c r="Q794" s="750"/>
      <c r="R794" s="337">
        <v>1</v>
      </c>
      <c r="S794" s="348">
        <f t="shared" si="258"/>
        <v>3.81</v>
      </c>
      <c r="T794" s="319"/>
      <c r="V794" s="328">
        <v>3.802</v>
      </c>
      <c r="W794" s="320">
        <v>1</v>
      </c>
      <c r="X794" s="348">
        <f t="shared" si="254"/>
        <v>3.802</v>
      </c>
      <c r="Y794" s="330">
        <v>1</v>
      </c>
      <c r="Z794" s="348">
        <f t="shared" si="255"/>
        <v>3.802</v>
      </c>
      <c r="AB794" s="328">
        <f t="shared" si="256"/>
        <v>-8.0000000000000071E-3</v>
      </c>
      <c r="AC794" s="328">
        <f t="shared" si="257"/>
        <v>-8.0000000000000071E-3</v>
      </c>
    </row>
    <row r="795" spans="1:29">
      <c r="A795" s="318"/>
      <c r="B795" s="319"/>
      <c r="C795" s="318"/>
      <c r="D795" s="318"/>
      <c r="E795" s="319"/>
      <c r="F795" s="336" t="s">
        <v>1225</v>
      </c>
      <c r="G795" s="318" t="s">
        <v>1226</v>
      </c>
      <c r="H795" s="319">
        <v>2.19</v>
      </c>
      <c r="I795" s="318">
        <v>1</v>
      </c>
      <c r="J795" s="318">
        <f t="shared" si="251"/>
        <v>1</v>
      </c>
      <c r="K795" s="318">
        <f t="shared" si="252"/>
        <v>2.19</v>
      </c>
      <c r="L795" s="318">
        <v>1553</v>
      </c>
      <c r="M795" s="318">
        <v>132</v>
      </c>
      <c r="N795" s="318">
        <v>1</v>
      </c>
      <c r="O795" s="619">
        <f t="shared" si="253"/>
        <v>2.19</v>
      </c>
      <c r="P795" s="750">
        <v>1</v>
      </c>
      <c r="Q795" s="750"/>
      <c r="R795" s="337">
        <v>1</v>
      </c>
      <c r="S795" s="348">
        <f t="shared" si="258"/>
        <v>2.19</v>
      </c>
      <c r="T795" s="319"/>
      <c r="V795" s="333">
        <f>1.65+1.164</f>
        <v>2.8140000000000001</v>
      </c>
      <c r="W795" s="320">
        <v>1</v>
      </c>
      <c r="X795" s="348">
        <f t="shared" si="254"/>
        <v>2.8140000000000001</v>
      </c>
      <c r="Y795" s="330">
        <v>1</v>
      </c>
      <c r="Z795" s="348">
        <f t="shared" si="255"/>
        <v>2.8140000000000001</v>
      </c>
      <c r="AB795" s="333">
        <f t="shared" si="256"/>
        <v>0.62400000000000011</v>
      </c>
      <c r="AC795" s="333">
        <f t="shared" si="257"/>
        <v>0.62400000000000011</v>
      </c>
    </row>
    <row r="796" spans="1:29">
      <c r="A796" s="318"/>
      <c r="B796" s="319"/>
      <c r="C796" s="318"/>
      <c r="D796" s="318"/>
      <c r="E796" s="319"/>
      <c r="F796" s="336"/>
      <c r="G796" s="318" t="s">
        <v>1227</v>
      </c>
      <c r="H796" s="318">
        <v>4.49</v>
      </c>
      <c r="I796" s="318">
        <v>1</v>
      </c>
      <c r="J796" s="318">
        <f t="shared" si="251"/>
        <v>1</v>
      </c>
      <c r="K796" s="318">
        <f t="shared" si="252"/>
        <v>4.49</v>
      </c>
      <c r="L796" s="318">
        <v>1463</v>
      </c>
      <c r="M796" s="318">
        <v>113</v>
      </c>
      <c r="N796" s="318">
        <v>1</v>
      </c>
      <c r="O796" s="619">
        <f t="shared" si="253"/>
        <v>4.49</v>
      </c>
      <c r="P796" s="750">
        <v>1</v>
      </c>
      <c r="Q796" s="750"/>
      <c r="R796" s="337">
        <v>1</v>
      </c>
      <c r="S796" s="348">
        <f t="shared" si="258"/>
        <v>4.49</v>
      </c>
      <c r="T796" s="319"/>
      <c r="V796" s="328">
        <v>4.49</v>
      </c>
      <c r="W796" s="320">
        <v>1</v>
      </c>
      <c r="X796" s="348">
        <f t="shared" si="254"/>
        <v>4.49</v>
      </c>
      <c r="Y796" s="330">
        <v>1</v>
      </c>
      <c r="Z796" s="348">
        <f t="shared" si="255"/>
        <v>4.49</v>
      </c>
      <c r="AB796" s="328">
        <f t="shared" si="256"/>
        <v>0</v>
      </c>
      <c r="AC796" s="328">
        <f t="shared" si="257"/>
        <v>0</v>
      </c>
    </row>
    <row r="797" spans="1:29" ht="15" thickBot="1">
      <c r="A797" s="318"/>
      <c r="B797" s="319"/>
      <c r="C797" s="318"/>
      <c r="D797" s="318"/>
      <c r="E797" s="319"/>
      <c r="F797" s="336"/>
      <c r="G797" s="318" t="s">
        <v>1228</v>
      </c>
      <c r="H797" s="318">
        <v>4.49</v>
      </c>
      <c r="I797" s="318">
        <v>1</v>
      </c>
      <c r="J797" s="318">
        <f t="shared" si="251"/>
        <v>1</v>
      </c>
      <c r="K797" s="318">
        <f t="shared" si="252"/>
        <v>4.49</v>
      </c>
      <c r="L797" s="318">
        <v>1465</v>
      </c>
      <c r="M797" s="318">
        <v>114</v>
      </c>
      <c r="N797" s="318">
        <v>1</v>
      </c>
      <c r="O797" s="619">
        <f t="shared" si="253"/>
        <v>4.49</v>
      </c>
      <c r="P797" s="750">
        <v>1</v>
      </c>
      <c r="Q797" s="750"/>
      <c r="R797" s="592">
        <v>1</v>
      </c>
      <c r="S797" s="348">
        <f t="shared" si="258"/>
        <v>4.49</v>
      </c>
      <c r="T797" s="319"/>
      <c r="V797" s="328">
        <v>4.49</v>
      </c>
      <c r="W797" s="320">
        <v>1</v>
      </c>
      <c r="X797" s="348">
        <f t="shared" si="254"/>
        <v>4.49</v>
      </c>
      <c r="Y797" s="330">
        <v>1</v>
      </c>
      <c r="Z797" s="348">
        <f t="shared" si="255"/>
        <v>4.49</v>
      </c>
      <c r="AB797" s="328">
        <f t="shared" si="256"/>
        <v>0</v>
      </c>
      <c r="AC797" s="328">
        <f t="shared" si="257"/>
        <v>0</v>
      </c>
    </row>
    <row r="798" spans="1:29" ht="15.6" thickTop="1" thickBot="1">
      <c r="A798" s="318"/>
      <c r="B798" s="319"/>
      <c r="C798" s="318"/>
      <c r="D798" s="318"/>
      <c r="E798" s="319"/>
      <c r="F798" s="336"/>
      <c r="G798" s="652" t="s">
        <v>1229</v>
      </c>
      <c r="H798" s="318">
        <v>4.49</v>
      </c>
      <c r="I798" s="318">
        <v>1</v>
      </c>
      <c r="J798" s="318">
        <v>1</v>
      </c>
      <c r="K798" s="318">
        <f t="shared" si="252"/>
        <v>4.49</v>
      </c>
      <c r="L798" s="318"/>
      <c r="M798" s="318"/>
      <c r="N798" s="318"/>
      <c r="O798" s="619">
        <f t="shared" si="253"/>
        <v>0</v>
      </c>
      <c r="P798" s="750"/>
      <c r="Q798" s="747"/>
      <c r="R798" s="624"/>
      <c r="S798" s="348">
        <f t="shared" si="258"/>
        <v>0</v>
      </c>
      <c r="T798" s="319" t="s">
        <v>3351</v>
      </c>
      <c r="V798" s="328">
        <v>4.49</v>
      </c>
      <c r="W798" s="320"/>
      <c r="X798" s="348">
        <f t="shared" si="254"/>
        <v>0</v>
      </c>
      <c r="Y798" s="330"/>
      <c r="Z798" s="348">
        <f t="shared" si="255"/>
        <v>0</v>
      </c>
      <c r="AB798" s="328">
        <f t="shared" si="256"/>
        <v>0</v>
      </c>
      <c r="AC798" s="328">
        <f t="shared" si="257"/>
        <v>0</v>
      </c>
    </row>
    <row r="799" spans="1:29" ht="14.4" customHeight="1" thickTop="1" thickBot="1">
      <c r="A799" s="318"/>
      <c r="B799" s="319"/>
      <c r="C799" s="318"/>
      <c r="D799" s="318"/>
      <c r="E799" s="319"/>
      <c r="F799" s="336"/>
      <c r="G799" s="652" t="s">
        <v>1230</v>
      </c>
      <c r="H799" s="318">
        <v>4.49</v>
      </c>
      <c r="I799" s="318">
        <v>1</v>
      </c>
      <c r="J799" s="318">
        <v>1</v>
      </c>
      <c r="K799" s="318">
        <f t="shared" si="252"/>
        <v>4.49</v>
      </c>
      <c r="L799" s="953">
        <v>30943101</v>
      </c>
      <c r="M799" s="953">
        <v>322323</v>
      </c>
      <c r="N799" s="318">
        <v>1</v>
      </c>
      <c r="O799" s="619">
        <f t="shared" si="253"/>
        <v>4.49</v>
      </c>
      <c r="P799" s="750">
        <v>1</v>
      </c>
      <c r="Q799" s="772">
        <f>R799-P799</f>
        <v>0</v>
      </c>
      <c r="R799" s="624">
        <v>1</v>
      </c>
      <c r="S799" s="348">
        <f t="shared" si="258"/>
        <v>4.49</v>
      </c>
      <c r="T799" s="319" t="s">
        <v>3351</v>
      </c>
      <c r="V799" s="328">
        <v>4.49</v>
      </c>
      <c r="W799" s="320"/>
      <c r="X799" s="348">
        <f t="shared" si="254"/>
        <v>0</v>
      </c>
      <c r="Y799" s="330"/>
      <c r="Z799" s="348">
        <f t="shared" si="255"/>
        <v>0</v>
      </c>
      <c r="AB799" s="328">
        <f t="shared" si="256"/>
        <v>-4.49</v>
      </c>
      <c r="AC799" s="328">
        <f t="shared" si="257"/>
        <v>-4.49</v>
      </c>
    </row>
    <row r="800" spans="1:29" ht="15.6" thickTop="1" thickBot="1">
      <c r="A800" s="318"/>
      <c r="B800" s="319"/>
      <c r="C800" s="318"/>
      <c r="D800" s="318"/>
      <c r="E800" s="319"/>
      <c r="F800" s="336"/>
      <c r="G800" s="652" t="s">
        <v>1231</v>
      </c>
      <c r="H800" s="318">
        <v>4.49</v>
      </c>
      <c r="I800" s="318">
        <v>1</v>
      </c>
      <c r="J800" s="318">
        <v>1</v>
      </c>
      <c r="K800" s="318">
        <f t="shared" si="252"/>
        <v>4.49</v>
      </c>
      <c r="L800" s="954">
        <v>3143</v>
      </c>
      <c r="M800" s="954">
        <v>331</v>
      </c>
      <c r="N800" s="954">
        <v>1</v>
      </c>
      <c r="O800" s="619">
        <f t="shared" si="253"/>
        <v>4.49</v>
      </c>
      <c r="P800" s="750">
        <v>1</v>
      </c>
      <c r="Q800" s="772">
        <f>R800-P800</f>
        <v>0</v>
      </c>
      <c r="R800" s="624">
        <v>1</v>
      </c>
      <c r="S800" s="348">
        <f t="shared" si="258"/>
        <v>4.49</v>
      </c>
      <c r="T800" s="319" t="s">
        <v>3351</v>
      </c>
      <c r="V800" s="328">
        <v>4.49</v>
      </c>
      <c r="W800" s="320"/>
      <c r="X800" s="348">
        <f t="shared" si="254"/>
        <v>0</v>
      </c>
      <c r="Y800" s="330"/>
      <c r="Z800" s="348">
        <f t="shared" si="255"/>
        <v>0</v>
      </c>
      <c r="AB800" s="328">
        <f t="shared" si="256"/>
        <v>-4.49</v>
      </c>
      <c r="AC800" s="328">
        <f t="shared" si="257"/>
        <v>-4.49</v>
      </c>
    </row>
    <row r="801" spans="1:29" ht="15.6" thickTop="1" thickBot="1">
      <c r="A801" s="318"/>
      <c r="B801" s="319"/>
      <c r="C801" s="318"/>
      <c r="D801" s="318"/>
      <c r="E801" s="319"/>
      <c r="F801" s="336"/>
      <c r="G801" s="652" t="s">
        <v>1232</v>
      </c>
      <c r="H801" s="318">
        <v>4.49</v>
      </c>
      <c r="I801" s="318">
        <v>1</v>
      </c>
      <c r="J801" s="318">
        <v>1</v>
      </c>
      <c r="K801" s="318">
        <f t="shared" si="252"/>
        <v>4.49</v>
      </c>
      <c r="L801" s="954">
        <v>3143</v>
      </c>
      <c r="M801" s="954">
        <v>331</v>
      </c>
      <c r="N801" s="954">
        <v>1</v>
      </c>
      <c r="O801" s="619">
        <f t="shared" si="253"/>
        <v>4.49</v>
      </c>
      <c r="P801" s="750">
        <v>1</v>
      </c>
      <c r="Q801" s="772">
        <f>R801-P801</f>
        <v>0</v>
      </c>
      <c r="R801" s="624">
        <v>1</v>
      </c>
      <c r="S801" s="348">
        <f t="shared" si="258"/>
        <v>4.49</v>
      </c>
      <c r="T801" s="319" t="s">
        <v>3351</v>
      </c>
      <c r="V801" s="328">
        <v>4.49</v>
      </c>
      <c r="W801" s="320"/>
      <c r="X801" s="348">
        <f t="shared" si="254"/>
        <v>0</v>
      </c>
      <c r="Y801" s="330"/>
      <c r="Z801" s="348">
        <f t="shared" si="255"/>
        <v>0</v>
      </c>
      <c r="AB801" s="328">
        <f t="shared" si="256"/>
        <v>-4.49</v>
      </c>
      <c r="AC801" s="328">
        <f t="shared" si="257"/>
        <v>-4.49</v>
      </c>
    </row>
    <row r="802" spans="1:29" ht="15.6" thickTop="1" thickBot="1">
      <c r="A802" s="318"/>
      <c r="B802" s="319"/>
      <c r="C802" s="318"/>
      <c r="D802" s="318"/>
      <c r="E802" s="319"/>
      <c r="F802" s="319"/>
      <c r="G802" s="652" t="s">
        <v>1233</v>
      </c>
      <c r="H802" s="318">
        <v>4.49</v>
      </c>
      <c r="I802" s="318">
        <v>1</v>
      </c>
      <c r="J802" s="318">
        <v>1</v>
      </c>
      <c r="K802" s="318">
        <f t="shared" si="252"/>
        <v>4.49</v>
      </c>
      <c r="L802" s="954">
        <v>3143</v>
      </c>
      <c r="M802" s="954">
        <v>331</v>
      </c>
      <c r="N802" s="954">
        <v>1</v>
      </c>
      <c r="O802" s="619">
        <f t="shared" si="253"/>
        <v>4.49</v>
      </c>
      <c r="P802" s="750">
        <v>1</v>
      </c>
      <c r="Q802" s="772">
        <f>R802-P802</f>
        <v>0</v>
      </c>
      <c r="R802" s="624">
        <v>1</v>
      </c>
      <c r="S802" s="348">
        <f t="shared" si="258"/>
        <v>4.49</v>
      </c>
      <c r="T802" s="319" t="s">
        <v>3351</v>
      </c>
      <c r="V802" s="328">
        <v>4.49</v>
      </c>
      <c r="W802" s="320"/>
      <c r="X802" s="348">
        <f t="shared" si="254"/>
        <v>0</v>
      </c>
      <c r="Y802" s="330"/>
      <c r="Z802" s="348">
        <f t="shared" si="255"/>
        <v>0</v>
      </c>
      <c r="AB802" s="328">
        <f t="shared" si="256"/>
        <v>-4.49</v>
      </c>
      <c r="AC802" s="328">
        <f t="shared" si="257"/>
        <v>-4.49</v>
      </c>
    </row>
    <row r="803" spans="1:29" ht="15.6" thickTop="1" thickBot="1">
      <c r="A803" s="318"/>
      <c r="B803" s="319"/>
      <c r="C803" s="318"/>
      <c r="D803" s="318"/>
      <c r="E803" s="319"/>
      <c r="F803" s="336"/>
      <c r="G803" s="652" t="s">
        <v>1234</v>
      </c>
      <c r="H803" s="318">
        <v>4.49</v>
      </c>
      <c r="I803" s="318">
        <v>1</v>
      </c>
      <c r="J803" s="318">
        <v>1</v>
      </c>
      <c r="K803" s="318">
        <f t="shared" si="252"/>
        <v>4.49</v>
      </c>
      <c r="L803" s="318"/>
      <c r="M803" s="318"/>
      <c r="N803" s="318"/>
      <c r="O803" s="619">
        <f t="shared" si="253"/>
        <v>0</v>
      </c>
      <c r="P803" s="750"/>
      <c r="Q803" s="747"/>
      <c r="R803" s="624"/>
      <c r="S803" s="348">
        <f t="shared" si="258"/>
        <v>0</v>
      </c>
      <c r="T803" s="319" t="s">
        <v>3351</v>
      </c>
      <c r="V803" s="328">
        <v>4.49</v>
      </c>
      <c r="W803" s="320"/>
      <c r="X803" s="348">
        <f t="shared" si="254"/>
        <v>0</v>
      </c>
      <c r="Y803" s="330"/>
      <c r="Z803" s="348">
        <f t="shared" si="255"/>
        <v>0</v>
      </c>
      <c r="AB803" s="328">
        <f t="shared" si="256"/>
        <v>0</v>
      </c>
      <c r="AC803" s="328">
        <f t="shared" si="257"/>
        <v>0</v>
      </c>
    </row>
    <row r="804" spans="1:29" ht="15" thickTop="1">
      <c r="A804" s="318"/>
      <c r="B804" s="319"/>
      <c r="C804" s="318"/>
      <c r="D804" s="318"/>
      <c r="E804" s="319"/>
      <c r="F804" s="319"/>
      <c r="G804" s="318" t="s">
        <v>1235</v>
      </c>
      <c r="H804" s="318">
        <v>4.49</v>
      </c>
      <c r="I804" s="318">
        <v>1</v>
      </c>
      <c r="J804" s="318">
        <f t="shared" si="251"/>
        <v>1</v>
      </c>
      <c r="K804" s="318">
        <f t="shared" si="252"/>
        <v>4.49</v>
      </c>
      <c r="L804" s="318">
        <v>1469</v>
      </c>
      <c r="M804" s="318">
        <v>115</v>
      </c>
      <c r="N804" s="318">
        <v>1</v>
      </c>
      <c r="O804" s="619">
        <f t="shared" si="253"/>
        <v>4.49</v>
      </c>
      <c r="P804" s="750">
        <v>1</v>
      </c>
      <c r="Q804" s="750"/>
      <c r="R804" s="337">
        <v>1</v>
      </c>
      <c r="S804" s="348">
        <f t="shared" si="258"/>
        <v>4.49</v>
      </c>
      <c r="T804" s="468"/>
      <c r="V804" s="328">
        <v>4.49</v>
      </c>
      <c r="W804" s="320">
        <v>1</v>
      </c>
      <c r="X804" s="348">
        <f t="shared" si="254"/>
        <v>4.49</v>
      </c>
      <c r="Y804" s="330"/>
      <c r="Z804" s="348">
        <f t="shared" si="255"/>
        <v>0</v>
      </c>
      <c r="AB804" s="328">
        <f t="shared" si="256"/>
        <v>0</v>
      </c>
      <c r="AC804" s="328">
        <f t="shared" si="257"/>
        <v>-4.49</v>
      </c>
    </row>
    <row r="805" spans="1:29">
      <c r="A805" s="318"/>
      <c r="B805" s="319"/>
      <c r="C805" s="318"/>
      <c r="D805" s="318"/>
      <c r="E805" s="319"/>
      <c r="F805" s="319"/>
      <c r="G805" s="318" t="s">
        <v>1236</v>
      </c>
      <c r="H805" s="318">
        <v>4.49</v>
      </c>
      <c r="I805" s="318">
        <v>1</v>
      </c>
      <c r="J805" s="318">
        <f t="shared" si="251"/>
        <v>1</v>
      </c>
      <c r="K805" s="318">
        <f t="shared" si="252"/>
        <v>4.49</v>
      </c>
      <c r="L805" s="318">
        <v>1474</v>
      </c>
      <c r="M805" s="318"/>
      <c r="N805" s="318">
        <v>1</v>
      </c>
      <c r="O805" s="619">
        <f t="shared" si="253"/>
        <v>4.49</v>
      </c>
      <c r="P805" s="750">
        <v>1</v>
      </c>
      <c r="Q805" s="750"/>
      <c r="R805" s="337">
        <v>1</v>
      </c>
      <c r="S805" s="348">
        <f t="shared" si="258"/>
        <v>4.49</v>
      </c>
      <c r="T805" s="468"/>
      <c r="V805" s="328">
        <v>4.49</v>
      </c>
      <c r="W805" s="320">
        <v>1</v>
      </c>
      <c r="X805" s="348">
        <f t="shared" si="254"/>
        <v>4.49</v>
      </c>
      <c r="Y805" s="330"/>
      <c r="Z805" s="348">
        <f t="shared" si="255"/>
        <v>0</v>
      </c>
      <c r="AB805" s="328">
        <f t="shared" si="256"/>
        <v>0</v>
      </c>
      <c r="AC805" s="328">
        <f t="shared" si="257"/>
        <v>-4.49</v>
      </c>
    </row>
    <row r="806" spans="1:29">
      <c r="A806" s="318"/>
      <c r="B806" s="319"/>
      <c r="C806" s="318"/>
      <c r="D806" s="318"/>
      <c r="E806" s="319"/>
      <c r="F806" s="319"/>
      <c r="G806" s="318" t="s">
        <v>1237</v>
      </c>
      <c r="H806" s="318">
        <v>3.14</v>
      </c>
      <c r="I806" s="318">
        <v>1</v>
      </c>
      <c r="J806" s="318">
        <f t="shared" si="251"/>
        <v>1</v>
      </c>
      <c r="K806" s="318">
        <f t="shared" si="252"/>
        <v>3.14</v>
      </c>
      <c r="L806" s="318">
        <v>1478</v>
      </c>
      <c r="M806" s="318">
        <v>119</v>
      </c>
      <c r="N806" s="318">
        <v>1</v>
      </c>
      <c r="O806" s="619">
        <f t="shared" si="253"/>
        <v>3.14</v>
      </c>
      <c r="P806" s="750">
        <v>1</v>
      </c>
      <c r="Q806" s="750"/>
      <c r="R806" s="337">
        <v>1</v>
      </c>
      <c r="S806" s="348">
        <f t="shared" si="258"/>
        <v>3.14</v>
      </c>
      <c r="T806" s="319"/>
      <c r="V806" s="328">
        <v>3.3130000000000002</v>
      </c>
      <c r="W806" s="320">
        <v>1</v>
      </c>
      <c r="X806" s="348">
        <f t="shared" si="254"/>
        <v>3.3130000000000002</v>
      </c>
      <c r="Y806" s="330">
        <v>1</v>
      </c>
      <c r="Z806" s="348">
        <f t="shared" si="255"/>
        <v>3.3130000000000002</v>
      </c>
      <c r="AB806" s="328">
        <f t="shared" si="256"/>
        <v>0.17300000000000004</v>
      </c>
      <c r="AC806" s="328">
        <f t="shared" si="257"/>
        <v>0.17300000000000004</v>
      </c>
    </row>
    <row r="807" spans="1:29">
      <c r="A807" s="318"/>
      <c r="B807" s="319"/>
      <c r="C807" s="318"/>
      <c r="D807" s="318"/>
      <c r="E807" s="319"/>
      <c r="F807" s="319"/>
      <c r="G807" s="318" t="s">
        <v>1238</v>
      </c>
      <c r="H807" s="318">
        <v>3.32</v>
      </c>
      <c r="I807" s="318">
        <v>1</v>
      </c>
      <c r="J807" s="318">
        <f t="shared" si="251"/>
        <v>1</v>
      </c>
      <c r="K807" s="318">
        <f t="shared" si="252"/>
        <v>3.32</v>
      </c>
      <c r="L807" s="318">
        <v>1563</v>
      </c>
      <c r="M807" s="318">
        <v>133</v>
      </c>
      <c r="N807" s="318">
        <v>1</v>
      </c>
      <c r="O807" s="619">
        <f t="shared" si="253"/>
        <v>3.32</v>
      </c>
      <c r="P807" s="750">
        <v>1</v>
      </c>
      <c r="Q807" s="750"/>
      <c r="R807" s="337">
        <v>1</v>
      </c>
      <c r="S807" s="348">
        <f t="shared" si="258"/>
        <v>3.32</v>
      </c>
      <c r="T807" s="319"/>
      <c r="V807" s="328">
        <v>3.3119999999999998</v>
      </c>
      <c r="W807" s="320">
        <v>1</v>
      </c>
      <c r="X807" s="348">
        <f t="shared" si="254"/>
        <v>3.3119999999999998</v>
      </c>
      <c r="Y807" s="330">
        <v>1</v>
      </c>
      <c r="Z807" s="348">
        <f t="shared" si="255"/>
        <v>3.3119999999999998</v>
      </c>
      <c r="AB807" s="328">
        <f t="shared" si="256"/>
        <v>-8.0000000000000071E-3</v>
      </c>
      <c r="AC807" s="328">
        <f t="shared" si="257"/>
        <v>-8.0000000000000071E-3</v>
      </c>
    </row>
    <row r="808" spans="1:29">
      <c r="A808" s="318"/>
      <c r="B808" s="319"/>
      <c r="C808" s="318"/>
      <c r="D808" s="318"/>
      <c r="E808" s="319"/>
      <c r="F808" s="319" t="s">
        <v>721</v>
      </c>
      <c r="G808" s="318" t="s">
        <v>1239</v>
      </c>
      <c r="H808" s="318">
        <v>3.27</v>
      </c>
      <c r="I808" s="318">
        <v>1</v>
      </c>
      <c r="J808" s="318">
        <f t="shared" si="251"/>
        <v>1</v>
      </c>
      <c r="K808" s="318">
        <f t="shared" si="252"/>
        <v>3.27</v>
      </c>
      <c r="L808" s="318">
        <v>1563</v>
      </c>
      <c r="M808" s="318">
        <v>133</v>
      </c>
      <c r="N808" s="318">
        <v>1</v>
      </c>
      <c r="O808" s="619">
        <f t="shared" si="253"/>
        <v>3.27</v>
      </c>
      <c r="P808" s="750">
        <v>1</v>
      </c>
      <c r="Q808" s="750"/>
      <c r="R808" s="337">
        <v>1</v>
      </c>
      <c r="S808" s="348">
        <f t="shared" si="258"/>
        <v>3.27</v>
      </c>
      <c r="T808" s="319"/>
      <c r="V808" s="328">
        <v>3.2559999999999998</v>
      </c>
      <c r="W808" s="320">
        <v>1</v>
      </c>
      <c r="X808" s="348">
        <f t="shared" si="254"/>
        <v>3.2559999999999998</v>
      </c>
      <c r="Y808" s="330">
        <v>1</v>
      </c>
      <c r="Z808" s="348">
        <f t="shared" si="255"/>
        <v>3.2559999999999998</v>
      </c>
      <c r="AB808" s="328">
        <f t="shared" si="256"/>
        <v>-1.4000000000000234E-2</v>
      </c>
      <c r="AC808" s="328">
        <f t="shared" si="257"/>
        <v>-1.4000000000000234E-2</v>
      </c>
    </row>
    <row r="809" spans="1:29">
      <c r="A809" s="318"/>
      <c r="B809" s="319"/>
      <c r="C809" s="318"/>
      <c r="D809" s="318"/>
      <c r="E809" s="319"/>
      <c r="F809" s="319" t="s">
        <v>721</v>
      </c>
      <c r="G809" s="318" t="s">
        <v>1240</v>
      </c>
      <c r="H809" s="318">
        <v>3.61</v>
      </c>
      <c r="I809" s="318">
        <v>1</v>
      </c>
      <c r="J809" s="318">
        <f t="shared" si="251"/>
        <v>1</v>
      </c>
      <c r="K809" s="318">
        <f t="shared" si="252"/>
        <v>3.61</v>
      </c>
      <c r="L809" s="318">
        <v>1563</v>
      </c>
      <c r="M809" s="318">
        <v>133</v>
      </c>
      <c r="N809" s="318">
        <v>1</v>
      </c>
      <c r="O809" s="619">
        <f t="shared" si="253"/>
        <v>3.61</v>
      </c>
      <c r="P809" s="750">
        <v>1</v>
      </c>
      <c r="Q809" s="750"/>
      <c r="R809" s="337">
        <v>1</v>
      </c>
      <c r="S809" s="348">
        <f t="shared" si="258"/>
        <v>3.61</v>
      </c>
      <c r="T809" s="319"/>
      <c r="V809" s="328">
        <v>3.2559999999999998</v>
      </c>
      <c r="W809" s="320">
        <v>1</v>
      </c>
      <c r="X809" s="348">
        <f t="shared" si="254"/>
        <v>3.2559999999999998</v>
      </c>
      <c r="Y809" s="330">
        <v>1</v>
      </c>
      <c r="Z809" s="348">
        <f t="shared" si="255"/>
        <v>3.2559999999999998</v>
      </c>
      <c r="AB809" s="328">
        <f t="shared" si="256"/>
        <v>-0.35400000000000009</v>
      </c>
      <c r="AC809" s="328">
        <f t="shared" si="257"/>
        <v>-0.35400000000000009</v>
      </c>
    </row>
    <row r="810" spans="1:29">
      <c r="A810" s="318"/>
      <c r="B810" s="319"/>
      <c r="C810" s="318"/>
      <c r="D810" s="318"/>
      <c r="E810" s="319"/>
      <c r="F810" s="336"/>
      <c r="G810" s="318" t="s">
        <v>1241</v>
      </c>
      <c r="H810" s="318">
        <v>4.01</v>
      </c>
      <c r="I810" s="318">
        <v>1</v>
      </c>
      <c r="J810" s="318">
        <f t="shared" si="251"/>
        <v>1</v>
      </c>
      <c r="K810" s="318">
        <f t="shared" si="252"/>
        <v>4.01</v>
      </c>
      <c r="L810" s="318">
        <v>1553</v>
      </c>
      <c r="M810" s="318">
        <v>132</v>
      </c>
      <c r="N810" s="318">
        <v>1</v>
      </c>
      <c r="O810" s="619">
        <f t="shared" si="253"/>
        <v>4.01</v>
      </c>
      <c r="P810" s="750">
        <v>1</v>
      </c>
      <c r="Q810" s="750"/>
      <c r="R810" s="337">
        <v>1</v>
      </c>
      <c r="S810" s="348">
        <f t="shared" si="258"/>
        <v>4.01</v>
      </c>
      <c r="T810" s="319"/>
      <c r="V810" s="328">
        <v>3.9950000000000001</v>
      </c>
      <c r="W810" s="320">
        <v>1</v>
      </c>
      <c r="X810" s="348">
        <f t="shared" si="254"/>
        <v>3.9950000000000001</v>
      </c>
      <c r="Y810" s="330">
        <v>1</v>
      </c>
      <c r="Z810" s="348">
        <f t="shared" si="255"/>
        <v>3.9950000000000001</v>
      </c>
      <c r="AB810" s="328">
        <f t="shared" si="256"/>
        <v>-1.499999999999968E-2</v>
      </c>
      <c r="AC810" s="328">
        <f t="shared" si="257"/>
        <v>-1.499999999999968E-2</v>
      </c>
    </row>
    <row r="811" spans="1:29">
      <c r="A811" s="318"/>
      <c r="B811" s="319"/>
      <c r="C811" s="318"/>
      <c r="D811" s="318"/>
      <c r="E811" s="319"/>
      <c r="F811" s="336"/>
      <c r="G811" s="318" t="s">
        <v>1242</v>
      </c>
      <c r="H811" s="318">
        <v>4.3499999999999996</v>
      </c>
      <c r="I811" s="318">
        <v>1</v>
      </c>
      <c r="J811" s="318">
        <f t="shared" si="251"/>
        <v>1</v>
      </c>
      <c r="K811" s="318">
        <f t="shared" si="252"/>
        <v>4.3499999999999996</v>
      </c>
      <c r="L811" s="318">
        <v>1478</v>
      </c>
      <c r="M811" s="318">
        <v>119</v>
      </c>
      <c r="N811" s="318">
        <v>1</v>
      </c>
      <c r="O811" s="619">
        <f t="shared" si="253"/>
        <v>4.3499999999999996</v>
      </c>
      <c r="P811" s="750">
        <v>1</v>
      </c>
      <c r="Q811" s="750"/>
      <c r="R811" s="337">
        <v>1</v>
      </c>
      <c r="S811" s="348">
        <f t="shared" si="258"/>
        <v>4.3499999999999996</v>
      </c>
      <c r="T811" s="319"/>
      <c r="V811" s="328">
        <v>4.34</v>
      </c>
      <c r="W811" s="320">
        <v>1</v>
      </c>
      <c r="X811" s="348">
        <f t="shared" si="254"/>
        <v>4.34</v>
      </c>
      <c r="Y811" s="330">
        <v>1</v>
      </c>
      <c r="Z811" s="348">
        <f t="shared" si="255"/>
        <v>4.34</v>
      </c>
      <c r="AB811" s="328">
        <f t="shared" si="256"/>
        <v>-9.9999999999997868E-3</v>
      </c>
      <c r="AC811" s="328">
        <f t="shared" si="257"/>
        <v>-9.9999999999997868E-3</v>
      </c>
    </row>
    <row r="812" spans="1:29">
      <c r="A812" s="318"/>
      <c r="B812" s="319"/>
      <c r="C812" s="318"/>
      <c r="D812" s="318"/>
      <c r="E812" s="319"/>
      <c r="F812" s="336"/>
      <c r="G812" s="318" t="s">
        <v>1243</v>
      </c>
      <c r="H812" s="318">
        <v>4.3499999999999996</v>
      </c>
      <c r="I812" s="318">
        <v>1</v>
      </c>
      <c r="J812" s="318">
        <f t="shared" si="251"/>
        <v>1</v>
      </c>
      <c r="K812" s="318">
        <f t="shared" si="252"/>
        <v>4.3499999999999996</v>
      </c>
      <c r="L812" s="318">
        <v>1481</v>
      </c>
      <c r="M812" s="318">
        <v>121</v>
      </c>
      <c r="N812" s="318">
        <v>1</v>
      </c>
      <c r="O812" s="619">
        <f t="shared" si="253"/>
        <v>4.3499999999999996</v>
      </c>
      <c r="P812" s="750">
        <v>1</v>
      </c>
      <c r="Q812" s="750"/>
      <c r="R812" s="337">
        <v>1</v>
      </c>
      <c r="S812" s="348">
        <f t="shared" si="258"/>
        <v>4.3499999999999996</v>
      </c>
      <c r="T812" s="319"/>
      <c r="V812" s="328">
        <v>4.34</v>
      </c>
      <c r="W812" s="320">
        <v>1</v>
      </c>
      <c r="X812" s="348">
        <f t="shared" si="254"/>
        <v>4.34</v>
      </c>
      <c r="Y812" s="330">
        <v>1</v>
      </c>
      <c r="Z812" s="348">
        <f t="shared" si="255"/>
        <v>4.34</v>
      </c>
      <c r="AB812" s="328">
        <f t="shared" si="256"/>
        <v>-9.9999999999997868E-3</v>
      </c>
      <c r="AC812" s="328">
        <f t="shared" si="257"/>
        <v>-9.9999999999997868E-3</v>
      </c>
    </row>
    <row r="813" spans="1:29">
      <c r="A813" s="318"/>
      <c r="B813" s="319"/>
      <c r="C813" s="318"/>
      <c r="D813" s="318"/>
      <c r="E813" s="319"/>
      <c r="F813" s="336"/>
      <c r="G813" s="318" t="s">
        <v>1244</v>
      </c>
      <c r="H813" s="318">
        <v>4.3499999999999996</v>
      </c>
      <c r="I813" s="318">
        <v>1</v>
      </c>
      <c r="J813" s="318">
        <f t="shared" si="251"/>
        <v>1</v>
      </c>
      <c r="K813" s="318">
        <f t="shared" si="252"/>
        <v>4.3499999999999996</v>
      </c>
      <c r="L813" s="318">
        <v>1482</v>
      </c>
      <c r="M813" s="318">
        <v>122</v>
      </c>
      <c r="N813" s="318">
        <v>1</v>
      </c>
      <c r="O813" s="619">
        <f t="shared" si="253"/>
        <v>4.3499999999999996</v>
      </c>
      <c r="P813" s="750">
        <v>1</v>
      </c>
      <c r="Q813" s="750"/>
      <c r="R813" s="337">
        <v>1</v>
      </c>
      <c r="S813" s="348">
        <f t="shared" si="258"/>
        <v>4.3499999999999996</v>
      </c>
      <c r="T813" s="319"/>
      <c r="V813" s="328">
        <v>4.34</v>
      </c>
      <c r="W813" s="320">
        <v>1</v>
      </c>
      <c r="X813" s="348">
        <f t="shared" si="254"/>
        <v>4.34</v>
      </c>
      <c r="Y813" s="330">
        <v>1</v>
      </c>
      <c r="Z813" s="348">
        <f t="shared" si="255"/>
        <v>4.34</v>
      </c>
      <c r="AB813" s="328">
        <f t="shared" si="256"/>
        <v>-9.9999999999997868E-3</v>
      </c>
      <c r="AC813" s="328">
        <f t="shared" si="257"/>
        <v>-9.9999999999997868E-3</v>
      </c>
    </row>
    <row r="814" spans="1:29">
      <c r="A814" s="318"/>
      <c r="B814" s="319"/>
      <c r="C814" s="318"/>
      <c r="D814" s="318"/>
      <c r="E814" s="319"/>
      <c r="F814" s="336" t="s">
        <v>1225</v>
      </c>
      <c r="G814" s="318" t="s">
        <v>1245</v>
      </c>
      <c r="H814" s="318">
        <v>5.17</v>
      </c>
      <c r="I814" s="318">
        <v>1</v>
      </c>
      <c r="J814" s="318">
        <f t="shared" si="251"/>
        <v>1</v>
      </c>
      <c r="K814" s="318">
        <f t="shared" si="252"/>
        <v>5.17</v>
      </c>
      <c r="L814" s="318">
        <v>1553</v>
      </c>
      <c r="M814" s="318">
        <v>132</v>
      </c>
      <c r="N814" s="318">
        <v>1</v>
      </c>
      <c r="O814" s="619">
        <f t="shared" si="253"/>
        <v>5.17</v>
      </c>
      <c r="P814" s="750">
        <v>1</v>
      </c>
      <c r="Q814" s="750"/>
      <c r="R814" s="337">
        <v>1</v>
      </c>
      <c r="S814" s="348">
        <f t="shared" si="258"/>
        <v>5.17</v>
      </c>
      <c r="T814" s="319"/>
      <c r="V814" s="328">
        <f>3.995+1.805</f>
        <v>5.8</v>
      </c>
      <c r="W814" s="320">
        <v>1</v>
      </c>
      <c r="X814" s="348">
        <f t="shared" si="254"/>
        <v>5.8</v>
      </c>
      <c r="Y814" s="330">
        <v>1</v>
      </c>
      <c r="Z814" s="348">
        <f t="shared" si="255"/>
        <v>5.8</v>
      </c>
      <c r="AB814" s="328">
        <f t="shared" si="256"/>
        <v>0.62999999999999989</v>
      </c>
      <c r="AC814" s="328">
        <f t="shared" si="257"/>
        <v>0.62999999999999989</v>
      </c>
    </row>
    <row r="815" spans="1:29">
      <c r="A815" s="318"/>
      <c r="B815" s="319"/>
      <c r="C815" s="318"/>
      <c r="D815" s="318"/>
      <c r="E815" s="319"/>
      <c r="F815" s="319"/>
      <c r="G815" s="318"/>
      <c r="H815" s="318"/>
      <c r="I815" s="318"/>
      <c r="J815" s="382" t="s">
        <v>389</v>
      </c>
      <c r="K815" s="321">
        <f>SUM(K776:K814)</f>
        <v>160.56999999999994</v>
      </c>
      <c r="L815" s="318"/>
      <c r="M815" s="318"/>
      <c r="N815" s="382" t="s">
        <v>389</v>
      </c>
      <c r="O815" s="748">
        <f>SUM(O776:O814)</f>
        <v>151.58999999999995</v>
      </c>
      <c r="P815" s="751" t="s">
        <v>389</v>
      </c>
      <c r="Q815" s="751"/>
      <c r="R815" s="382"/>
      <c r="S815" s="321">
        <f>SUM(S776:S814)</f>
        <v>151.58999999999995</v>
      </c>
      <c r="T815" s="319"/>
      <c r="V815" s="328"/>
      <c r="W815" s="321" t="s">
        <v>389</v>
      </c>
      <c r="X815" s="338">
        <f>SUM(X776:X814)</f>
        <v>134.44800000000004</v>
      </c>
      <c r="Y815" s="321" t="s">
        <v>389</v>
      </c>
      <c r="Z815" s="338">
        <f>SUM(Z776:Z814)</f>
        <v>125.46800000000003</v>
      </c>
      <c r="AB815" s="328"/>
      <c r="AC815" s="328"/>
    </row>
    <row r="816" spans="1:29" ht="6.75" customHeight="1">
      <c r="A816" s="316"/>
      <c r="B816" s="317"/>
      <c r="C816" s="316"/>
      <c r="D816" s="316"/>
      <c r="E816" s="317"/>
      <c r="F816" s="317"/>
      <c r="G816" s="316"/>
      <c r="H816" s="316"/>
      <c r="I816" s="316"/>
      <c r="J816" s="316"/>
      <c r="K816" s="316"/>
      <c r="L816" s="949"/>
      <c r="M816" s="949"/>
      <c r="N816" s="949"/>
      <c r="O816" s="749"/>
      <c r="P816" s="633"/>
      <c r="Q816" s="633"/>
      <c r="R816" s="949"/>
      <c r="S816" s="339"/>
      <c r="T816" s="317"/>
      <c r="V816" s="332"/>
      <c r="W816" s="316"/>
      <c r="X816" s="339"/>
      <c r="Y816" s="316"/>
      <c r="Z816" s="339"/>
      <c r="AB816" s="332"/>
      <c r="AC816" s="332"/>
    </row>
    <row r="817" spans="1:29">
      <c r="A817" s="318">
        <v>20</v>
      </c>
      <c r="B817" s="319" t="s">
        <v>383</v>
      </c>
      <c r="C817" s="318">
        <v>600</v>
      </c>
      <c r="D817" s="318">
        <v>25</v>
      </c>
      <c r="E817" s="319">
        <v>1</v>
      </c>
      <c r="F817" s="336"/>
      <c r="G817" s="318" t="s">
        <v>1246</v>
      </c>
      <c r="H817" s="318">
        <v>4.49</v>
      </c>
      <c r="I817" s="318">
        <v>1</v>
      </c>
      <c r="J817" s="318">
        <f t="shared" ref="J817:J855" si="259">IF(N817&gt;0,1,0)</f>
        <v>1</v>
      </c>
      <c r="K817" s="318">
        <f t="shared" ref="K817:K855" si="260">H817*J817</f>
        <v>4.49</v>
      </c>
      <c r="L817" s="350" t="s">
        <v>2777</v>
      </c>
      <c r="M817" s="471" t="s">
        <v>2850</v>
      </c>
      <c r="N817" s="318">
        <v>1</v>
      </c>
      <c r="O817" s="619">
        <f t="shared" ref="O817:O855" si="261">H817*N817</f>
        <v>4.49</v>
      </c>
      <c r="P817" s="750">
        <v>1</v>
      </c>
      <c r="Q817" s="750"/>
      <c r="R817" s="337">
        <v>1</v>
      </c>
      <c r="S817" s="348">
        <f>H817*R817</f>
        <v>4.49</v>
      </c>
      <c r="T817" s="319"/>
      <c r="V817" s="328">
        <v>4.49</v>
      </c>
      <c r="W817" s="320"/>
      <c r="X817" s="348">
        <f t="shared" ref="X817:X855" si="262">V817*W817</f>
        <v>0</v>
      </c>
      <c r="Y817" s="458"/>
      <c r="Z817" s="348">
        <f t="shared" ref="Z817:Z855" si="263">V817*Y817</f>
        <v>0</v>
      </c>
      <c r="AB817" s="328">
        <f t="shared" ref="AB817:AB855" si="264">X817-O817</f>
        <v>-4.49</v>
      </c>
      <c r="AC817" s="328">
        <f t="shared" ref="AC817:AC855" si="265">Z817-S817</f>
        <v>-4.49</v>
      </c>
    </row>
    <row r="818" spans="1:29">
      <c r="A818" s="318"/>
      <c r="B818" s="319"/>
      <c r="C818" s="318"/>
      <c r="D818" s="318"/>
      <c r="E818" s="319"/>
      <c r="F818" s="319"/>
      <c r="G818" s="318" t="s">
        <v>1247</v>
      </c>
      <c r="H818" s="318">
        <v>4.49</v>
      </c>
      <c r="I818" s="318">
        <v>1</v>
      </c>
      <c r="J818" s="318">
        <f t="shared" si="259"/>
        <v>1</v>
      </c>
      <c r="K818" s="318">
        <f t="shared" si="260"/>
        <v>4.49</v>
      </c>
      <c r="L818" s="350" t="s">
        <v>3101</v>
      </c>
      <c r="M818" s="349">
        <v>184237</v>
      </c>
      <c r="N818" s="318">
        <v>1</v>
      </c>
      <c r="O818" s="619">
        <f t="shared" si="261"/>
        <v>4.49</v>
      </c>
      <c r="P818" s="750">
        <v>1</v>
      </c>
      <c r="Q818" s="750"/>
      <c r="R818" s="337">
        <v>1</v>
      </c>
      <c r="S818" s="348">
        <f>H818*R818</f>
        <v>4.49</v>
      </c>
      <c r="T818" s="468"/>
      <c r="V818" s="328">
        <v>4.49</v>
      </c>
      <c r="W818" s="320"/>
      <c r="X818" s="454">
        <f t="shared" si="262"/>
        <v>0</v>
      </c>
      <c r="Y818" s="320"/>
      <c r="Z818" s="454">
        <f t="shared" si="263"/>
        <v>0</v>
      </c>
      <c r="AB818" s="328">
        <f t="shared" si="264"/>
        <v>-4.49</v>
      </c>
      <c r="AC818" s="328">
        <f t="shared" si="265"/>
        <v>-4.49</v>
      </c>
    </row>
    <row r="819" spans="1:29">
      <c r="A819" s="318"/>
      <c r="B819" s="319"/>
      <c r="C819" s="318"/>
      <c r="D819" s="318"/>
      <c r="E819" s="319"/>
      <c r="F819" s="319"/>
      <c r="G819" s="318" t="s">
        <v>1248</v>
      </c>
      <c r="H819" s="318">
        <v>4.49</v>
      </c>
      <c r="I819" s="318">
        <v>1</v>
      </c>
      <c r="J819" s="318">
        <f t="shared" si="259"/>
        <v>1</v>
      </c>
      <c r="K819" s="318">
        <f t="shared" si="260"/>
        <v>4.49</v>
      </c>
      <c r="L819" s="318">
        <v>1523</v>
      </c>
      <c r="M819" s="318">
        <v>128</v>
      </c>
      <c r="N819" s="318">
        <v>1</v>
      </c>
      <c r="O819" s="619">
        <f t="shared" si="261"/>
        <v>4.49</v>
      </c>
      <c r="P819" s="750">
        <v>1</v>
      </c>
      <c r="Q819" s="750"/>
      <c r="R819" s="337">
        <v>1</v>
      </c>
      <c r="S819" s="348">
        <f t="shared" ref="S819:S855" si="266">H819*R819</f>
        <v>4.49</v>
      </c>
      <c r="T819" s="319"/>
      <c r="V819" s="328">
        <v>4.49</v>
      </c>
      <c r="W819" s="320">
        <v>1</v>
      </c>
      <c r="X819" s="348">
        <f t="shared" si="262"/>
        <v>4.49</v>
      </c>
      <c r="Y819" s="330">
        <v>1</v>
      </c>
      <c r="Z819" s="348">
        <f t="shared" si="263"/>
        <v>4.49</v>
      </c>
      <c r="AB819" s="328">
        <f t="shared" si="264"/>
        <v>0</v>
      </c>
      <c r="AC819" s="328">
        <f t="shared" si="265"/>
        <v>0</v>
      </c>
    </row>
    <row r="820" spans="1:29">
      <c r="A820" s="318"/>
      <c r="B820" s="319"/>
      <c r="C820" s="318"/>
      <c r="D820" s="318"/>
      <c r="E820" s="319"/>
      <c r="F820" s="336"/>
      <c r="G820" s="318" t="s">
        <v>1249</v>
      </c>
      <c r="H820" s="318">
        <v>4.49</v>
      </c>
      <c r="I820" s="318">
        <v>1</v>
      </c>
      <c r="J820" s="318">
        <f t="shared" si="259"/>
        <v>1</v>
      </c>
      <c r="K820" s="318">
        <f t="shared" si="260"/>
        <v>4.49</v>
      </c>
      <c r="L820" s="318">
        <v>1496</v>
      </c>
      <c r="M820" s="318"/>
      <c r="N820" s="318">
        <v>1</v>
      </c>
      <c r="O820" s="619">
        <f t="shared" si="261"/>
        <v>4.49</v>
      </c>
      <c r="P820" s="750">
        <v>1</v>
      </c>
      <c r="Q820" s="750"/>
      <c r="R820" s="337">
        <v>1</v>
      </c>
      <c r="S820" s="348">
        <f t="shared" si="266"/>
        <v>4.49</v>
      </c>
      <c r="T820" s="319"/>
      <c r="V820" s="328">
        <v>4.49</v>
      </c>
      <c r="W820" s="320">
        <v>1</v>
      </c>
      <c r="X820" s="348">
        <f t="shared" si="262"/>
        <v>4.49</v>
      </c>
      <c r="Y820" s="330">
        <v>1</v>
      </c>
      <c r="Z820" s="348">
        <f t="shared" si="263"/>
        <v>4.49</v>
      </c>
      <c r="AB820" s="328">
        <f t="shared" si="264"/>
        <v>0</v>
      </c>
      <c r="AC820" s="328">
        <f t="shared" si="265"/>
        <v>0</v>
      </c>
    </row>
    <row r="821" spans="1:29">
      <c r="A821" s="318"/>
      <c r="B821" s="319"/>
      <c r="C821" s="318"/>
      <c r="D821" s="318"/>
      <c r="E821" s="319"/>
      <c r="F821" s="319"/>
      <c r="G821" s="318" t="s">
        <v>1250</v>
      </c>
      <c r="H821" s="318">
        <v>4.49</v>
      </c>
      <c r="I821" s="318">
        <v>1</v>
      </c>
      <c r="J821" s="318">
        <f t="shared" si="259"/>
        <v>1</v>
      </c>
      <c r="K821" s="318">
        <f t="shared" si="260"/>
        <v>4.49</v>
      </c>
      <c r="L821" s="318">
        <v>1496</v>
      </c>
      <c r="M821" s="318"/>
      <c r="N821" s="318">
        <v>1</v>
      </c>
      <c r="O821" s="619">
        <f t="shared" si="261"/>
        <v>4.49</v>
      </c>
      <c r="P821" s="750">
        <v>1</v>
      </c>
      <c r="Q821" s="750"/>
      <c r="R821" s="337">
        <v>1</v>
      </c>
      <c r="S821" s="348">
        <f t="shared" si="266"/>
        <v>4.49</v>
      </c>
      <c r="T821" s="319"/>
      <c r="V821" s="328">
        <v>4.49</v>
      </c>
      <c r="W821" s="320">
        <v>1</v>
      </c>
      <c r="X821" s="348">
        <f t="shared" si="262"/>
        <v>4.49</v>
      </c>
      <c r="Y821" s="330">
        <v>1</v>
      </c>
      <c r="Z821" s="348">
        <f t="shared" si="263"/>
        <v>4.49</v>
      </c>
      <c r="AB821" s="328">
        <f t="shared" si="264"/>
        <v>0</v>
      </c>
      <c r="AC821" s="328">
        <f t="shared" si="265"/>
        <v>0</v>
      </c>
    </row>
    <row r="822" spans="1:29">
      <c r="A822" s="318"/>
      <c r="B822" s="319"/>
      <c r="C822" s="318"/>
      <c r="D822" s="318"/>
      <c r="E822" s="319"/>
      <c r="F822" s="319"/>
      <c r="G822" s="318" t="s">
        <v>1251</v>
      </c>
      <c r="H822" s="318">
        <v>4.49</v>
      </c>
      <c r="I822" s="318">
        <v>1</v>
      </c>
      <c r="J822" s="318">
        <f t="shared" si="259"/>
        <v>1</v>
      </c>
      <c r="K822" s="318">
        <f t="shared" si="260"/>
        <v>4.49</v>
      </c>
      <c r="L822" s="318">
        <v>1492</v>
      </c>
      <c r="M822" s="318">
        <v>124</v>
      </c>
      <c r="N822" s="318">
        <v>1</v>
      </c>
      <c r="O822" s="619">
        <f t="shared" si="261"/>
        <v>4.49</v>
      </c>
      <c r="P822" s="750">
        <v>1</v>
      </c>
      <c r="Q822" s="750"/>
      <c r="R822" s="337">
        <v>1</v>
      </c>
      <c r="S822" s="348">
        <f t="shared" si="266"/>
        <v>4.49</v>
      </c>
      <c r="T822" s="319"/>
      <c r="V822" s="328">
        <v>4.49</v>
      </c>
      <c r="W822" s="320">
        <v>1</v>
      </c>
      <c r="X822" s="348">
        <f t="shared" si="262"/>
        <v>4.49</v>
      </c>
      <c r="Y822" s="330">
        <v>1</v>
      </c>
      <c r="Z822" s="348">
        <f t="shared" si="263"/>
        <v>4.49</v>
      </c>
      <c r="AB822" s="328">
        <f t="shared" si="264"/>
        <v>0</v>
      </c>
      <c r="AC822" s="328">
        <f t="shared" si="265"/>
        <v>0</v>
      </c>
    </row>
    <row r="823" spans="1:29">
      <c r="A823" s="318"/>
      <c r="B823" s="319"/>
      <c r="C823" s="318"/>
      <c r="D823" s="318"/>
      <c r="E823" s="319"/>
      <c r="F823" s="319"/>
      <c r="G823" s="318" t="s">
        <v>1252</v>
      </c>
      <c r="H823" s="318">
        <v>4.49</v>
      </c>
      <c r="I823" s="318">
        <v>1</v>
      </c>
      <c r="J823" s="318">
        <f t="shared" si="259"/>
        <v>1</v>
      </c>
      <c r="K823" s="318">
        <f t="shared" si="260"/>
        <v>4.49</v>
      </c>
      <c r="L823" s="318">
        <v>1523</v>
      </c>
      <c r="M823" s="318">
        <v>128</v>
      </c>
      <c r="N823" s="318">
        <v>1</v>
      </c>
      <c r="O823" s="619">
        <f t="shared" si="261"/>
        <v>4.49</v>
      </c>
      <c r="P823" s="750">
        <v>1</v>
      </c>
      <c r="Q823" s="750"/>
      <c r="R823" s="337">
        <v>1</v>
      </c>
      <c r="S823" s="348">
        <f t="shared" si="266"/>
        <v>4.49</v>
      </c>
      <c r="T823" s="319"/>
      <c r="V823" s="328">
        <v>4.49</v>
      </c>
      <c r="W823" s="320">
        <v>1</v>
      </c>
      <c r="X823" s="348">
        <f t="shared" si="262"/>
        <v>4.49</v>
      </c>
      <c r="Y823" s="330">
        <v>1</v>
      </c>
      <c r="Z823" s="348">
        <f t="shared" si="263"/>
        <v>4.49</v>
      </c>
      <c r="AB823" s="328">
        <f t="shared" si="264"/>
        <v>0</v>
      </c>
      <c r="AC823" s="328">
        <f t="shared" si="265"/>
        <v>0</v>
      </c>
    </row>
    <row r="824" spans="1:29">
      <c r="A824" s="318"/>
      <c r="B824" s="319"/>
      <c r="C824" s="318"/>
      <c r="D824" s="318"/>
      <c r="E824" s="319"/>
      <c r="F824" s="319"/>
      <c r="G824" s="318" t="s">
        <v>1253</v>
      </c>
      <c r="H824" s="318">
        <v>4.49</v>
      </c>
      <c r="I824" s="318">
        <v>1</v>
      </c>
      <c r="J824" s="318">
        <f t="shared" si="259"/>
        <v>1</v>
      </c>
      <c r="K824" s="318">
        <f t="shared" si="260"/>
        <v>4.49</v>
      </c>
      <c r="L824" s="318">
        <v>1526</v>
      </c>
      <c r="M824" s="318">
        <v>129</v>
      </c>
      <c r="N824" s="318">
        <v>1</v>
      </c>
      <c r="O824" s="619">
        <f t="shared" si="261"/>
        <v>4.49</v>
      </c>
      <c r="P824" s="750">
        <v>1</v>
      </c>
      <c r="Q824" s="750"/>
      <c r="R824" s="337">
        <v>1</v>
      </c>
      <c r="S824" s="348">
        <f t="shared" si="266"/>
        <v>4.49</v>
      </c>
      <c r="T824" s="319"/>
      <c r="V824" s="328">
        <v>4.49</v>
      </c>
      <c r="W824" s="320">
        <v>1</v>
      </c>
      <c r="X824" s="348">
        <f t="shared" si="262"/>
        <v>4.49</v>
      </c>
      <c r="Y824" s="330">
        <v>1</v>
      </c>
      <c r="Z824" s="348">
        <f t="shared" si="263"/>
        <v>4.49</v>
      </c>
      <c r="AB824" s="328">
        <f t="shared" si="264"/>
        <v>0</v>
      </c>
      <c r="AC824" s="328">
        <f t="shared" si="265"/>
        <v>0</v>
      </c>
    </row>
    <row r="825" spans="1:29" ht="14.4" customHeight="1">
      <c r="A825" s="318"/>
      <c r="B825" s="319"/>
      <c r="C825" s="318"/>
      <c r="D825" s="318"/>
      <c r="E825" s="319"/>
      <c r="F825" s="336"/>
      <c r="G825" s="318" t="s">
        <v>1254</v>
      </c>
      <c r="H825" s="318">
        <v>4.49</v>
      </c>
      <c r="I825" s="318">
        <v>1</v>
      </c>
      <c r="J825" s="318">
        <f t="shared" si="259"/>
        <v>1</v>
      </c>
      <c r="K825" s="318">
        <f t="shared" si="260"/>
        <v>4.49</v>
      </c>
      <c r="L825" s="318">
        <v>1523</v>
      </c>
      <c r="M825" s="318">
        <v>128</v>
      </c>
      <c r="N825" s="318">
        <v>1</v>
      </c>
      <c r="O825" s="619">
        <f t="shared" si="261"/>
        <v>4.49</v>
      </c>
      <c r="P825" s="750">
        <v>1</v>
      </c>
      <c r="Q825" s="750"/>
      <c r="R825" s="337">
        <v>1</v>
      </c>
      <c r="S825" s="348">
        <f t="shared" si="266"/>
        <v>4.49</v>
      </c>
      <c r="T825" s="319"/>
      <c r="V825" s="328">
        <v>4.49</v>
      </c>
      <c r="W825" s="320">
        <v>1</v>
      </c>
      <c r="X825" s="348">
        <f t="shared" si="262"/>
        <v>4.49</v>
      </c>
      <c r="Y825" s="330">
        <v>1</v>
      </c>
      <c r="Z825" s="348">
        <f t="shared" si="263"/>
        <v>4.49</v>
      </c>
      <c r="AB825" s="328">
        <f t="shared" si="264"/>
        <v>0</v>
      </c>
      <c r="AC825" s="328">
        <f t="shared" si="265"/>
        <v>0</v>
      </c>
    </row>
    <row r="826" spans="1:29">
      <c r="A826" s="318"/>
      <c r="B826" s="319"/>
      <c r="C826" s="318"/>
      <c r="D826" s="318"/>
      <c r="E826" s="319"/>
      <c r="F826" s="336"/>
      <c r="G826" s="318" t="s">
        <v>1255</v>
      </c>
      <c r="H826" s="318">
        <v>4.49</v>
      </c>
      <c r="I826" s="318">
        <v>1</v>
      </c>
      <c r="J826" s="318">
        <f t="shared" si="259"/>
        <v>1</v>
      </c>
      <c r="K826" s="318">
        <f t="shared" si="260"/>
        <v>4.49</v>
      </c>
      <c r="L826" s="318">
        <v>1525</v>
      </c>
      <c r="M826" s="318">
        <v>128</v>
      </c>
      <c r="N826" s="318">
        <v>1</v>
      </c>
      <c r="O826" s="619">
        <f t="shared" si="261"/>
        <v>4.49</v>
      </c>
      <c r="P826" s="750">
        <v>1</v>
      </c>
      <c r="Q826" s="750"/>
      <c r="R826" s="337">
        <v>1</v>
      </c>
      <c r="S826" s="348">
        <f t="shared" si="266"/>
        <v>4.49</v>
      </c>
      <c r="T826" s="319"/>
      <c r="V826" s="328">
        <v>4.49</v>
      </c>
      <c r="W826" s="320">
        <v>1</v>
      </c>
      <c r="X826" s="348">
        <f t="shared" si="262"/>
        <v>4.49</v>
      </c>
      <c r="Y826" s="330">
        <v>1</v>
      </c>
      <c r="Z826" s="348">
        <f t="shared" si="263"/>
        <v>4.49</v>
      </c>
      <c r="AB826" s="328">
        <f t="shared" si="264"/>
        <v>0</v>
      </c>
      <c r="AC826" s="328">
        <f t="shared" si="265"/>
        <v>0</v>
      </c>
    </row>
    <row r="827" spans="1:29">
      <c r="A827" s="318"/>
      <c r="B827" s="319"/>
      <c r="C827" s="318"/>
      <c r="D827" s="318"/>
      <c r="E827" s="319"/>
      <c r="F827" s="319"/>
      <c r="G827" s="318" t="s">
        <v>1256</v>
      </c>
      <c r="H827" s="318">
        <v>3.25</v>
      </c>
      <c r="I827" s="318">
        <v>1</v>
      </c>
      <c r="J827" s="318">
        <f t="shared" si="259"/>
        <v>1</v>
      </c>
      <c r="K827" s="318">
        <f t="shared" si="260"/>
        <v>3.25</v>
      </c>
      <c r="L827" s="318">
        <v>1529</v>
      </c>
      <c r="M827" s="318">
        <v>129</v>
      </c>
      <c r="N827" s="318">
        <v>1</v>
      </c>
      <c r="O827" s="619">
        <f t="shared" si="261"/>
        <v>3.25</v>
      </c>
      <c r="P827" s="750">
        <v>1</v>
      </c>
      <c r="Q827" s="750"/>
      <c r="R827" s="337">
        <v>1</v>
      </c>
      <c r="S827" s="348">
        <f t="shared" si="266"/>
        <v>3.25</v>
      </c>
      <c r="T827" s="319"/>
      <c r="V827" s="328">
        <v>3.238</v>
      </c>
      <c r="W827" s="320">
        <v>1</v>
      </c>
      <c r="X827" s="348">
        <f t="shared" si="262"/>
        <v>3.238</v>
      </c>
      <c r="Y827" s="330">
        <v>1</v>
      </c>
      <c r="Z827" s="348">
        <f t="shared" si="263"/>
        <v>3.238</v>
      </c>
      <c r="AB827" s="328">
        <f t="shared" si="264"/>
        <v>-1.2000000000000011E-2</v>
      </c>
      <c r="AC827" s="328">
        <f t="shared" si="265"/>
        <v>-1.2000000000000011E-2</v>
      </c>
    </row>
    <row r="828" spans="1:29">
      <c r="A828" s="318"/>
      <c r="B828" s="319"/>
      <c r="C828" s="318"/>
      <c r="D828" s="318"/>
      <c r="E828" s="319"/>
      <c r="F828" s="319"/>
      <c r="G828" s="318" t="s">
        <v>1257</v>
      </c>
      <c r="H828" s="318">
        <v>3.25</v>
      </c>
      <c r="I828" s="318">
        <v>1</v>
      </c>
      <c r="J828" s="318">
        <f t="shared" si="259"/>
        <v>1</v>
      </c>
      <c r="K828" s="318">
        <f t="shared" si="260"/>
        <v>3.25</v>
      </c>
      <c r="L828" s="318">
        <v>1525</v>
      </c>
      <c r="M828" s="318">
        <v>128</v>
      </c>
      <c r="N828" s="318">
        <v>1</v>
      </c>
      <c r="O828" s="619">
        <f t="shared" si="261"/>
        <v>3.25</v>
      </c>
      <c r="P828" s="750">
        <v>1</v>
      </c>
      <c r="Q828" s="750"/>
      <c r="R828" s="337">
        <v>1</v>
      </c>
      <c r="S828" s="348">
        <f t="shared" si="266"/>
        <v>3.25</v>
      </c>
      <c r="T828" s="319"/>
      <c r="V828" s="328">
        <v>3.238</v>
      </c>
      <c r="W828" s="320">
        <v>1</v>
      </c>
      <c r="X828" s="348">
        <f t="shared" si="262"/>
        <v>3.238</v>
      </c>
      <c r="Y828" s="330">
        <v>1</v>
      </c>
      <c r="Z828" s="348">
        <f t="shared" si="263"/>
        <v>3.238</v>
      </c>
      <c r="AB828" s="328">
        <f t="shared" si="264"/>
        <v>-1.2000000000000011E-2</v>
      </c>
      <c r="AC828" s="328">
        <f t="shared" si="265"/>
        <v>-1.2000000000000011E-2</v>
      </c>
    </row>
    <row r="829" spans="1:29">
      <c r="A829" s="318"/>
      <c r="B829" s="319"/>
      <c r="C829" s="318"/>
      <c r="D829" s="318"/>
      <c r="E829" s="319"/>
      <c r="F829" s="319" t="s">
        <v>721</v>
      </c>
      <c r="G829" s="318" t="s">
        <v>1258</v>
      </c>
      <c r="H829" s="318">
        <v>3.27</v>
      </c>
      <c r="I829" s="318">
        <v>1</v>
      </c>
      <c r="J829" s="318">
        <f t="shared" si="259"/>
        <v>1</v>
      </c>
      <c r="K829" s="318">
        <f t="shared" si="260"/>
        <v>3.27</v>
      </c>
      <c r="L829" s="318">
        <v>1583</v>
      </c>
      <c r="M829" s="318">
        <v>139</v>
      </c>
      <c r="N829" s="318">
        <v>1</v>
      </c>
      <c r="O829" s="619">
        <f t="shared" si="261"/>
        <v>3.27</v>
      </c>
      <c r="P829" s="750">
        <v>1</v>
      </c>
      <c r="Q829" s="750"/>
      <c r="R829" s="337">
        <v>1</v>
      </c>
      <c r="S829" s="348">
        <f t="shared" si="266"/>
        <v>3.27</v>
      </c>
      <c r="T829" s="319"/>
      <c r="V829" s="328">
        <v>3.258</v>
      </c>
      <c r="W829" s="320">
        <v>1</v>
      </c>
      <c r="X829" s="348">
        <f t="shared" si="262"/>
        <v>3.258</v>
      </c>
      <c r="Y829" s="330">
        <v>1</v>
      </c>
      <c r="Z829" s="348">
        <f t="shared" si="263"/>
        <v>3.258</v>
      </c>
      <c r="AB829" s="328">
        <f t="shared" si="264"/>
        <v>-1.2000000000000011E-2</v>
      </c>
      <c r="AC829" s="328">
        <f t="shared" si="265"/>
        <v>-1.2000000000000011E-2</v>
      </c>
    </row>
    <row r="830" spans="1:29">
      <c r="A830" s="318"/>
      <c r="B830" s="319"/>
      <c r="C830" s="318"/>
      <c r="D830" s="318"/>
      <c r="E830" s="319"/>
      <c r="F830" s="319" t="s">
        <v>721</v>
      </c>
      <c r="G830" s="318" t="s">
        <v>1259</v>
      </c>
      <c r="H830" s="318">
        <v>4.09</v>
      </c>
      <c r="I830" s="318">
        <v>1</v>
      </c>
      <c r="J830" s="318">
        <f t="shared" si="259"/>
        <v>1</v>
      </c>
      <c r="K830" s="318">
        <f t="shared" si="260"/>
        <v>4.09</v>
      </c>
      <c r="L830" s="318">
        <v>1583</v>
      </c>
      <c r="M830" s="318">
        <v>139</v>
      </c>
      <c r="N830" s="318">
        <v>1</v>
      </c>
      <c r="O830" s="619">
        <f t="shared" si="261"/>
        <v>4.09</v>
      </c>
      <c r="P830" s="750">
        <v>1</v>
      </c>
      <c r="Q830" s="750"/>
      <c r="R830" s="337">
        <v>1</v>
      </c>
      <c r="S830" s="348">
        <f t="shared" si="266"/>
        <v>4.09</v>
      </c>
      <c r="T830" s="319"/>
      <c r="V830" s="328">
        <f>3.258+0.82</f>
        <v>4.0780000000000003</v>
      </c>
      <c r="W830" s="320">
        <v>1</v>
      </c>
      <c r="X830" s="348">
        <f t="shared" si="262"/>
        <v>4.0780000000000003</v>
      </c>
      <c r="Y830" s="330">
        <v>1</v>
      </c>
      <c r="Z830" s="348">
        <f t="shared" si="263"/>
        <v>4.0780000000000003</v>
      </c>
      <c r="AB830" s="328">
        <f t="shared" si="264"/>
        <v>-1.1999999999999567E-2</v>
      </c>
      <c r="AC830" s="328">
        <f t="shared" si="265"/>
        <v>-1.1999999999999567E-2</v>
      </c>
    </row>
    <row r="831" spans="1:29">
      <c r="A831" s="318"/>
      <c r="B831" s="319"/>
      <c r="C831" s="318"/>
      <c r="D831" s="318"/>
      <c r="E831" s="319"/>
      <c r="F831" s="336"/>
      <c r="G831" s="318" t="s">
        <v>1260</v>
      </c>
      <c r="H831" s="318">
        <v>3.81</v>
      </c>
      <c r="I831" s="318">
        <v>1</v>
      </c>
      <c r="J831" s="318">
        <f t="shared" si="259"/>
        <v>1</v>
      </c>
      <c r="K831" s="318">
        <f t="shared" si="260"/>
        <v>3.81</v>
      </c>
      <c r="L831" s="318">
        <v>1503</v>
      </c>
      <c r="M831" s="318">
        <v>127</v>
      </c>
      <c r="N831" s="318">
        <v>1</v>
      </c>
      <c r="O831" s="619">
        <f t="shared" si="261"/>
        <v>3.81</v>
      </c>
      <c r="P831" s="750">
        <v>1</v>
      </c>
      <c r="Q831" s="750"/>
      <c r="R831" s="337">
        <v>1</v>
      </c>
      <c r="S831" s="348">
        <f t="shared" si="266"/>
        <v>3.81</v>
      </c>
      <c r="T831" s="319"/>
      <c r="V831" s="328">
        <v>3.802</v>
      </c>
      <c r="W831" s="320">
        <v>1</v>
      </c>
      <c r="X831" s="348">
        <f t="shared" si="262"/>
        <v>3.802</v>
      </c>
      <c r="Y831" s="330">
        <v>1</v>
      </c>
      <c r="Z831" s="348">
        <f t="shared" si="263"/>
        <v>3.802</v>
      </c>
      <c r="AB831" s="328">
        <f t="shared" si="264"/>
        <v>-8.0000000000000071E-3</v>
      </c>
      <c r="AC831" s="328">
        <f t="shared" si="265"/>
        <v>-8.0000000000000071E-3</v>
      </c>
    </row>
    <row r="832" spans="1:29">
      <c r="A832" s="318"/>
      <c r="B832" s="319"/>
      <c r="C832" s="318"/>
      <c r="D832" s="318"/>
      <c r="E832" s="319"/>
      <c r="F832" s="319"/>
      <c r="G832" s="318" t="s">
        <v>1261</v>
      </c>
      <c r="H832" s="318">
        <v>3.81</v>
      </c>
      <c r="I832" s="318">
        <v>1</v>
      </c>
      <c r="J832" s="318">
        <f t="shared" si="259"/>
        <v>1</v>
      </c>
      <c r="K832" s="318">
        <f t="shared" si="260"/>
        <v>3.81</v>
      </c>
      <c r="L832" s="318">
        <v>1583</v>
      </c>
      <c r="M832" s="318">
        <v>139</v>
      </c>
      <c r="N832" s="318">
        <v>1</v>
      </c>
      <c r="O832" s="619">
        <f t="shared" si="261"/>
        <v>3.81</v>
      </c>
      <c r="P832" s="750">
        <v>1</v>
      </c>
      <c r="Q832" s="750"/>
      <c r="R832" s="337">
        <v>1</v>
      </c>
      <c r="S832" s="348">
        <f t="shared" si="266"/>
        <v>3.81</v>
      </c>
      <c r="T832" s="319"/>
      <c r="V832" s="328">
        <v>3.802</v>
      </c>
      <c r="W832" s="320">
        <v>1</v>
      </c>
      <c r="X832" s="348">
        <f t="shared" si="262"/>
        <v>3.802</v>
      </c>
      <c r="Y832" s="330">
        <v>1</v>
      </c>
      <c r="Z832" s="348">
        <f t="shared" si="263"/>
        <v>3.802</v>
      </c>
      <c r="AB832" s="328">
        <f t="shared" si="264"/>
        <v>-8.0000000000000071E-3</v>
      </c>
      <c r="AC832" s="328">
        <f t="shared" si="265"/>
        <v>-8.0000000000000071E-3</v>
      </c>
    </row>
    <row r="833" spans="1:29">
      <c r="A833" s="318"/>
      <c r="B833" s="319"/>
      <c r="C833" s="318"/>
      <c r="D833" s="318"/>
      <c r="E833" s="319"/>
      <c r="F833" s="319"/>
      <c r="G833" s="318" t="s">
        <v>1262</v>
      </c>
      <c r="H833" s="318">
        <v>3.81</v>
      </c>
      <c r="I833" s="318">
        <v>1</v>
      </c>
      <c r="J833" s="318">
        <f t="shared" si="259"/>
        <v>1</v>
      </c>
      <c r="K833" s="318">
        <f t="shared" si="260"/>
        <v>3.81</v>
      </c>
      <c r="L833" s="318">
        <v>1502</v>
      </c>
      <c r="M833" s="318">
        <v>127</v>
      </c>
      <c r="N833" s="318">
        <v>1</v>
      </c>
      <c r="O833" s="619">
        <f t="shared" si="261"/>
        <v>3.81</v>
      </c>
      <c r="P833" s="750">
        <v>1</v>
      </c>
      <c r="Q833" s="750"/>
      <c r="R833" s="337">
        <v>1</v>
      </c>
      <c r="S833" s="348">
        <f t="shared" si="266"/>
        <v>3.81</v>
      </c>
      <c r="T833" s="319"/>
      <c r="V833" s="328">
        <v>3.802</v>
      </c>
      <c r="W833" s="320">
        <v>1</v>
      </c>
      <c r="X833" s="348">
        <f t="shared" si="262"/>
        <v>3.802</v>
      </c>
      <c r="Y833" s="330">
        <v>1</v>
      </c>
      <c r="Z833" s="348">
        <f t="shared" si="263"/>
        <v>3.802</v>
      </c>
      <c r="AB833" s="328">
        <f t="shared" si="264"/>
        <v>-8.0000000000000071E-3</v>
      </c>
      <c r="AC833" s="328">
        <f t="shared" si="265"/>
        <v>-8.0000000000000071E-3</v>
      </c>
    </row>
    <row r="834" spans="1:29">
      <c r="A834" s="318"/>
      <c r="B834" s="319"/>
      <c r="C834" s="318"/>
      <c r="D834" s="318"/>
      <c r="E834" s="319"/>
      <c r="F834" s="319"/>
      <c r="G834" s="318" t="s">
        <v>1263</v>
      </c>
      <c r="H834" s="318">
        <v>3.81</v>
      </c>
      <c r="I834" s="318">
        <v>1</v>
      </c>
      <c r="J834" s="318">
        <f t="shared" si="259"/>
        <v>1</v>
      </c>
      <c r="K834" s="318">
        <f t="shared" si="260"/>
        <v>3.81</v>
      </c>
      <c r="L834" s="318">
        <v>1583</v>
      </c>
      <c r="M834" s="318">
        <v>139</v>
      </c>
      <c r="N834" s="318">
        <v>1</v>
      </c>
      <c r="O834" s="619">
        <f t="shared" si="261"/>
        <v>3.81</v>
      </c>
      <c r="P834" s="750">
        <v>1</v>
      </c>
      <c r="Q834" s="750"/>
      <c r="R834" s="337">
        <v>1</v>
      </c>
      <c r="S834" s="348">
        <f t="shared" si="266"/>
        <v>3.81</v>
      </c>
      <c r="T834" s="319"/>
      <c r="V834" s="328">
        <v>3.802</v>
      </c>
      <c r="W834" s="320">
        <v>1</v>
      </c>
      <c r="X834" s="348">
        <f t="shared" si="262"/>
        <v>3.802</v>
      </c>
      <c r="Y834" s="330">
        <v>1</v>
      </c>
      <c r="Z834" s="348">
        <f t="shared" si="263"/>
        <v>3.802</v>
      </c>
      <c r="AB834" s="328">
        <f t="shared" si="264"/>
        <v>-8.0000000000000071E-3</v>
      </c>
      <c r="AC834" s="328">
        <f t="shared" si="265"/>
        <v>-8.0000000000000071E-3</v>
      </c>
    </row>
    <row r="835" spans="1:29">
      <c r="A835" s="318"/>
      <c r="B835" s="319"/>
      <c r="C835" s="318"/>
      <c r="D835" s="318"/>
      <c r="E835" s="319"/>
      <c r="F835" s="336"/>
      <c r="G835" s="318" t="s">
        <v>1264</v>
      </c>
      <c r="H835" s="318">
        <v>3.81</v>
      </c>
      <c r="I835" s="318">
        <v>1</v>
      </c>
      <c r="J835" s="318">
        <f t="shared" si="259"/>
        <v>1</v>
      </c>
      <c r="K835" s="318">
        <f t="shared" si="260"/>
        <v>3.81</v>
      </c>
      <c r="L835" s="318">
        <v>1720</v>
      </c>
      <c r="M835" s="318">
        <v>159</v>
      </c>
      <c r="N835" s="318">
        <v>1</v>
      </c>
      <c r="O835" s="619">
        <f t="shared" si="261"/>
        <v>3.81</v>
      </c>
      <c r="P835" s="750">
        <v>1</v>
      </c>
      <c r="Q835" s="750"/>
      <c r="R835" s="337">
        <v>1</v>
      </c>
      <c r="S835" s="348">
        <f t="shared" si="266"/>
        <v>3.81</v>
      </c>
      <c r="T835" s="319"/>
      <c r="V835" s="328">
        <v>3.802</v>
      </c>
      <c r="W835" s="320">
        <v>1</v>
      </c>
      <c r="X835" s="348">
        <f t="shared" si="262"/>
        <v>3.802</v>
      </c>
      <c r="Y835" s="330">
        <v>1</v>
      </c>
      <c r="Z835" s="348">
        <f t="shared" si="263"/>
        <v>3.802</v>
      </c>
      <c r="AB835" s="328">
        <f t="shared" si="264"/>
        <v>-8.0000000000000071E-3</v>
      </c>
      <c r="AC835" s="328">
        <f t="shared" si="265"/>
        <v>-8.0000000000000071E-3</v>
      </c>
    </row>
    <row r="836" spans="1:29">
      <c r="A836" s="318"/>
      <c r="B836" s="319"/>
      <c r="C836" s="318"/>
      <c r="D836" s="318"/>
      <c r="E836" s="319"/>
      <c r="F836" s="336" t="s">
        <v>1225</v>
      </c>
      <c r="G836" s="318" t="s">
        <v>1265</v>
      </c>
      <c r="H836" s="319">
        <v>2.19</v>
      </c>
      <c r="I836" s="318">
        <v>1</v>
      </c>
      <c r="J836" s="318">
        <f t="shared" si="259"/>
        <v>1</v>
      </c>
      <c r="K836" s="318">
        <f t="shared" si="260"/>
        <v>2.19</v>
      </c>
      <c r="L836" s="318">
        <v>1720</v>
      </c>
      <c r="M836" s="318">
        <v>159</v>
      </c>
      <c r="N836" s="318">
        <v>1</v>
      </c>
      <c r="O836" s="619">
        <f t="shared" si="261"/>
        <v>2.19</v>
      </c>
      <c r="P836" s="750">
        <v>1</v>
      </c>
      <c r="Q836" s="750"/>
      <c r="R836" s="337">
        <v>1</v>
      </c>
      <c r="S836" s="348">
        <f t="shared" si="266"/>
        <v>2.19</v>
      </c>
      <c r="T836" s="319"/>
      <c r="V836" s="333">
        <f>1.65+1.164</f>
        <v>2.8140000000000001</v>
      </c>
      <c r="W836" s="320">
        <v>1</v>
      </c>
      <c r="X836" s="348">
        <f t="shared" si="262"/>
        <v>2.8140000000000001</v>
      </c>
      <c r="Y836" s="330">
        <v>1</v>
      </c>
      <c r="Z836" s="348">
        <f t="shared" si="263"/>
        <v>2.8140000000000001</v>
      </c>
      <c r="AB836" s="333">
        <f t="shared" si="264"/>
        <v>0.62400000000000011</v>
      </c>
      <c r="AC836" s="333">
        <f t="shared" si="265"/>
        <v>0.62400000000000011</v>
      </c>
    </row>
    <row r="837" spans="1:29">
      <c r="A837" s="318"/>
      <c r="B837" s="319"/>
      <c r="C837" s="318"/>
      <c r="D837" s="318"/>
      <c r="E837" s="319"/>
      <c r="F837" s="336"/>
      <c r="G837" s="318" t="s">
        <v>1266</v>
      </c>
      <c r="H837" s="318">
        <v>4.49</v>
      </c>
      <c r="I837" s="318">
        <v>1</v>
      </c>
      <c r="J837" s="318">
        <f t="shared" si="259"/>
        <v>1</v>
      </c>
      <c r="K837" s="318">
        <f t="shared" si="260"/>
        <v>4.49</v>
      </c>
      <c r="L837" s="318">
        <v>1526</v>
      </c>
      <c r="M837" s="318">
        <v>129</v>
      </c>
      <c r="N837" s="318">
        <v>1</v>
      </c>
      <c r="O837" s="619">
        <f t="shared" si="261"/>
        <v>4.49</v>
      </c>
      <c r="P837" s="750">
        <v>1</v>
      </c>
      <c r="Q837" s="750"/>
      <c r="R837" s="337">
        <v>1</v>
      </c>
      <c r="S837" s="348">
        <f t="shared" si="266"/>
        <v>4.49</v>
      </c>
      <c r="T837" s="319"/>
      <c r="V837" s="328">
        <v>4.49</v>
      </c>
      <c r="W837" s="320">
        <v>1</v>
      </c>
      <c r="X837" s="348">
        <f t="shared" si="262"/>
        <v>4.49</v>
      </c>
      <c r="Y837" s="330">
        <v>1</v>
      </c>
      <c r="Z837" s="348">
        <f t="shared" si="263"/>
        <v>4.49</v>
      </c>
      <c r="AB837" s="328">
        <f t="shared" si="264"/>
        <v>0</v>
      </c>
      <c r="AC837" s="328">
        <f t="shared" si="265"/>
        <v>0</v>
      </c>
    </row>
    <row r="838" spans="1:29" ht="15" thickBot="1">
      <c r="A838" s="318"/>
      <c r="B838" s="319"/>
      <c r="C838" s="318"/>
      <c r="D838" s="318"/>
      <c r="E838" s="319"/>
      <c r="F838" s="336"/>
      <c r="G838" s="318" t="s">
        <v>1267</v>
      </c>
      <c r="H838" s="318">
        <v>4.49</v>
      </c>
      <c r="I838" s="318">
        <v>1</v>
      </c>
      <c r="J838" s="318">
        <f t="shared" si="259"/>
        <v>1</v>
      </c>
      <c r="K838" s="318">
        <f t="shared" si="260"/>
        <v>4.49</v>
      </c>
      <c r="L838" s="318">
        <v>1503</v>
      </c>
      <c r="M838" s="318">
        <v>127</v>
      </c>
      <c r="N838" s="318">
        <v>1</v>
      </c>
      <c r="O838" s="619">
        <f t="shared" si="261"/>
        <v>4.49</v>
      </c>
      <c r="P838" s="750">
        <v>1</v>
      </c>
      <c r="Q838" s="750"/>
      <c r="R838" s="592">
        <v>1</v>
      </c>
      <c r="S838" s="348">
        <f t="shared" si="266"/>
        <v>4.49</v>
      </c>
      <c r="T838" s="319"/>
      <c r="V838" s="328">
        <v>4.49</v>
      </c>
      <c r="W838" s="320">
        <v>1</v>
      </c>
      <c r="X838" s="348">
        <f t="shared" si="262"/>
        <v>4.49</v>
      </c>
      <c r="Y838" s="330">
        <v>1</v>
      </c>
      <c r="Z838" s="348">
        <f t="shared" si="263"/>
        <v>4.49</v>
      </c>
      <c r="AB838" s="328">
        <f t="shared" si="264"/>
        <v>0</v>
      </c>
      <c r="AC838" s="328">
        <f t="shared" si="265"/>
        <v>0</v>
      </c>
    </row>
    <row r="839" spans="1:29" ht="15.6" thickTop="1" thickBot="1">
      <c r="A839" s="318"/>
      <c r="B839" s="319"/>
      <c r="C839" s="318"/>
      <c r="D839" s="318"/>
      <c r="E839" s="319"/>
      <c r="F839" s="336"/>
      <c r="G839" s="652" t="s">
        <v>1268</v>
      </c>
      <c r="H839" s="318">
        <v>4.49</v>
      </c>
      <c r="I839" s="318">
        <v>1</v>
      </c>
      <c r="J839" s="318">
        <v>1</v>
      </c>
      <c r="K839" s="318">
        <f t="shared" si="260"/>
        <v>4.49</v>
      </c>
      <c r="L839" s="318"/>
      <c r="M839" s="318"/>
      <c r="N839" s="318"/>
      <c r="O839" s="619">
        <f t="shared" si="261"/>
        <v>0</v>
      </c>
      <c r="P839" s="750"/>
      <c r="Q839" s="747"/>
      <c r="R839" s="624"/>
      <c r="S839" s="348">
        <f t="shared" si="266"/>
        <v>0</v>
      </c>
      <c r="T839" s="319" t="s">
        <v>3351</v>
      </c>
      <c r="V839" s="328">
        <v>4.49</v>
      </c>
      <c r="W839" s="320"/>
      <c r="X839" s="348">
        <f t="shared" si="262"/>
        <v>0</v>
      </c>
      <c r="Y839" s="330"/>
      <c r="Z839" s="348">
        <f t="shared" si="263"/>
        <v>0</v>
      </c>
      <c r="AB839" s="328">
        <f t="shared" si="264"/>
        <v>0</v>
      </c>
      <c r="AC839" s="328">
        <f t="shared" si="265"/>
        <v>0</v>
      </c>
    </row>
    <row r="840" spans="1:29" ht="14.4" customHeight="1" thickTop="1" thickBot="1">
      <c r="A840" s="318"/>
      <c r="B840" s="319"/>
      <c r="C840" s="318"/>
      <c r="D840" s="318"/>
      <c r="E840" s="319"/>
      <c r="F840" s="336"/>
      <c r="G840" s="652" t="s">
        <v>1269</v>
      </c>
      <c r="H840" s="318">
        <v>4.49</v>
      </c>
      <c r="I840" s="318">
        <v>1</v>
      </c>
      <c r="J840" s="318">
        <v>1</v>
      </c>
      <c r="K840" s="318">
        <f t="shared" si="260"/>
        <v>4.49</v>
      </c>
      <c r="L840" s="318">
        <v>3094</v>
      </c>
      <c r="M840" s="318">
        <v>322</v>
      </c>
      <c r="N840" s="318">
        <v>1</v>
      </c>
      <c r="O840" s="619">
        <f t="shared" si="261"/>
        <v>4.49</v>
      </c>
      <c r="P840" s="750">
        <v>0.3</v>
      </c>
      <c r="Q840" s="772">
        <f>R840-P840</f>
        <v>0</v>
      </c>
      <c r="R840" s="624">
        <v>0.3</v>
      </c>
      <c r="S840" s="348">
        <f t="shared" si="266"/>
        <v>1.347</v>
      </c>
      <c r="T840" s="319" t="s">
        <v>3351</v>
      </c>
      <c r="V840" s="328">
        <v>4.49</v>
      </c>
      <c r="W840" s="320"/>
      <c r="X840" s="348">
        <f t="shared" si="262"/>
        <v>0</v>
      </c>
      <c r="Y840" s="330"/>
      <c r="Z840" s="348">
        <f t="shared" si="263"/>
        <v>0</v>
      </c>
      <c r="AB840" s="328">
        <f t="shared" si="264"/>
        <v>-4.49</v>
      </c>
      <c r="AC840" s="328">
        <f t="shared" si="265"/>
        <v>-1.347</v>
      </c>
    </row>
    <row r="841" spans="1:29" ht="15.6" thickTop="1" thickBot="1">
      <c r="A841" s="318"/>
      <c r="B841" s="319"/>
      <c r="C841" s="318"/>
      <c r="D841" s="318"/>
      <c r="E841" s="319"/>
      <c r="F841" s="336"/>
      <c r="G841" s="652" t="s">
        <v>1270</v>
      </c>
      <c r="H841" s="318">
        <v>4.49</v>
      </c>
      <c r="I841" s="318">
        <v>1</v>
      </c>
      <c r="J841" s="318">
        <v>1</v>
      </c>
      <c r="K841" s="318">
        <f t="shared" si="260"/>
        <v>4.49</v>
      </c>
      <c r="L841" s="318">
        <v>1706</v>
      </c>
      <c r="M841" s="318"/>
      <c r="N841" s="318">
        <v>1</v>
      </c>
      <c r="O841" s="619">
        <f t="shared" si="261"/>
        <v>4.49</v>
      </c>
      <c r="P841" s="750">
        <v>0.3</v>
      </c>
      <c r="Q841" s="772">
        <f>R841-P841</f>
        <v>0.7</v>
      </c>
      <c r="R841" s="1009">
        <v>1</v>
      </c>
      <c r="S841" s="348">
        <f t="shared" si="266"/>
        <v>4.49</v>
      </c>
      <c r="T841" s="319" t="s">
        <v>3351</v>
      </c>
      <c r="V841" s="328">
        <v>4.49</v>
      </c>
      <c r="W841" s="320"/>
      <c r="X841" s="348">
        <f t="shared" si="262"/>
        <v>0</v>
      </c>
      <c r="Y841" s="330"/>
      <c r="Z841" s="348">
        <f t="shared" si="263"/>
        <v>0</v>
      </c>
      <c r="AB841" s="328">
        <f t="shared" si="264"/>
        <v>-4.49</v>
      </c>
      <c r="AC841" s="328">
        <f t="shared" si="265"/>
        <v>-4.49</v>
      </c>
    </row>
    <row r="842" spans="1:29" ht="15.6" thickTop="1" thickBot="1">
      <c r="A842" s="318"/>
      <c r="B842" s="319"/>
      <c r="C842" s="318"/>
      <c r="D842" s="318"/>
      <c r="E842" s="319"/>
      <c r="F842" s="336"/>
      <c r="G842" s="652" t="s">
        <v>1271</v>
      </c>
      <c r="H842" s="318">
        <v>4.49</v>
      </c>
      <c r="I842" s="318">
        <v>1</v>
      </c>
      <c r="J842" s="318">
        <v>1</v>
      </c>
      <c r="K842" s="318">
        <f t="shared" si="260"/>
        <v>4.49</v>
      </c>
      <c r="L842" s="318">
        <v>1706</v>
      </c>
      <c r="M842" s="318"/>
      <c r="N842" s="318">
        <v>1</v>
      </c>
      <c r="O842" s="619">
        <f t="shared" si="261"/>
        <v>4.49</v>
      </c>
      <c r="P842" s="750">
        <v>1</v>
      </c>
      <c r="Q842" s="772">
        <f>R842-P842</f>
        <v>0</v>
      </c>
      <c r="R842" s="624">
        <v>1</v>
      </c>
      <c r="S842" s="348">
        <f t="shared" si="266"/>
        <v>4.49</v>
      </c>
      <c r="T842" s="319" t="s">
        <v>3351</v>
      </c>
      <c r="V842" s="328">
        <v>4.49</v>
      </c>
      <c r="W842" s="320"/>
      <c r="X842" s="348">
        <f t="shared" si="262"/>
        <v>0</v>
      </c>
      <c r="Y842" s="330"/>
      <c r="Z842" s="348">
        <f t="shared" si="263"/>
        <v>0</v>
      </c>
      <c r="AB842" s="328">
        <f t="shared" si="264"/>
        <v>-4.49</v>
      </c>
      <c r="AC842" s="328">
        <f t="shared" si="265"/>
        <v>-4.49</v>
      </c>
    </row>
    <row r="843" spans="1:29" ht="15.6" thickTop="1" thickBot="1">
      <c r="A843" s="318"/>
      <c r="B843" s="319"/>
      <c r="C843" s="318"/>
      <c r="D843" s="318"/>
      <c r="E843" s="319"/>
      <c r="F843" s="319"/>
      <c r="G843" s="652" t="s">
        <v>1272</v>
      </c>
      <c r="H843" s="318">
        <v>4.49</v>
      </c>
      <c r="I843" s="318">
        <v>1</v>
      </c>
      <c r="J843" s="318">
        <v>1</v>
      </c>
      <c r="K843" s="318">
        <f t="shared" si="260"/>
        <v>4.49</v>
      </c>
      <c r="L843" s="318"/>
      <c r="M843" s="318"/>
      <c r="N843" s="318">
        <v>0.3</v>
      </c>
      <c r="O843" s="619">
        <f t="shared" si="261"/>
        <v>1.347</v>
      </c>
      <c r="P843" s="750">
        <v>1</v>
      </c>
      <c r="Q843" s="772">
        <f>R843-P843</f>
        <v>0</v>
      </c>
      <c r="R843" s="624">
        <v>1</v>
      </c>
      <c r="S843" s="348">
        <f t="shared" si="266"/>
        <v>4.49</v>
      </c>
      <c r="T843" s="319" t="s">
        <v>3351</v>
      </c>
      <c r="V843" s="328">
        <v>4.49</v>
      </c>
      <c r="W843" s="320"/>
      <c r="X843" s="348">
        <f t="shared" si="262"/>
        <v>0</v>
      </c>
      <c r="Y843" s="330"/>
      <c r="Z843" s="348">
        <f t="shared" si="263"/>
        <v>0</v>
      </c>
      <c r="AB843" s="328">
        <f t="shared" si="264"/>
        <v>-1.347</v>
      </c>
      <c r="AC843" s="328">
        <f t="shared" si="265"/>
        <v>-4.49</v>
      </c>
    </row>
    <row r="844" spans="1:29" ht="15.6" thickTop="1" thickBot="1">
      <c r="A844" s="318"/>
      <c r="B844" s="319"/>
      <c r="C844" s="318"/>
      <c r="D844" s="318"/>
      <c r="E844" s="319"/>
      <c r="F844" s="336"/>
      <c r="G844" s="652" t="s">
        <v>1273</v>
      </c>
      <c r="H844" s="318">
        <v>4.49</v>
      </c>
      <c r="I844" s="318">
        <v>1</v>
      </c>
      <c r="J844" s="318">
        <v>1</v>
      </c>
      <c r="K844" s="318">
        <f t="shared" si="260"/>
        <v>4.49</v>
      </c>
      <c r="L844" s="318"/>
      <c r="M844" s="318"/>
      <c r="N844" s="318"/>
      <c r="O844" s="619">
        <f t="shared" si="261"/>
        <v>0</v>
      </c>
      <c r="P844" s="750"/>
      <c r="Q844" s="747"/>
      <c r="R844" s="624"/>
      <c r="S844" s="348">
        <f t="shared" si="266"/>
        <v>0</v>
      </c>
      <c r="T844" s="319" t="s">
        <v>3351</v>
      </c>
      <c r="V844" s="328">
        <v>4.49</v>
      </c>
      <c r="W844" s="320"/>
      <c r="X844" s="348">
        <f t="shared" si="262"/>
        <v>0</v>
      </c>
      <c r="Y844" s="330"/>
      <c r="Z844" s="348">
        <f t="shared" si="263"/>
        <v>0</v>
      </c>
      <c r="AB844" s="328">
        <f t="shared" si="264"/>
        <v>0</v>
      </c>
      <c r="AC844" s="328">
        <f t="shared" si="265"/>
        <v>0</v>
      </c>
    </row>
    <row r="845" spans="1:29" ht="15" thickTop="1">
      <c r="A845" s="318"/>
      <c r="B845" s="319"/>
      <c r="C845" s="318"/>
      <c r="D845" s="318"/>
      <c r="E845" s="319"/>
      <c r="F845" s="319"/>
      <c r="G845" s="318" t="s">
        <v>1274</v>
      </c>
      <c r="H845" s="318">
        <v>4.49</v>
      </c>
      <c r="I845" s="318">
        <v>1</v>
      </c>
      <c r="J845" s="318">
        <f t="shared" si="259"/>
        <v>1</v>
      </c>
      <c r="K845" s="318">
        <f t="shared" si="260"/>
        <v>4.49</v>
      </c>
      <c r="L845" s="350" t="s">
        <v>2783</v>
      </c>
      <c r="M845" s="318"/>
      <c r="N845" s="318">
        <v>1</v>
      </c>
      <c r="O845" s="619">
        <f t="shared" si="261"/>
        <v>4.49</v>
      </c>
      <c r="P845" s="750">
        <v>1</v>
      </c>
      <c r="Q845" s="750"/>
      <c r="R845" s="337">
        <v>1</v>
      </c>
      <c r="S845" s="348">
        <f t="shared" si="266"/>
        <v>4.49</v>
      </c>
      <c r="T845" s="319"/>
      <c r="V845" s="328">
        <v>4.49</v>
      </c>
      <c r="W845" s="320"/>
      <c r="X845" s="348">
        <f t="shared" si="262"/>
        <v>0</v>
      </c>
      <c r="Y845" s="330"/>
      <c r="Z845" s="348">
        <f t="shared" si="263"/>
        <v>0</v>
      </c>
      <c r="AB845" s="328">
        <f t="shared" si="264"/>
        <v>-4.49</v>
      </c>
      <c r="AC845" s="328">
        <f t="shared" si="265"/>
        <v>-4.49</v>
      </c>
    </row>
    <row r="846" spans="1:29">
      <c r="A846" s="318"/>
      <c r="B846" s="319"/>
      <c r="C846" s="318"/>
      <c r="D846" s="318"/>
      <c r="E846" s="319"/>
      <c r="F846" s="319"/>
      <c r="G846" s="318" t="s">
        <v>1275</v>
      </c>
      <c r="H846" s="318">
        <v>4.49</v>
      </c>
      <c r="I846" s="318">
        <v>1</v>
      </c>
      <c r="J846" s="318">
        <f t="shared" si="259"/>
        <v>1</v>
      </c>
      <c r="K846" s="318">
        <f t="shared" si="260"/>
        <v>4.49</v>
      </c>
      <c r="L846" s="318">
        <v>1526</v>
      </c>
      <c r="M846" s="318">
        <v>129</v>
      </c>
      <c r="N846" s="318">
        <v>1</v>
      </c>
      <c r="O846" s="619">
        <f t="shared" si="261"/>
        <v>4.49</v>
      </c>
      <c r="P846" s="750">
        <v>1</v>
      </c>
      <c r="Q846" s="750"/>
      <c r="R846" s="337">
        <v>1</v>
      </c>
      <c r="S846" s="348">
        <f t="shared" si="266"/>
        <v>4.49</v>
      </c>
      <c r="T846" s="319"/>
      <c r="V846" s="328">
        <v>4.49</v>
      </c>
      <c r="W846" s="320">
        <v>1</v>
      </c>
      <c r="X846" s="348">
        <f t="shared" si="262"/>
        <v>4.49</v>
      </c>
      <c r="Y846" s="330"/>
      <c r="Z846" s="348">
        <f t="shared" si="263"/>
        <v>0</v>
      </c>
      <c r="AB846" s="328">
        <f t="shared" si="264"/>
        <v>0</v>
      </c>
      <c r="AC846" s="328">
        <f t="shared" si="265"/>
        <v>-4.49</v>
      </c>
    </row>
    <row r="847" spans="1:29">
      <c r="A847" s="318"/>
      <c r="B847" s="319"/>
      <c r="C847" s="318"/>
      <c r="D847" s="318"/>
      <c r="E847" s="319"/>
      <c r="F847" s="319"/>
      <c r="G847" s="318" t="s">
        <v>1276</v>
      </c>
      <c r="H847" s="318">
        <v>3.32</v>
      </c>
      <c r="I847" s="318">
        <v>1</v>
      </c>
      <c r="J847" s="318">
        <f t="shared" si="259"/>
        <v>1</v>
      </c>
      <c r="K847" s="318">
        <f t="shared" si="260"/>
        <v>3.32</v>
      </c>
      <c r="L847" s="350" t="s">
        <v>3101</v>
      </c>
      <c r="M847" s="349">
        <v>184237</v>
      </c>
      <c r="N847" s="318">
        <v>1</v>
      </c>
      <c r="O847" s="619">
        <f t="shared" si="261"/>
        <v>3.32</v>
      </c>
      <c r="P847" s="750">
        <v>1</v>
      </c>
      <c r="Q847" s="750"/>
      <c r="R847" s="337">
        <v>1</v>
      </c>
      <c r="S847" s="348">
        <f t="shared" si="266"/>
        <v>3.32</v>
      </c>
      <c r="T847" s="319"/>
      <c r="V847" s="328">
        <v>3.3130000000000002</v>
      </c>
      <c r="W847" s="320"/>
      <c r="X847" s="348">
        <f t="shared" si="262"/>
        <v>0</v>
      </c>
      <c r="Y847" s="330"/>
      <c r="Z847" s="348">
        <f t="shared" si="263"/>
        <v>0</v>
      </c>
      <c r="AB847" s="328">
        <f t="shared" si="264"/>
        <v>-3.32</v>
      </c>
      <c r="AC847" s="328">
        <f t="shared" si="265"/>
        <v>-3.32</v>
      </c>
    </row>
    <row r="848" spans="1:29">
      <c r="A848" s="318"/>
      <c r="B848" s="319"/>
      <c r="C848" s="318"/>
      <c r="D848" s="318"/>
      <c r="E848" s="319"/>
      <c r="F848" s="319"/>
      <c r="G848" s="318" t="s">
        <v>1277</v>
      </c>
      <c r="H848" s="318">
        <v>3.32</v>
      </c>
      <c r="I848" s="318">
        <v>1</v>
      </c>
      <c r="J848" s="318">
        <f t="shared" si="259"/>
        <v>1</v>
      </c>
      <c r="K848" s="318">
        <f t="shared" si="260"/>
        <v>3.32</v>
      </c>
      <c r="L848" s="350" t="s">
        <v>2780</v>
      </c>
      <c r="M848" s="350" t="s">
        <v>2854</v>
      </c>
      <c r="N848" s="318">
        <v>1</v>
      </c>
      <c r="O848" s="619">
        <f t="shared" si="261"/>
        <v>3.32</v>
      </c>
      <c r="P848" s="750">
        <v>1</v>
      </c>
      <c r="Q848" s="750"/>
      <c r="R848" s="337">
        <v>1</v>
      </c>
      <c r="S848" s="348">
        <f t="shared" si="266"/>
        <v>3.32</v>
      </c>
      <c r="T848" s="319"/>
      <c r="V848" s="328">
        <v>3.3119999999999998</v>
      </c>
      <c r="W848" s="320"/>
      <c r="X848" s="348">
        <f t="shared" si="262"/>
        <v>0</v>
      </c>
      <c r="Y848" s="330"/>
      <c r="Z848" s="348">
        <f t="shared" si="263"/>
        <v>0</v>
      </c>
      <c r="AB848" s="328">
        <f t="shared" si="264"/>
        <v>-3.32</v>
      </c>
      <c r="AC848" s="328">
        <f t="shared" si="265"/>
        <v>-3.32</v>
      </c>
    </row>
    <row r="849" spans="1:29">
      <c r="A849" s="318"/>
      <c r="B849" s="319"/>
      <c r="C849" s="318"/>
      <c r="D849" s="318"/>
      <c r="E849" s="319"/>
      <c r="F849" s="319" t="s">
        <v>721</v>
      </c>
      <c r="G849" s="318" t="s">
        <v>1278</v>
      </c>
      <c r="H849" s="318">
        <v>3.27</v>
      </c>
      <c r="I849" s="318">
        <v>1</v>
      </c>
      <c r="J849" s="318">
        <f t="shared" si="259"/>
        <v>1</v>
      </c>
      <c r="K849" s="318">
        <f t="shared" si="260"/>
        <v>3.27</v>
      </c>
      <c r="L849" s="350" t="s">
        <v>2776</v>
      </c>
      <c r="M849" s="318">
        <v>195</v>
      </c>
      <c r="N849" s="318">
        <v>1</v>
      </c>
      <c r="O849" s="619">
        <f t="shared" si="261"/>
        <v>3.27</v>
      </c>
      <c r="P849" s="750">
        <v>1</v>
      </c>
      <c r="Q849" s="750"/>
      <c r="R849" s="337">
        <v>1</v>
      </c>
      <c r="S849" s="348">
        <f t="shared" si="266"/>
        <v>3.27</v>
      </c>
      <c r="T849" s="319"/>
      <c r="V849" s="328">
        <v>3.2559999999999998</v>
      </c>
      <c r="W849" s="320"/>
      <c r="X849" s="348">
        <f t="shared" si="262"/>
        <v>0</v>
      </c>
      <c r="Y849" s="330"/>
      <c r="Z849" s="348">
        <f t="shared" si="263"/>
        <v>0</v>
      </c>
      <c r="AB849" s="328">
        <f t="shared" si="264"/>
        <v>-3.27</v>
      </c>
      <c r="AC849" s="328">
        <f t="shared" si="265"/>
        <v>-3.27</v>
      </c>
    </row>
    <row r="850" spans="1:29">
      <c r="A850" s="318"/>
      <c r="B850" s="319"/>
      <c r="C850" s="318"/>
      <c r="D850" s="318"/>
      <c r="E850" s="319"/>
      <c r="F850" s="319" t="s">
        <v>721</v>
      </c>
      <c r="G850" s="318" t="s">
        <v>1279</v>
      </c>
      <c r="H850" s="318">
        <v>3.27</v>
      </c>
      <c r="I850" s="318">
        <v>1</v>
      </c>
      <c r="J850" s="318">
        <f t="shared" si="259"/>
        <v>1</v>
      </c>
      <c r="K850" s="318">
        <f t="shared" si="260"/>
        <v>3.27</v>
      </c>
      <c r="L850" s="350" t="s">
        <v>2775</v>
      </c>
      <c r="M850" s="350" t="s">
        <v>2848</v>
      </c>
      <c r="N850" s="318">
        <v>1</v>
      </c>
      <c r="O850" s="619">
        <f t="shared" si="261"/>
        <v>3.27</v>
      </c>
      <c r="P850" s="750">
        <v>1</v>
      </c>
      <c r="Q850" s="750"/>
      <c r="R850" s="337">
        <v>1</v>
      </c>
      <c r="S850" s="348">
        <f t="shared" si="266"/>
        <v>3.27</v>
      </c>
      <c r="T850" s="319"/>
      <c r="V850" s="328">
        <v>3.2559999999999998</v>
      </c>
      <c r="W850" s="320"/>
      <c r="X850" s="348">
        <f t="shared" si="262"/>
        <v>0</v>
      </c>
      <c r="Y850" s="330"/>
      <c r="Z850" s="348">
        <f t="shared" si="263"/>
        <v>0</v>
      </c>
      <c r="AB850" s="328">
        <f t="shared" si="264"/>
        <v>-3.27</v>
      </c>
      <c r="AC850" s="328">
        <f t="shared" si="265"/>
        <v>-3.27</v>
      </c>
    </row>
    <row r="851" spans="1:29">
      <c r="A851" s="318"/>
      <c r="B851" s="319"/>
      <c r="C851" s="318"/>
      <c r="D851" s="318"/>
      <c r="E851" s="319"/>
      <c r="F851" s="336"/>
      <c r="G851" s="318" t="s">
        <v>1280</v>
      </c>
      <c r="H851" s="318">
        <v>4.01</v>
      </c>
      <c r="I851" s="318">
        <v>1</v>
      </c>
      <c r="J851" s="318">
        <f t="shared" si="259"/>
        <v>1</v>
      </c>
      <c r="K851" s="318">
        <f t="shared" si="260"/>
        <v>4.01</v>
      </c>
      <c r="L851" s="350" t="s">
        <v>2778</v>
      </c>
      <c r="M851" s="350" t="s">
        <v>2849</v>
      </c>
      <c r="N851" s="318">
        <v>1</v>
      </c>
      <c r="O851" s="619">
        <f t="shared" si="261"/>
        <v>4.01</v>
      </c>
      <c r="P851" s="750">
        <v>1</v>
      </c>
      <c r="Q851" s="750"/>
      <c r="R851" s="337">
        <v>1</v>
      </c>
      <c r="S851" s="348">
        <f t="shared" si="266"/>
        <v>4.01</v>
      </c>
      <c r="T851" s="319"/>
      <c r="V851" s="328">
        <v>3.9950000000000001</v>
      </c>
      <c r="W851" s="320"/>
      <c r="X851" s="348">
        <f t="shared" si="262"/>
        <v>0</v>
      </c>
      <c r="Y851" s="330"/>
      <c r="Z851" s="348">
        <f t="shared" si="263"/>
        <v>0</v>
      </c>
      <c r="AB851" s="328">
        <f t="shared" si="264"/>
        <v>-4.01</v>
      </c>
      <c r="AC851" s="328">
        <f t="shared" si="265"/>
        <v>-4.01</v>
      </c>
    </row>
    <row r="852" spans="1:29">
      <c r="A852" s="318"/>
      <c r="B852" s="319"/>
      <c r="C852" s="318"/>
      <c r="D852" s="318"/>
      <c r="E852" s="319"/>
      <c r="F852" s="336"/>
      <c r="G852" s="318" t="s">
        <v>1281</v>
      </c>
      <c r="H852" s="318">
        <v>4.3499999999999996</v>
      </c>
      <c r="I852" s="318">
        <v>1</v>
      </c>
      <c r="J852" s="318">
        <f t="shared" si="259"/>
        <v>1</v>
      </c>
      <c r="K852" s="318">
        <f t="shared" si="260"/>
        <v>4.3499999999999996</v>
      </c>
      <c r="L852" s="350" t="s">
        <v>2784</v>
      </c>
      <c r="M852" s="350" t="s">
        <v>2858</v>
      </c>
      <c r="N852" s="318">
        <v>1</v>
      </c>
      <c r="O852" s="619">
        <f t="shared" si="261"/>
        <v>4.3499999999999996</v>
      </c>
      <c r="P852" s="750">
        <v>1</v>
      </c>
      <c r="Q852" s="750"/>
      <c r="R852" s="337">
        <v>1</v>
      </c>
      <c r="S852" s="348">
        <f t="shared" si="266"/>
        <v>4.3499999999999996</v>
      </c>
      <c r="T852" s="319"/>
      <c r="V852" s="328">
        <v>4.34</v>
      </c>
      <c r="W852" s="320"/>
      <c r="X852" s="348">
        <f t="shared" si="262"/>
        <v>0</v>
      </c>
      <c r="Y852" s="330"/>
      <c r="Z852" s="348">
        <f t="shared" si="263"/>
        <v>0</v>
      </c>
      <c r="AB852" s="328">
        <f t="shared" si="264"/>
        <v>-4.3499999999999996</v>
      </c>
      <c r="AC852" s="328">
        <f t="shared" si="265"/>
        <v>-4.3499999999999996</v>
      </c>
    </row>
    <row r="853" spans="1:29">
      <c r="A853" s="318"/>
      <c r="B853" s="319"/>
      <c r="C853" s="318"/>
      <c r="D853" s="318"/>
      <c r="E853" s="319"/>
      <c r="F853" s="336"/>
      <c r="G853" s="318" t="s">
        <v>1282</v>
      </c>
      <c r="H853" s="318">
        <v>4.3499999999999996</v>
      </c>
      <c r="I853" s="318">
        <v>1</v>
      </c>
      <c r="J853" s="318">
        <f t="shared" si="259"/>
        <v>1</v>
      </c>
      <c r="K853" s="318">
        <f t="shared" si="260"/>
        <v>4.3499999999999996</v>
      </c>
      <c r="L853" s="318">
        <v>1771</v>
      </c>
      <c r="M853" s="318">
        <v>162</v>
      </c>
      <c r="N853" s="318">
        <v>1</v>
      </c>
      <c r="O853" s="619">
        <f t="shared" si="261"/>
        <v>4.3499999999999996</v>
      </c>
      <c r="P853" s="750">
        <v>1</v>
      </c>
      <c r="Q853" s="750"/>
      <c r="R853" s="337">
        <v>1</v>
      </c>
      <c r="S853" s="348">
        <f t="shared" si="266"/>
        <v>4.3499999999999996</v>
      </c>
      <c r="T853" s="319"/>
      <c r="V853" s="328">
        <v>4.34</v>
      </c>
      <c r="W853" s="320">
        <v>1</v>
      </c>
      <c r="X853" s="348">
        <f t="shared" si="262"/>
        <v>4.34</v>
      </c>
      <c r="Y853" s="330">
        <v>1</v>
      </c>
      <c r="Z853" s="454">
        <f t="shared" si="263"/>
        <v>4.34</v>
      </c>
      <c r="AB853" s="328">
        <f t="shared" si="264"/>
        <v>-9.9999999999997868E-3</v>
      </c>
      <c r="AC853" s="328">
        <f t="shared" si="265"/>
        <v>-9.9999999999997868E-3</v>
      </c>
    </row>
    <row r="854" spans="1:29">
      <c r="A854" s="318"/>
      <c r="B854" s="319"/>
      <c r="C854" s="318"/>
      <c r="D854" s="318"/>
      <c r="E854" s="319"/>
      <c r="F854" s="336"/>
      <c r="G854" s="318" t="s">
        <v>1283</v>
      </c>
      <c r="H854" s="318">
        <v>4.3499999999999996</v>
      </c>
      <c r="I854" s="318">
        <v>1</v>
      </c>
      <c r="J854" s="318">
        <f t="shared" si="259"/>
        <v>1</v>
      </c>
      <c r="K854" s="318">
        <f t="shared" si="260"/>
        <v>4.3499999999999996</v>
      </c>
      <c r="L854" s="350" t="s">
        <v>2779</v>
      </c>
      <c r="M854" s="350" t="s">
        <v>2853</v>
      </c>
      <c r="N854" s="318">
        <v>1</v>
      </c>
      <c r="O854" s="619">
        <f t="shared" si="261"/>
        <v>4.3499999999999996</v>
      </c>
      <c r="P854" s="750">
        <v>1</v>
      </c>
      <c r="Q854" s="750"/>
      <c r="R854" s="337">
        <v>1</v>
      </c>
      <c r="S854" s="348">
        <f t="shared" si="266"/>
        <v>4.3499999999999996</v>
      </c>
      <c r="T854" s="319"/>
      <c r="V854" s="328">
        <v>4.34</v>
      </c>
      <c r="W854" s="320"/>
      <c r="X854" s="348">
        <f t="shared" si="262"/>
        <v>0</v>
      </c>
      <c r="Y854" s="330"/>
      <c r="Z854" s="348">
        <f t="shared" si="263"/>
        <v>0</v>
      </c>
      <c r="AB854" s="328">
        <f t="shared" si="264"/>
        <v>-4.3499999999999996</v>
      </c>
      <c r="AC854" s="328">
        <f t="shared" si="265"/>
        <v>-4.3499999999999996</v>
      </c>
    </row>
    <row r="855" spans="1:29">
      <c r="A855" s="318"/>
      <c r="B855" s="319"/>
      <c r="C855" s="318"/>
      <c r="D855" s="318"/>
      <c r="E855" s="319"/>
      <c r="F855" s="336" t="s">
        <v>1225</v>
      </c>
      <c r="G855" s="318" t="s">
        <v>1284</v>
      </c>
      <c r="H855" s="318">
        <v>5.17</v>
      </c>
      <c r="I855" s="318">
        <v>1</v>
      </c>
      <c r="J855" s="318">
        <f t="shared" si="259"/>
        <v>1</v>
      </c>
      <c r="K855" s="318">
        <f t="shared" si="260"/>
        <v>5.17</v>
      </c>
      <c r="L855" s="350" t="s">
        <v>2785</v>
      </c>
      <c r="M855" s="350" t="s">
        <v>2856</v>
      </c>
      <c r="N855" s="318">
        <v>1</v>
      </c>
      <c r="O855" s="619">
        <f t="shared" si="261"/>
        <v>5.17</v>
      </c>
      <c r="P855" s="750">
        <v>1</v>
      </c>
      <c r="Q855" s="750"/>
      <c r="R855" s="337">
        <v>1</v>
      </c>
      <c r="S855" s="348">
        <f t="shared" si="266"/>
        <v>5.17</v>
      </c>
      <c r="T855" s="319"/>
      <c r="V855" s="328">
        <f>3.995+1.805</f>
        <v>5.8</v>
      </c>
      <c r="W855" s="320"/>
      <c r="X855" s="348">
        <f t="shared" si="262"/>
        <v>0</v>
      </c>
      <c r="Y855" s="330"/>
      <c r="Z855" s="348">
        <f t="shared" si="263"/>
        <v>0</v>
      </c>
      <c r="AB855" s="328">
        <f t="shared" si="264"/>
        <v>-5.17</v>
      </c>
      <c r="AC855" s="328">
        <f t="shared" si="265"/>
        <v>-5.17</v>
      </c>
    </row>
    <row r="856" spans="1:29">
      <c r="A856" s="318"/>
      <c r="B856" s="319"/>
      <c r="C856" s="318"/>
      <c r="D856" s="318"/>
      <c r="E856" s="319"/>
      <c r="F856" s="319"/>
      <c r="G856" s="318"/>
      <c r="H856" s="318"/>
      <c r="I856" s="318"/>
      <c r="J856" s="382" t="s">
        <v>389</v>
      </c>
      <c r="K856" s="321">
        <f>SUM(K817:K855)</f>
        <v>160.30999999999995</v>
      </c>
      <c r="L856" s="318"/>
      <c r="M856" s="318"/>
      <c r="N856" s="382" t="s">
        <v>389</v>
      </c>
      <c r="O856" s="748">
        <f>SUM(O817:O855)</f>
        <v>148.18699999999993</v>
      </c>
      <c r="P856" s="751" t="s">
        <v>389</v>
      </c>
      <c r="Q856" s="751"/>
      <c r="R856" s="382"/>
      <c r="S856" s="321">
        <f>SUM(S817:S855)</f>
        <v>148.18699999999993</v>
      </c>
      <c r="T856" s="319"/>
      <c r="V856" s="328"/>
      <c r="W856" s="321" t="s">
        <v>389</v>
      </c>
      <c r="X856" s="338">
        <f>SUM(X817:X855)</f>
        <v>89.366</v>
      </c>
      <c r="Y856" s="321" t="s">
        <v>389</v>
      </c>
      <c r="Z856" s="338">
        <f>SUM(Z817:Z855)</f>
        <v>84.876000000000005</v>
      </c>
      <c r="AB856" s="328"/>
      <c r="AC856" s="328"/>
    </row>
    <row r="857" spans="1:29" ht="6.75" customHeight="1">
      <c r="A857" s="316"/>
      <c r="B857" s="317"/>
      <c r="C857" s="316"/>
      <c r="D857" s="316"/>
      <c r="E857" s="317"/>
      <c r="F857" s="317"/>
      <c r="G857" s="316"/>
      <c r="H857" s="316"/>
      <c r="I857" s="316"/>
      <c r="J857" s="316"/>
      <c r="K857" s="316"/>
      <c r="L857" s="949"/>
      <c r="M857" s="949"/>
      <c r="N857" s="949"/>
      <c r="O857" s="749"/>
      <c r="P857" s="633"/>
      <c r="Q857" s="633"/>
      <c r="R857" s="949"/>
      <c r="S857" s="339"/>
      <c r="T857" s="317"/>
      <c r="V857" s="332"/>
      <c r="W857" s="316"/>
      <c r="X857" s="339"/>
      <c r="Y857" s="316"/>
      <c r="Z857" s="339"/>
      <c r="AB857" s="332"/>
      <c r="AC857" s="332"/>
    </row>
    <row r="858" spans="1:29">
      <c r="A858" s="318">
        <v>21</v>
      </c>
      <c r="B858" s="319" t="s">
        <v>383</v>
      </c>
      <c r="C858" s="318">
        <v>600</v>
      </c>
      <c r="D858" s="318">
        <v>26</v>
      </c>
      <c r="E858" s="319">
        <v>1</v>
      </c>
      <c r="F858" s="336"/>
      <c r="G858" s="318" t="s">
        <v>1285</v>
      </c>
      <c r="H858" s="318">
        <v>2.04</v>
      </c>
      <c r="I858" s="318">
        <v>1</v>
      </c>
      <c r="J858" s="318">
        <f t="shared" ref="J858:J876" si="267">IF(N858&gt;0,1,0)</f>
        <v>1</v>
      </c>
      <c r="K858" s="318">
        <f t="shared" ref="K858:K877" si="268">H858*J858</f>
        <v>2.04</v>
      </c>
      <c r="L858" s="318">
        <v>1765</v>
      </c>
      <c r="M858" s="318">
        <v>162</v>
      </c>
      <c r="N858" s="318">
        <v>1</v>
      </c>
      <c r="O858" s="619">
        <f t="shared" ref="O858:O877" si="269">H858*N858</f>
        <v>2.04</v>
      </c>
      <c r="P858" s="750">
        <v>1</v>
      </c>
      <c r="Q858" s="750"/>
      <c r="R858" s="337">
        <v>1</v>
      </c>
      <c r="S858" s="348">
        <f>H858*R858</f>
        <v>2.04</v>
      </c>
      <c r="T858" s="319"/>
      <c r="V858" s="328">
        <v>2.355</v>
      </c>
      <c r="W858" s="320">
        <v>1</v>
      </c>
      <c r="X858" s="348">
        <f t="shared" ref="X858:X877" si="270">V858*W858</f>
        <v>2.355</v>
      </c>
      <c r="Y858" s="330">
        <v>1</v>
      </c>
      <c r="Z858" s="348">
        <f t="shared" ref="Z858:Z877" si="271">V858*Y858</f>
        <v>2.355</v>
      </c>
      <c r="AB858" s="328">
        <f t="shared" ref="AB858:AB877" si="272">X858-O858</f>
        <v>0.31499999999999995</v>
      </c>
      <c r="AC858" s="328">
        <f t="shared" ref="AC858:AC877" si="273">Z858-S858</f>
        <v>0.31499999999999995</v>
      </c>
    </row>
    <row r="859" spans="1:29">
      <c r="A859" s="318"/>
      <c r="B859" s="319"/>
      <c r="C859" s="318"/>
      <c r="D859" s="318"/>
      <c r="E859" s="319"/>
      <c r="F859" s="319"/>
      <c r="G859" s="318" t="s">
        <v>1286</v>
      </c>
      <c r="H859" s="318">
        <v>4.84</v>
      </c>
      <c r="I859" s="318">
        <v>1</v>
      </c>
      <c r="J859" s="318">
        <f t="shared" si="267"/>
        <v>1</v>
      </c>
      <c r="K859" s="318">
        <f t="shared" si="268"/>
        <v>4.84</v>
      </c>
      <c r="L859" s="318">
        <v>1765</v>
      </c>
      <c r="M859" s="318">
        <v>162</v>
      </c>
      <c r="N859" s="318">
        <v>1</v>
      </c>
      <c r="O859" s="619">
        <f t="shared" si="269"/>
        <v>4.84</v>
      </c>
      <c r="P859" s="750">
        <v>1</v>
      </c>
      <c r="Q859" s="750"/>
      <c r="R859" s="337">
        <v>1</v>
      </c>
      <c r="S859" s="348">
        <f>H859*R859</f>
        <v>4.84</v>
      </c>
      <c r="T859" s="319"/>
      <c r="V859" s="328">
        <v>5.15</v>
      </c>
      <c r="W859" s="320">
        <v>1</v>
      </c>
      <c r="X859" s="348">
        <f t="shared" si="270"/>
        <v>5.15</v>
      </c>
      <c r="Y859" s="330">
        <v>1</v>
      </c>
      <c r="Z859" s="348">
        <f t="shared" si="271"/>
        <v>5.15</v>
      </c>
      <c r="AB859" s="328">
        <f t="shared" si="272"/>
        <v>0.3100000000000005</v>
      </c>
      <c r="AC859" s="328">
        <f t="shared" si="273"/>
        <v>0.3100000000000005</v>
      </c>
    </row>
    <row r="860" spans="1:29">
      <c r="A860" s="318"/>
      <c r="B860" s="319"/>
      <c r="C860" s="318"/>
      <c r="D860" s="318"/>
      <c r="E860" s="319"/>
      <c r="F860" s="319"/>
      <c r="G860" s="318" t="s">
        <v>1287</v>
      </c>
      <c r="H860" s="318">
        <v>4.49</v>
      </c>
      <c r="I860" s="318">
        <v>1</v>
      </c>
      <c r="J860" s="318">
        <f t="shared" si="267"/>
        <v>1</v>
      </c>
      <c r="K860" s="318">
        <f t="shared" si="268"/>
        <v>4.49</v>
      </c>
      <c r="L860" s="318">
        <v>1564</v>
      </c>
      <c r="M860" s="318">
        <v>133</v>
      </c>
      <c r="N860" s="318">
        <v>1</v>
      </c>
      <c r="O860" s="619">
        <f t="shared" si="269"/>
        <v>4.49</v>
      </c>
      <c r="P860" s="750">
        <v>1</v>
      </c>
      <c r="Q860" s="750"/>
      <c r="R860" s="337">
        <v>1</v>
      </c>
      <c r="S860" s="348">
        <f t="shared" ref="S860:S883" si="274">H860*R860</f>
        <v>4.49</v>
      </c>
      <c r="T860" s="319"/>
      <c r="V860" s="328">
        <v>4.49</v>
      </c>
      <c r="W860" s="320">
        <v>1</v>
      </c>
      <c r="X860" s="348">
        <f t="shared" si="270"/>
        <v>4.49</v>
      </c>
      <c r="Y860" s="330">
        <v>1</v>
      </c>
      <c r="Z860" s="348">
        <f t="shared" si="271"/>
        <v>4.49</v>
      </c>
      <c r="AB860" s="328">
        <f t="shared" si="272"/>
        <v>0</v>
      </c>
      <c r="AC860" s="328">
        <f t="shared" si="273"/>
        <v>0</v>
      </c>
    </row>
    <row r="861" spans="1:29">
      <c r="A861" s="318"/>
      <c r="B861" s="319"/>
      <c r="C861" s="318"/>
      <c r="D861" s="318"/>
      <c r="E861" s="319"/>
      <c r="F861" s="336"/>
      <c r="G861" s="318" t="s">
        <v>1288</v>
      </c>
      <c r="H861" s="318">
        <v>4.49</v>
      </c>
      <c r="I861" s="318">
        <v>1</v>
      </c>
      <c r="J861" s="318">
        <f t="shared" si="267"/>
        <v>1</v>
      </c>
      <c r="K861" s="318">
        <f t="shared" si="268"/>
        <v>4.49</v>
      </c>
      <c r="L861" s="318">
        <v>1564</v>
      </c>
      <c r="M861" s="318">
        <v>133</v>
      </c>
      <c r="N861" s="318">
        <v>1</v>
      </c>
      <c r="O861" s="619">
        <f t="shared" si="269"/>
        <v>4.49</v>
      </c>
      <c r="P861" s="750">
        <v>1</v>
      </c>
      <c r="Q861" s="750"/>
      <c r="R861" s="337">
        <v>1</v>
      </c>
      <c r="S861" s="348">
        <f t="shared" si="274"/>
        <v>4.49</v>
      </c>
      <c r="T861" s="319"/>
      <c r="V861" s="328">
        <v>4.49</v>
      </c>
      <c r="W861" s="320">
        <v>1</v>
      </c>
      <c r="X861" s="348">
        <f t="shared" si="270"/>
        <v>4.49</v>
      </c>
      <c r="Y861" s="330">
        <v>1</v>
      </c>
      <c r="Z861" s="348">
        <f t="shared" si="271"/>
        <v>4.49</v>
      </c>
      <c r="AB861" s="328">
        <f t="shared" si="272"/>
        <v>0</v>
      </c>
      <c r="AC861" s="328">
        <f t="shared" si="273"/>
        <v>0</v>
      </c>
    </row>
    <row r="862" spans="1:29">
      <c r="A862" s="318"/>
      <c r="B862" s="319"/>
      <c r="C862" s="318"/>
      <c r="D862" s="318"/>
      <c r="E862" s="319"/>
      <c r="F862" s="319"/>
      <c r="G862" s="318" t="s">
        <v>1289</v>
      </c>
      <c r="H862" s="318">
        <v>4.49</v>
      </c>
      <c r="I862" s="318">
        <v>1</v>
      </c>
      <c r="J862" s="318">
        <f t="shared" si="267"/>
        <v>1</v>
      </c>
      <c r="K862" s="318">
        <f t="shared" si="268"/>
        <v>4.49</v>
      </c>
      <c r="L862" s="318">
        <v>1564</v>
      </c>
      <c r="M862" s="318">
        <v>133</v>
      </c>
      <c r="N862" s="318">
        <v>1</v>
      </c>
      <c r="O862" s="619">
        <f t="shared" si="269"/>
        <v>4.49</v>
      </c>
      <c r="P862" s="750">
        <v>1</v>
      </c>
      <c r="Q862" s="750"/>
      <c r="R862" s="337">
        <v>1</v>
      </c>
      <c r="S862" s="348">
        <f t="shared" si="274"/>
        <v>4.49</v>
      </c>
      <c r="T862" s="319"/>
      <c r="V862" s="328">
        <v>4.49</v>
      </c>
      <c r="W862" s="320">
        <v>1</v>
      </c>
      <c r="X862" s="348">
        <f t="shared" si="270"/>
        <v>4.49</v>
      </c>
      <c r="Y862" s="330">
        <v>1</v>
      </c>
      <c r="Z862" s="348">
        <f t="shared" si="271"/>
        <v>4.49</v>
      </c>
      <c r="AB862" s="328">
        <f t="shared" si="272"/>
        <v>0</v>
      </c>
      <c r="AC862" s="328">
        <f t="shared" si="273"/>
        <v>0</v>
      </c>
    </row>
    <row r="863" spans="1:29">
      <c r="A863" s="318"/>
      <c r="B863" s="319"/>
      <c r="C863" s="318"/>
      <c r="D863" s="318"/>
      <c r="E863" s="319"/>
      <c r="F863" s="319"/>
      <c r="G863" s="318" t="s">
        <v>1290</v>
      </c>
      <c r="H863" s="318">
        <v>4.49</v>
      </c>
      <c r="I863" s="318">
        <v>1</v>
      </c>
      <c r="J863" s="318">
        <f t="shared" si="267"/>
        <v>1</v>
      </c>
      <c r="K863" s="318">
        <f t="shared" si="268"/>
        <v>4.49</v>
      </c>
      <c r="L863" s="318">
        <v>1564</v>
      </c>
      <c r="M863" s="318">
        <v>133</v>
      </c>
      <c r="N863" s="318">
        <v>1</v>
      </c>
      <c r="O863" s="619">
        <f t="shared" si="269"/>
        <v>4.49</v>
      </c>
      <c r="P863" s="750">
        <v>1</v>
      </c>
      <c r="Q863" s="750"/>
      <c r="R863" s="337">
        <v>1</v>
      </c>
      <c r="S863" s="348">
        <f t="shared" si="274"/>
        <v>4.49</v>
      </c>
      <c r="T863" s="319"/>
      <c r="V863" s="328">
        <v>4.49</v>
      </c>
      <c r="W863" s="320">
        <v>1</v>
      </c>
      <c r="X863" s="348">
        <f t="shared" si="270"/>
        <v>4.49</v>
      </c>
      <c r="Y863" s="330">
        <v>1</v>
      </c>
      <c r="Z863" s="348">
        <f t="shared" si="271"/>
        <v>4.49</v>
      </c>
      <c r="AB863" s="328">
        <f t="shared" si="272"/>
        <v>0</v>
      </c>
      <c r="AC863" s="328">
        <f t="shared" si="273"/>
        <v>0</v>
      </c>
    </row>
    <row r="864" spans="1:29">
      <c r="A864" s="318"/>
      <c r="B864" s="319"/>
      <c r="C864" s="318"/>
      <c r="D864" s="318"/>
      <c r="E864" s="319"/>
      <c r="F864" s="319"/>
      <c r="G864" s="318" t="s">
        <v>1291</v>
      </c>
      <c r="H864" s="318">
        <v>4.49</v>
      </c>
      <c r="I864" s="318">
        <v>1</v>
      </c>
      <c r="J864" s="318">
        <f t="shared" si="267"/>
        <v>1</v>
      </c>
      <c r="K864" s="318">
        <f t="shared" si="268"/>
        <v>4.49</v>
      </c>
      <c r="L864" s="318">
        <v>1564</v>
      </c>
      <c r="M864" s="318">
        <v>133</v>
      </c>
      <c r="N864" s="318">
        <v>1</v>
      </c>
      <c r="O864" s="619">
        <f t="shared" si="269"/>
        <v>4.49</v>
      </c>
      <c r="P864" s="750">
        <v>1</v>
      </c>
      <c r="Q864" s="750"/>
      <c r="R864" s="337">
        <v>1</v>
      </c>
      <c r="S864" s="348">
        <f t="shared" si="274"/>
        <v>4.49</v>
      </c>
      <c r="T864" s="319"/>
      <c r="V864" s="328">
        <v>4.49</v>
      </c>
      <c r="W864" s="320">
        <v>1</v>
      </c>
      <c r="X864" s="348">
        <f t="shared" si="270"/>
        <v>4.49</v>
      </c>
      <c r="Y864" s="330">
        <v>1</v>
      </c>
      <c r="Z864" s="348">
        <f t="shared" si="271"/>
        <v>4.49</v>
      </c>
      <c r="AB864" s="328">
        <f t="shared" si="272"/>
        <v>0</v>
      </c>
      <c r="AC864" s="328">
        <f t="shared" si="273"/>
        <v>0</v>
      </c>
    </row>
    <row r="865" spans="1:29">
      <c r="A865" s="318"/>
      <c r="B865" s="319"/>
      <c r="C865" s="318"/>
      <c r="D865" s="318"/>
      <c r="E865" s="319"/>
      <c r="F865" s="319"/>
      <c r="G865" s="318" t="s">
        <v>1292</v>
      </c>
      <c r="H865" s="318">
        <v>3.25</v>
      </c>
      <c r="I865" s="318">
        <v>1</v>
      </c>
      <c r="J865" s="318">
        <f t="shared" si="267"/>
        <v>1</v>
      </c>
      <c r="K865" s="318">
        <f t="shared" si="268"/>
        <v>3.25</v>
      </c>
      <c r="L865" s="318">
        <v>1564</v>
      </c>
      <c r="M865" s="318">
        <v>133</v>
      </c>
      <c r="N865" s="318">
        <v>1</v>
      </c>
      <c r="O865" s="619">
        <f t="shared" si="269"/>
        <v>3.25</v>
      </c>
      <c r="P865" s="750">
        <v>1</v>
      </c>
      <c r="Q865" s="750"/>
      <c r="R865" s="337">
        <v>1</v>
      </c>
      <c r="S865" s="348">
        <f t="shared" si="274"/>
        <v>3.25</v>
      </c>
      <c r="T865" s="319"/>
      <c r="V865" s="328">
        <v>3.238</v>
      </c>
      <c r="W865" s="320">
        <v>1</v>
      </c>
      <c r="X865" s="348">
        <f t="shared" si="270"/>
        <v>3.238</v>
      </c>
      <c r="Y865" s="330">
        <v>1</v>
      </c>
      <c r="Z865" s="348">
        <f t="shared" si="271"/>
        <v>3.238</v>
      </c>
      <c r="AB865" s="328">
        <f t="shared" si="272"/>
        <v>-1.2000000000000011E-2</v>
      </c>
      <c r="AC865" s="328">
        <f t="shared" si="273"/>
        <v>-1.2000000000000011E-2</v>
      </c>
    </row>
    <row r="866" spans="1:29" ht="14.4" customHeight="1">
      <c r="A866" s="318"/>
      <c r="B866" s="319"/>
      <c r="C866" s="318"/>
      <c r="D866" s="318"/>
      <c r="E866" s="319"/>
      <c r="F866" s="336"/>
      <c r="G866" s="318" t="s">
        <v>1293</v>
      </c>
      <c r="H866" s="318">
        <v>3.25</v>
      </c>
      <c r="I866" s="318">
        <v>1</v>
      </c>
      <c r="J866" s="318">
        <f t="shared" si="267"/>
        <v>1</v>
      </c>
      <c r="K866" s="318">
        <f t="shared" si="268"/>
        <v>3.25</v>
      </c>
      <c r="L866" s="318">
        <v>1564</v>
      </c>
      <c r="M866" s="318">
        <v>133</v>
      </c>
      <c r="N866" s="318">
        <v>1</v>
      </c>
      <c r="O866" s="619">
        <f t="shared" si="269"/>
        <v>3.25</v>
      </c>
      <c r="P866" s="750">
        <v>1</v>
      </c>
      <c r="Q866" s="750"/>
      <c r="R866" s="337">
        <v>1</v>
      </c>
      <c r="S866" s="348">
        <f t="shared" si="274"/>
        <v>3.25</v>
      </c>
      <c r="T866" s="319"/>
      <c r="V866" s="328">
        <v>3.2370000000000001</v>
      </c>
      <c r="W866" s="320">
        <v>1</v>
      </c>
      <c r="X866" s="348">
        <f t="shared" si="270"/>
        <v>3.2370000000000001</v>
      </c>
      <c r="Y866" s="330">
        <v>1</v>
      </c>
      <c r="Z866" s="348">
        <f t="shared" si="271"/>
        <v>3.2370000000000001</v>
      </c>
      <c r="AB866" s="328">
        <f t="shared" si="272"/>
        <v>-1.2999999999999901E-2</v>
      </c>
      <c r="AC866" s="328">
        <f t="shared" si="273"/>
        <v>-1.2999999999999901E-2</v>
      </c>
    </row>
    <row r="867" spans="1:29">
      <c r="A867" s="318"/>
      <c r="B867" s="319"/>
      <c r="C867" s="318"/>
      <c r="D867" s="318"/>
      <c r="E867" s="319"/>
      <c r="F867" s="319" t="s">
        <v>721</v>
      </c>
      <c r="G867" s="318" t="s">
        <v>1294</v>
      </c>
      <c r="H867" s="318">
        <v>3.27</v>
      </c>
      <c r="I867" s="318">
        <v>1</v>
      </c>
      <c r="J867" s="318">
        <f t="shared" si="267"/>
        <v>1</v>
      </c>
      <c r="K867" s="318">
        <f t="shared" si="268"/>
        <v>3.27</v>
      </c>
      <c r="L867" s="318">
        <v>1787</v>
      </c>
      <c r="M867" s="318">
        <v>164</v>
      </c>
      <c r="N867" s="318">
        <v>1</v>
      </c>
      <c r="O867" s="619">
        <f t="shared" si="269"/>
        <v>3.27</v>
      </c>
      <c r="P867" s="750">
        <v>1</v>
      </c>
      <c r="Q867" s="750"/>
      <c r="R867" s="337">
        <v>1</v>
      </c>
      <c r="S867" s="348">
        <f t="shared" si="274"/>
        <v>3.27</v>
      </c>
      <c r="T867" s="319"/>
      <c r="V867" s="328">
        <v>3.258</v>
      </c>
      <c r="W867" s="320">
        <v>1</v>
      </c>
      <c r="X867" s="348">
        <f t="shared" si="270"/>
        <v>3.258</v>
      </c>
      <c r="Y867" s="330">
        <v>1</v>
      </c>
      <c r="Z867" s="348">
        <f t="shared" si="271"/>
        <v>3.258</v>
      </c>
      <c r="AB867" s="328">
        <f t="shared" si="272"/>
        <v>-1.2000000000000011E-2</v>
      </c>
      <c r="AC867" s="328">
        <f t="shared" si="273"/>
        <v>-1.2000000000000011E-2</v>
      </c>
    </row>
    <row r="868" spans="1:29">
      <c r="A868" s="318"/>
      <c r="B868" s="319"/>
      <c r="C868" s="318"/>
      <c r="D868" s="318"/>
      <c r="E868" s="319"/>
      <c r="F868" s="319" t="s">
        <v>721</v>
      </c>
      <c r="G868" s="318" t="s">
        <v>1295</v>
      </c>
      <c r="H868" s="318">
        <v>4.09</v>
      </c>
      <c r="I868" s="318">
        <v>1</v>
      </c>
      <c r="J868" s="318">
        <f t="shared" si="267"/>
        <v>1</v>
      </c>
      <c r="K868" s="318">
        <f t="shared" si="268"/>
        <v>4.09</v>
      </c>
      <c r="L868" s="350" t="s">
        <v>2596</v>
      </c>
      <c r="M868" s="350" t="s">
        <v>2597</v>
      </c>
      <c r="N868" s="318">
        <v>1</v>
      </c>
      <c r="O868" s="619">
        <f t="shared" si="269"/>
        <v>4.09</v>
      </c>
      <c r="P868" s="750">
        <v>1</v>
      </c>
      <c r="Q868" s="750"/>
      <c r="R868" s="337">
        <v>1</v>
      </c>
      <c r="S868" s="348">
        <f t="shared" si="274"/>
        <v>4.09</v>
      </c>
      <c r="T868" s="319"/>
      <c r="V868" s="328">
        <f>3.258+0.82</f>
        <v>4.0780000000000003</v>
      </c>
      <c r="W868" s="320">
        <v>1</v>
      </c>
      <c r="X868" s="348">
        <f t="shared" si="270"/>
        <v>4.0780000000000003</v>
      </c>
      <c r="Y868" s="330">
        <v>1</v>
      </c>
      <c r="Z868" s="348">
        <f t="shared" si="271"/>
        <v>4.0780000000000003</v>
      </c>
      <c r="AB868" s="328">
        <f t="shared" si="272"/>
        <v>-1.1999999999999567E-2</v>
      </c>
      <c r="AC868" s="328">
        <f t="shared" si="273"/>
        <v>-1.1999999999999567E-2</v>
      </c>
    </row>
    <row r="869" spans="1:29">
      <c r="A869" s="318"/>
      <c r="B869" s="319"/>
      <c r="C869" s="318"/>
      <c r="D869" s="318"/>
      <c r="E869" s="319"/>
      <c r="F869" s="319"/>
      <c r="G869" s="318" t="s">
        <v>1296</v>
      </c>
      <c r="H869" s="318">
        <v>3.81</v>
      </c>
      <c r="I869" s="318">
        <v>1</v>
      </c>
      <c r="J869" s="318">
        <f t="shared" si="267"/>
        <v>1</v>
      </c>
      <c r="K869" s="318">
        <f t="shared" si="268"/>
        <v>3.81</v>
      </c>
      <c r="L869" s="318">
        <v>1564</v>
      </c>
      <c r="M869" s="318">
        <v>133</v>
      </c>
      <c r="N869" s="318">
        <v>1</v>
      </c>
      <c r="O869" s="619">
        <f t="shared" si="269"/>
        <v>3.81</v>
      </c>
      <c r="P869" s="750">
        <v>1</v>
      </c>
      <c r="Q869" s="750"/>
      <c r="R869" s="337">
        <v>1</v>
      </c>
      <c r="S869" s="348">
        <f t="shared" si="274"/>
        <v>3.81</v>
      </c>
      <c r="T869" s="319"/>
      <c r="V869" s="328">
        <v>3.8029999999999999</v>
      </c>
      <c r="W869" s="320">
        <v>1</v>
      </c>
      <c r="X869" s="348">
        <f t="shared" si="270"/>
        <v>3.8029999999999999</v>
      </c>
      <c r="Y869" s="330">
        <v>1</v>
      </c>
      <c r="Z869" s="348">
        <f t="shared" si="271"/>
        <v>3.8029999999999999</v>
      </c>
      <c r="AB869" s="328">
        <f t="shared" si="272"/>
        <v>-7.0000000000001172E-3</v>
      </c>
      <c r="AC869" s="328">
        <f t="shared" si="273"/>
        <v>-7.0000000000001172E-3</v>
      </c>
    </row>
    <row r="870" spans="1:29">
      <c r="A870" s="318"/>
      <c r="B870" s="319"/>
      <c r="C870" s="318"/>
      <c r="D870" s="318"/>
      <c r="E870" s="319"/>
      <c r="F870" s="319"/>
      <c r="G870" s="318" t="s">
        <v>1297</v>
      </c>
      <c r="H870" s="318">
        <v>3.81</v>
      </c>
      <c r="I870" s="318">
        <v>1</v>
      </c>
      <c r="J870" s="318">
        <f t="shared" si="267"/>
        <v>1</v>
      </c>
      <c r="K870" s="318">
        <f t="shared" si="268"/>
        <v>3.81</v>
      </c>
      <c r="L870" s="318">
        <v>1564</v>
      </c>
      <c r="M870" s="318">
        <v>133</v>
      </c>
      <c r="N870" s="318">
        <v>1</v>
      </c>
      <c r="O870" s="619">
        <f t="shared" si="269"/>
        <v>3.81</v>
      </c>
      <c r="P870" s="750">
        <v>1</v>
      </c>
      <c r="Q870" s="750"/>
      <c r="R870" s="337">
        <v>1</v>
      </c>
      <c r="S870" s="348">
        <f t="shared" si="274"/>
        <v>3.81</v>
      </c>
      <c r="T870" s="319"/>
      <c r="V870" s="328">
        <v>3.802</v>
      </c>
      <c r="W870" s="320">
        <v>1</v>
      </c>
      <c r="X870" s="348">
        <f t="shared" si="270"/>
        <v>3.802</v>
      </c>
      <c r="Y870" s="330">
        <v>1</v>
      </c>
      <c r="Z870" s="348">
        <f t="shared" si="271"/>
        <v>3.802</v>
      </c>
      <c r="AB870" s="328">
        <f t="shared" si="272"/>
        <v>-8.0000000000000071E-3</v>
      </c>
      <c r="AC870" s="328">
        <f t="shared" si="273"/>
        <v>-8.0000000000000071E-3</v>
      </c>
    </row>
    <row r="871" spans="1:29">
      <c r="A871" s="318"/>
      <c r="B871" s="319"/>
      <c r="C871" s="318"/>
      <c r="D871" s="318"/>
      <c r="E871" s="319"/>
      <c r="F871" s="319"/>
      <c r="G871" s="318" t="s">
        <v>1298</v>
      </c>
      <c r="H871" s="318">
        <v>3.81</v>
      </c>
      <c r="I871" s="318">
        <v>1</v>
      </c>
      <c r="J871" s="318">
        <f t="shared" si="267"/>
        <v>1</v>
      </c>
      <c r="K871" s="318">
        <f t="shared" si="268"/>
        <v>3.81</v>
      </c>
      <c r="L871" s="318">
        <v>1564</v>
      </c>
      <c r="M871" s="318">
        <v>133</v>
      </c>
      <c r="N871" s="318">
        <v>1</v>
      </c>
      <c r="O871" s="619">
        <f t="shared" si="269"/>
        <v>3.81</v>
      </c>
      <c r="P871" s="750">
        <v>1</v>
      </c>
      <c r="Q871" s="750"/>
      <c r="R871" s="337">
        <v>1</v>
      </c>
      <c r="S871" s="348">
        <f t="shared" si="274"/>
        <v>3.81</v>
      </c>
      <c r="T871" s="319"/>
      <c r="V871" s="328">
        <f>3.258+0.82</f>
        <v>4.0780000000000003</v>
      </c>
      <c r="W871" s="320">
        <v>1</v>
      </c>
      <c r="X871" s="348">
        <f t="shared" si="270"/>
        <v>4.0780000000000003</v>
      </c>
      <c r="Y871" s="330">
        <v>1</v>
      </c>
      <c r="Z871" s="348">
        <f t="shared" si="271"/>
        <v>4.0780000000000003</v>
      </c>
      <c r="AB871" s="328">
        <f t="shared" si="272"/>
        <v>0.26800000000000024</v>
      </c>
      <c r="AC871" s="328">
        <f t="shared" si="273"/>
        <v>0.26800000000000024</v>
      </c>
    </row>
    <row r="872" spans="1:29">
      <c r="A872" s="318"/>
      <c r="B872" s="319"/>
      <c r="C872" s="318"/>
      <c r="D872" s="318"/>
      <c r="E872" s="319"/>
      <c r="F872" s="336"/>
      <c r="G872" s="318" t="s">
        <v>1299</v>
      </c>
      <c r="H872" s="318">
        <v>3.81</v>
      </c>
      <c r="I872" s="318">
        <v>1</v>
      </c>
      <c r="J872" s="318">
        <f t="shared" si="267"/>
        <v>1</v>
      </c>
      <c r="K872" s="318">
        <f t="shared" si="268"/>
        <v>3.81</v>
      </c>
      <c r="L872" s="318">
        <v>1787</v>
      </c>
      <c r="M872" s="318">
        <v>164</v>
      </c>
      <c r="N872" s="318">
        <v>1</v>
      </c>
      <c r="O872" s="619">
        <f t="shared" si="269"/>
        <v>3.81</v>
      </c>
      <c r="P872" s="750">
        <v>1</v>
      </c>
      <c r="Q872" s="750"/>
      <c r="R872" s="337">
        <v>1</v>
      </c>
      <c r="S872" s="348">
        <f t="shared" si="274"/>
        <v>3.81</v>
      </c>
      <c r="T872" s="319"/>
      <c r="V872" s="328">
        <v>3.802</v>
      </c>
      <c r="W872" s="320">
        <v>1</v>
      </c>
      <c r="X872" s="348">
        <f t="shared" si="270"/>
        <v>3.802</v>
      </c>
      <c r="Y872" s="330">
        <v>1</v>
      </c>
      <c r="Z872" s="348">
        <f t="shared" si="271"/>
        <v>3.802</v>
      </c>
      <c r="AB872" s="328">
        <f t="shared" si="272"/>
        <v>-8.0000000000000071E-3</v>
      </c>
      <c r="AC872" s="328">
        <f t="shared" si="273"/>
        <v>-8.0000000000000071E-3</v>
      </c>
    </row>
    <row r="873" spans="1:29">
      <c r="A873" s="318"/>
      <c r="B873" s="319"/>
      <c r="C873" s="318"/>
      <c r="D873" s="318"/>
      <c r="E873" s="319"/>
      <c r="F873" s="319"/>
      <c r="G873" s="318" t="s">
        <v>1300</v>
      </c>
      <c r="H873" s="318">
        <v>3.81</v>
      </c>
      <c r="I873" s="318">
        <v>1</v>
      </c>
      <c r="J873" s="318">
        <f t="shared" si="267"/>
        <v>1</v>
      </c>
      <c r="K873" s="318">
        <f t="shared" si="268"/>
        <v>3.81</v>
      </c>
      <c r="L873" s="318">
        <v>1787</v>
      </c>
      <c r="M873" s="318">
        <v>164</v>
      </c>
      <c r="N873" s="318">
        <v>1</v>
      </c>
      <c r="O873" s="619">
        <f t="shared" si="269"/>
        <v>3.81</v>
      </c>
      <c r="P873" s="750">
        <v>1</v>
      </c>
      <c r="Q873" s="750"/>
      <c r="R873" s="337">
        <v>1</v>
      </c>
      <c r="S873" s="348">
        <f t="shared" si="274"/>
        <v>3.81</v>
      </c>
      <c r="T873" s="319"/>
      <c r="V873" s="328">
        <v>3.802</v>
      </c>
      <c r="W873" s="320">
        <v>1</v>
      </c>
      <c r="X873" s="348">
        <f t="shared" si="270"/>
        <v>3.802</v>
      </c>
      <c r="Y873" s="330">
        <v>1</v>
      </c>
      <c r="Z873" s="348">
        <f t="shared" si="271"/>
        <v>3.802</v>
      </c>
      <c r="AB873" s="328">
        <f t="shared" si="272"/>
        <v>-8.0000000000000071E-3</v>
      </c>
      <c r="AC873" s="328">
        <f t="shared" si="273"/>
        <v>-8.0000000000000071E-3</v>
      </c>
    </row>
    <row r="874" spans="1:29">
      <c r="A874" s="318"/>
      <c r="B874" s="319"/>
      <c r="C874" s="318"/>
      <c r="D874" s="318"/>
      <c r="E874" s="319"/>
      <c r="F874" s="319"/>
      <c r="G874" s="318" t="s">
        <v>1301</v>
      </c>
      <c r="H874" s="318">
        <v>2.19</v>
      </c>
      <c r="I874" s="318">
        <v>1</v>
      </c>
      <c r="J874" s="318">
        <f t="shared" si="267"/>
        <v>1</v>
      </c>
      <c r="K874" s="318">
        <f t="shared" si="268"/>
        <v>2.19</v>
      </c>
      <c r="L874" s="318">
        <v>1540</v>
      </c>
      <c r="M874" s="318">
        <v>130</v>
      </c>
      <c r="N874" s="318">
        <v>1</v>
      </c>
      <c r="O874" s="619">
        <f t="shared" si="269"/>
        <v>2.19</v>
      </c>
      <c r="P874" s="750">
        <v>1</v>
      </c>
      <c r="Q874" s="750"/>
      <c r="R874" s="337">
        <v>1</v>
      </c>
      <c r="S874" s="348">
        <f t="shared" si="274"/>
        <v>2.19</v>
      </c>
      <c r="T874" s="319"/>
      <c r="V874" s="328">
        <f>1.642+1.157</f>
        <v>2.7989999999999999</v>
      </c>
      <c r="W874" s="320">
        <v>1</v>
      </c>
      <c r="X874" s="348">
        <f t="shared" si="270"/>
        <v>2.7989999999999999</v>
      </c>
      <c r="Y874" s="330">
        <v>1</v>
      </c>
      <c r="Z874" s="348">
        <f t="shared" si="271"/>
        <v>2.7989999999999999</v>
      </c>
      <c r="AB874" s="328">
        <f t="shared" si="272"/>
        <v>0.60899999999999999</v>
      </c>
      <c r="AC874" s="328">
        <f t="shared" si="273"/>
        <v>0.60899999999999999</v>
      </c>
    </row>
    <row r="875" spans="1:29" ht="15" thickBot="1">
      <c r="A875" s="318"/>
      <c r="B875" s="319"/>
      <c r="C875" s="318"/>
      <c r="D875" s="318"/>
      <c r="E875" s="319"/>
      <c r="F875" s="319"/>
      <c r="G875" s="318" t="s">
        <v>1302</v>
      </c>
      <c r="H875" s="318">
        <v>4.49</v>
      </c>
      <c r="I875" s="318">
        <v>1</v>
      </c>
      <c r="J875" s="318">
        <f t="shared" si="267"/>
        <v>1</v>
      </c>
      <c r="K875" s="318">
        <f t="shared" si="268"/>
        <v>4.49</v>
      </c>
      <c r="L875" s="318">
        <v>1564</v>
      </c>
      <c r="M875" s="318">
        <v>133</v>
      </c>
      <c r="N875" s="318">
        <v>1</v>
      </c>
      <c r="O875" s="619">
        <f t="shared" si="269"/>
        <v>4.49</v>
      </c>
      <c r="P875" s="750">
        <v>1</v>
      </c>
      <c r="Q875" s="750"/>
      <c r="R875" s="592">
        <v>1</v>
      </c>
      <c r="S875" s="348">
        <f t="shared" si="274"/>
        <v>4.49</v>
      </c>
      <c r="T875" s="319"/>
      <c r="V875" s="328">
        <v>4.49</v>
      </c>
      <c r="W875" s="320">
        <v>1</v>
      </c>
      <c r="X875" s="348">
        <f t="shared" si="270"/>
        <v>4.49</v>
      </c>
      <c r="Y875" s="330">
        <v>1</v>
      </c>
      <c r="Z875" s="348">
        <f t="shared" si="271"/>
        <v>4.49</v>
      </c>
      <c r="AB875" s="328">
        <f t="shared" si="272"/>
        <v>0</v>
      </c>
      <c r="AC875" s="328">
        <f t="shared" si="273"/>
        <v>0</v>
      </c>
    </row>
    <row r="876" spans="1:29" ht="15.6" thickTop="1" thickBot="1">
      <c r="A876" s="318"/>
      <c r="B876" s="319"/>
      <c r="C876" s="318"/>
      <c r="D876" s="318"/>
      <c r="E876" s="319"/>
      <c r="F876" s="336"/>
      <c r="G876" s="318" t="s">
        <v>1303</v>
      </c>
      <c r="H876" s="318">
        <v>4.49</v>
      </c>
      <c r="I876" s="318">
        <v>1</v>
      </c>
      <c r="J876" s="318">
        <f t="shared" si="267"/>
        <v>1</v>
      </c>
      <c r="K876" s="318">
        <f t="shared" si="268"/>
        <v>4.49</v>
      </c>
      <c r="L876" s="350" t="s">
        <v>3277</v>
      </c>
      <c r="M876" s="318">
        <v>133</v>
      </c>
      <c r="N876" s="318">
        <v>1</v>
      </c>
      <c r="O876" s="619">
        <f t="shared" si="269"/>
        <v>4.49</v>
      </c>
      <c r="P876" s="755"/>
      <c r="Q876" s="747"/>
      <c r="R876" s="624"/>
      <c r="S876" s="348">
        <f t="shared" si="274"/>
        <v>0</v>
      </c>
      <c r="T876" s="319" t="s">
        <v>3395</v>
      </c>
      <c r="V876" s="328">
        <v>4.49</v>
      </c>
      <c r="W876" s="320">
        <v>1</v>
      </c>
      <c r="X876" s="348">
        <f t="shared" si="270"/>
        <v>4.49</v>
      </c>
      <c r="Y876" s="330">
        <v>1</v>
      </c>
      <c r="Z876" s="348">
        <f t="shared" si="271"/>
        <v>4.49</v>
      </c>
      <c r="AB876" s="328">
        <f t="shared" si="272"/>
        <v>0</v>
      </c>
      <c r="AC876" s="328">
        <f t="shared" si="273"/>
        <v>4.49</v>
      </c>
    </row>
    <row r="877" spans="1:29" ht="21.6" thickTop="1" thickBot="1">
      <c r="A877" s="318"/>
      <c r="B877" s="319"/>
      <c r="C877" s="318"/>
      <c r="D877" s="318"/>
      <c r="E877" s="319"/>
      <c r="F877" s="336" t="s">
        <v>604</v>
      </c>
      <c r="G877" s="318" t="s">
        <v>1304</v>
      </c>
      <c r="H877" s="318">
        <v>4.8</v>
      </c>
      <c r="I877" s="318">
        <v>1</v>
      </c>
      <c r="J877" s="318">
        <v>1</v>
      </c>
      <c r="K877" s="318">
        <f t="shared" si="268"/>
        <v>4.8</v>
      </c>
      <c r="L877" s="350" t="s">
        <v>3254</v>
      </c>
      <c r="M877" s="350" t="s">
        <v>3248</v>
      </c>
      <c r="N877" s="318">
        <v>1</v>
      </c>
      <c r="O877" s="619">
        <f t="shared" si="269"/>
        <v>4.8</v>
      </c>
      <c r="P877" s="755"/>
      <c r="Q877" s="747"/>
      <c r="R877" s="624"/>
      <c r="S877" s="348">
        <f t="shared" si="274"/>
        <v>0</v>
      </c>
      <c r="T877" s="319"/>
      <c r="V877" s="328">
        <v>4.49</v>
      </c>
      <c r="W877" s="320"/>
      <c r="X877" s="348">
        <f t="shared" si="270"/>
        <v>0</v>
      </c>
      <c r="Y877" s="330"/>
      <c r="Z877" s="348">
        <f t="shared" si="271"/>
        <v>0</v>
      </c>
      <c r="AB877" s="328">
        <f t="shared" si="272"/>
        <v>-4.8</v>
      </c>
      <c r="AC877" s="328">
        <f t="shared" si="273"/>
        <v>0</v>
      </c>
    </row>
    <row r="878" spans="1:29" ht="15" thickTop="1">
      <c r="A878" s="584"/>
      <c r="B878" s="585"/>
      <c r="C878" s="584"/>
      <c r="D878" s="584"/>
      <c r="E878" s="585"/>
      <c r="F878" s="585" t="s">
        <v>384</v>
      </c>
      <c r="G878" s="584" t="s">
        <v>527</v>
      </c>
      <c r="H878" s="584"/>
      <c r="I878" s="584"/>
      <c r="J878" s="584"/>
      <c r="K878" s="584"/>
      <c r="L878" s="318"/>
      <c r="M878" s="318"/>
      <c r="N878" s="318"/>
      <c r="O878" s="631" t="s">
        <v>2321</v>
      </c>
      <c r="P878" s="750"/>
      <c r="Q878" s="750"/>
      <c r="R878" s="337"/>
      <c r="S878" s="348">
        <f t="shared" si="274"/>
        <v>0</v>
      </c>
      <c r="T878" s="1024" t="s">
        <v>561</v>
      </c>
      <c r="V878" s="328"/>
      <c r="W878" s="318"/>
      <c r="X878" s="384" t="s">
        <v>2321</v>
      </c>
      <c r="Y878" s="337"/>
      <c r="Z878" s="350" t="s">
        <v>2321</v>
      </c>
      <c r="AB878" s="328"/>
      <c r="AC878" s="328"/>
    </row>
    <row r="879" spans="1:29">
      <c r="A879" s="584"/>
      <c r="B879" s="585"/>
      <c r="C879" s="584"/>
      <c r="D879" s="584"/>
      <c r="E879" s="585"/>
      <c r="F879" s="585" t="s">
        <v>384</v>
      </c>
      <c r="G879" s="584" t="s">
        <v>528</v>
      </c>
      <c r="H879" s="584"/>
      <c r="I879" s="584"/>
      <c r="J879" s="584"/>
      <c r="K879" s="584"/>
      <c r="L879" s="318"/>
      <c r="M879" s="318"/>
      <c r="N879" s="318"/>
      <c r="O879" s="631" t="s">
        <v>2321</v>
      </c>
      <c r="P879" s="750"/>
      <c r="Q879" s="750"/>
      <c r="R879" s="337"/>
      <c r="S879" s="348">
        <f t="shared" si="274"/>
        <v>0</v>
      </c>
      <c r="T879" s="1025"/>
      <c r="V879" s="328"/>
      <c r="W879" s="318"/>
      <c r="X879" s="384" t="s">
        <v>2321</v>
      </c>
      <c r="Y879" s="337"/>
      <c r="Z879" s="350" t="s">
        <v>2321</v>
      </c>
      <c r="AB879" s="328"/>
      <c r="AC879" s="328"/>
    </row>
    <row r="880" spans="1:29">
      <c r="A880" s="584"/>
      <c r="B880" s="585"/>
      <c r="C880" s="584"/>
      <c r="D880" s="584"/>
      <c r="E880" s="585"/>
      <c r="F880" s="585" t="s">
        <v>384</v>
      </c>
      <c r="G880" s="584" t="s">
        <v>529</v>
      </c>
      <c r="H880" s="584"/>
      <c r="I880" s="584"/>
      <c r="J880" s="584"/>
      <c r="K880" s="584"/>
      <c r="L880" s="318"/>
      <c r="M880" s="318"/>
      <c r="N880" s="318"/>
      <c r="O880" s="631" t="s">
        <v>2321</v>
      </c>
      <c r="P880" s="750"/>
      <c r="Q880" s="750"/>
      <c r="R880" s="337"/>
      <c r="S880" s="348">
        <f t="shared" si="274"/>
        <v>0</v>
      </c>
      <c r="T880" s="1025"/>
      <c r="V880" s="328"/>
      <c r="W880" s="318"/>
      <c r="X880" s="384" t="s">
        <v>2321</v>
      </c>
      <c r="Y880" s="337"/>
      <c r="Z880" s="350" t="s">
        <v>2321</v>
      </c>
      <c r="AB880" s="328"/>
      <c r="AC880" s="328"/>
    </row>
    <row r="881" spans="1:29" ht="14.4" customHeight="1" thickBot="1">
      <c r="A881" s="584"/>
      <c r="B881" s="585"/>
      <c r="C881" s="584"/>
      <c r="D881" s="584"/>
      <c r="E881" s="585"/>
      <c r="F881" s="585" t="s">
        <v>384</v>
      </c>
      <c r="G881" s="584" t="s">
        <v>530</v>
      </c>
      <c r="H881" s="584"/>
      <c r="I881" s="584"/>
      <c r="J881" s="584"/>
      <c r="K881" s="584"/>
      <c r="L881" s="318"/>
      <c r="M881" s="318"/>
      <c r="N881" s="318"/>
      <c r="O881" s="631" t="s">
        <v>2321</v>
      </c>
      <c r="P881" s="750"/>
      <c r="Q881" s="750"/>
      <c r="R881" s="592"/>
      <c r="S881" s="348">
        <f t="shared" si="274"/>
        <v>0</v>
      </c>
      <c r="T881" s="1026"/>
      <c r="V881" s="328"/>
      <c r="W881" s="318"/>
      <c r="X881" s="384" t="s">
        <v>2321</v>
      </c>
      <c r="Y881" s="337"/>
      <c r="Z881" s="350" t="s">
        <v>2321</v>
      </c>
      <c r="AB881" s="328"/>
      <c r="AC881" s="328"/>
    </row>
    <row r="882" spans="1:29" ht="21.6" collapsed="1" thickTop="1" thickBot="1">
      <c r="A882" s="318"/>
      <c r="B882" s="319"/>
      <c r="C882" s="318"/>
      <c r="D882" s="318"/>
      <c r="E882" s="319"/>
      <c r="F882" s="336" t="s">
        <v>604</v>
      </c>
      <c r="G882" s="318" t="s">
        <v>1305</v>
      </c>
      <c r="H882" s="318">
        <v>4.8</v>
      </c>
      <c r="I882" s="318">
        <v>1</v>
      </c>
      <c r="J882" s="318">
        <v>1</v>
      </c>
      <c r="K882" s="318">
        <f>H882*J882</f>
        <v>4.8</v>
      </c>
      <c r="L882" s="350" t="s">
        <v>3254</v>
      </c>
      <c r="M882" s="350" t="s">
        <v>3248</v>
      </c>
      <c r="N882" s="318">
        <v>1</v>
      </c>
      <c r="O882" s="619">
        <f>H882*N882</f>
        <v>4.8</v>
      </c>
      <c r="P882" s="750">
        <v>1</v>
      </c>
      <c r="Q882" s="747"/>
      <c r="R882" s="624">
        <v>1</v>
      </c>
      <c r="S882" s="348">
        <f t="shared" si="274"/>
        <v>4.8</v>
      </c>
      <c r="T882" s="319"/>
      <c r="V882" s="328">
        <v>4.49</v>
      </c>
      <c r="W882" s="320"/>
      <c r="X882" s="348">
        <f>V882*W882</f>
        <v>0</v>
      </c>
      <c r="Y882" s="330"/>
      <c r="Z882" s="348">
        <f>V882*Y882</f>
        <v>0</v>
      </c>
      <c r="AB882" s="328">
        <f>X882-O882</f>
        <v>-4.8</v>
      </c>
      <c r="AC882" s="328">
        <f>Z882-S882</f>
        <v>-4.8</v>
      </c>
    </row>
    <row r="883" spans="1:29" ht="15.6" thickTop="1" thickBot="1">
      <c r="A883" s="318"/>
      <c r="B883" s="319"/>
      <c r="C883" s="318"/>
      <c r="D883" s="318"/>
      <c r="E883" s="319"/>
      <c r="F883" s="336"/>
      <c r="G883" s="318" t="s">
        <v>1306</v>
      </c>
      <c r="H883" s="318">
        <v>2.57</v>
      </c>
      <c r="I883" s="318">
        <v>1</v>
      </c>
      <c r="J883" s="318">
        <v>1</v>
      </c>
      <c r="K883" s="318">
        <f>H883*J883</f>
        <v>2.57</v>
      </c>
      <c r="L883" s="318">
        <v>2446</v>
      </c>
      <c r="M883" s="318">
        <v>240</v>
      </c>
      <c r="N883" s="318">
        <v>1</v>
      </c>
      <c r="O883" s="619">
        <f>H883*N883</f>
        <v>2.57</v>
      </c>
      <c r="P883" s="750">
        <v>1</v>
      </c>
      <c r="Q883" s="747"/>
      <c r="R883" s="624">
        <v>1</v>
      </c>
      <c r="S883" s="348">
        <f t="shared" si="274"/>
        <v>2.57</v>
      </c>
      <c r="T883" s="319" t="s">
        <v>3340</v>
      </c>
      <c r="V883" s="328">
        <f>0.845+2.355</f>
        <v>3.2</v>
      </c>
      <c r="W883" s="320"/>
      <c r="X883" s="348">
        <f>V883*W883</f>
        <v>0</v>
      </c>
      <c r="Y883" s="330"/>
      <c r="Z883" s="348">
        <f>V883*Y883</f>
        <v>0</v>
      </c>
      <c r="AB883" s="328">
        <f>X883-O883</f>
        <v>-2.57</v>
      </c>
      <c r="AC883" s="328">
        <f>Z883-S883</f>
        <v>-2.57</v>
      </c>
    </row>
    <row r="884" spans="1:29" ht="15" thickTop="1">
      <c r="A884" s="318"/>
      <c r="B884" s="319"/>
      <c r="C884" s="318"/>
      <c r="D884" s="318"/>
      <c r="E884" s="319"/>
      <c r="F884" s="319"/>
      <c r="G884" s="318"/>
      <c r="H884" s="318"/>
      <c r="I884" s="318"/>
      <c r="J884" s="382" t="s">
        <v>389</v>
      </c>
      <c r="K884" s="321">
        <f>SUM(K858:K883)</f>
        <v>85.58</v>
      </c>
      <c r="L884" s="318"/>
      <c r="M884" s="318"/>
      <c r="N884" s="382" t="s">
        <v>389</v>
      </c>
      <c r="O884" s="748">
        <f>SUM(O858:O883)</f>
        <v>85.58</v>
      </c>
      <c r="P884" s="751" t="s">
        <v>389</v>
      </c>
      <c r="Q884" s="751"/>
      <c r="R884" s="382"/>
      <c r="S884" s="321">
        <f>SUM(S858:S883)</f>
        <v>76.290000000000006</v>
      </c>
      <c r="T884" s="319"/>
      <c r="V884" s="328"/>
      <c r="W884" s="321" t="s">
        <v>389</v>
      </c>
      <c r="X884" s="338">
        <f>SUM(X858:X883)</f>
        <v>74.832000000000008</v>
      </c>
      <c r="Y884" s="321" t="s">
        <v>389</v>
      </c>
      <c r="Z884" s="338">
        <f>SUM(Z858:Z883)</f>
        <v>74.832000000000008</v>
      </c>
      <c r="AB884" s="328"/>
      <c r="AC884" s="328"/>
    </row>
    <row r="885" spans="1:29" ht="6.75" customHeight="1">
      <c r="A885" s="316"/>
      <c r="B885" s="317"/>
      <c r="C885" s="316"/>
      <c r="D885" s="316"/>
      <c r="E885" s="317"/>
      <c r="F885" s="317"/>
      <c r="G885" s="316"/>
      <c r="H885" s="316"/>
      <c r="I885" s="316"/>
      <c r="J885" s="316"/>
      <c r="K885" s="316"/>
      <c r="L885" s="949"/>
      <c r="M885" s="949"/>
      <c r="N885" s="949"/>
      <c r="O885" s="749"/>
      <c r="P885" s="633"/>
      <c r="Q885" s="633"/>
      <c r="R885" s="949"/>
      <c r="S885" s="339"/>
      <c r="T885" s="317"/>
      <c r="V885" s="332"/>
      <c r="W885" s="316"/>
      <c r="X885" s="339"/>
      <c r="Y885" s="316"/>
      <c r="Z885" s="339"/>
      <c r="AB885" s="332"/>
      <c r="AC885" s="332"/>
    </row>
    <row r="886" spans="1:29">
      <c r="A886" s="318">
        <v>22</v>
      </c>
      <c r="B886" s="319" t="s">
        <v>383</v>
      </c>
      <c r="C886" s="318">
        <v>600</v>
      </c>
      <c r="D886" s="318">
        <v>27</v>
      </c>
      <c r="E886" s="319">
        <v>1</v>
      </c>
      <c r="F886" s="336"/>
      <c r="G886" s="318" t="s">
        <v>1307</v>
      </c>
      <c r="H886" s="318">
        <v>4.49</v>
      </c>
      <c r="I886" s="318">
        <v>1</v>
      </c>
      <c r="J886" s="318">
        <f t="shared" ref="J886:J903" si="275">IF(N886&gt;0,1,0)</f>
        <v>1</v>
      </c>
      <c r="K886" s="318">
        <f t="shared" ref="K886:K904" si="276">H886*J886</f>
        <v>4.49</v>
      </c>
      <c r="L886" s="350" t="s">
        <v>2828</v>
      </c>
      <c r="M886" s="350" t="s">
        <v>2829</v>
      </c>
      <c r="N886" s="318">
        <v>1</v>
      </c>
      <c r="O886" s="619">
        <f t="shared" ref="O886:O904" si="277">H886*N886</f>
        <v>4.49</v>
      </c>
      <c r="P886" s="750">
        <v>1</v>
      </c>
      <c r="Q886" s="750"/>
      <c r="R886" s="337">
        <v>1</v>
      </c>
      <c r="S886" s="348">
        <f>H886*R886</f>
        <v>4.49</v>
      </c>
      <c r="T886" s="479"/>
      <c r="V886" s="328">
        <v>4.49</v>
      </c>
      <c r="W886" s="320"/>
      <c r="X886" s="348">
        <f t="shared" ref="X886:X904" si="278">V886*W886</f>
        <v>0</v>
      </c>
      <c r="Y886" s="458"/>
      <c r="Z886" s="348">
        <f t="shared" ref="Z886:Z904" si="279">V886*Y886</f>
        <v>0</v>
      </c>
      <c r="AB886" s="328">
        <f t="shared" ref="AB886:AB904" si="280">X886-O886</f>
        <v>-4.49</v>
      </c>
      <c r="AC886" s="328">
        <f t="shared" ref="AC886:AC904" si="281">Z886-S886</f>
        <v>-4.49</v>
      </c>
    </row>
    <row r="887" spans="1:29" collapsed="1">
      <c r="A887" s="318"/>
      <c r="B887" s="319"/>
      <c r="C887" s="318"/>
      <c r="D887" s="318"/>
      <c r="E887" s="319"/>
      <c r="F887" s="319"/>
      <c r="G887" s="318" t="s">
        <v>1308</v>
      </c>
      <c r="H887" s="318">
        <v>4.49</v>
      </c>
      <c r="I887" s="318">
        <v>1</v>
      </c>
      <c r="J887" s="318">
        <f t="shared" si="275"/>
        <v>1</v>
      </c>
      <c r="K887" s="318">
        <f t="shared" si="276"/>
        <v>4.49</v>
      </c>
      <c r="L887" s="350" t="s">
        <v>3100</v>
      </c>
      <c r="M887" s="350" t="s">
        <v>2739</v>
      </c>
      <c r="N887" s="318">
        <v>1</v>
      </c>
      <c r="O887" s="619">
        <f t="shared" si="277"/>
        <v>4.49</v>
      </c>
      <c r="P887" s="750">
        <v>1</v>
      </c>
      <c r="Q887" s="750"/>
      <c r="R887" s="337">
        <v>1</v>
      </c>
      <c r="S887" s="348">
        <f>H887*R887</f>
        <v>4.49</v>
      </c>
      <c r="T887" s="319"/>
      <c r="V887" s="328">
        <v>4.49</v>
      </c>
      <c r="W887" s="320"/>
      <c r="X887" s="348">
        <f t="shared" si="278"/>
        <v>0</v>
      </c>
      <c r="Y887" s="320"/>
      <c r="Z887" s="348">
        <f t="shared" si="279"/>
        <v>0</v>
      </c>
      <c r="AB887" s="328">
        <f t="shared" si="280"/>
        <v>-4.49</v>
      </c>
      <c r="AC887" s="328">
        <f t="shared" si="281"/>
        <v>-4.49</v>
      </c>
    </row>
    <row r="888" spans="1:29">
      <c r="A888" s="318"/>
      <c r="B888" s="319"/>
      <c r="C888" s="318"/>
      <c r="D888" s="318"/>
      <c r="E888" s="319"/>
      <c r="F888" s="319"/>
      <c r="G888" s="318" t="s">
        <v>1309</v>
      </c>
      <c r="H888" s="318">
        <v>4.49</v>
      </c>
      <c r="I888" s="318">
        <v>1</v>
      </c>
      <c r="J888" s="318">
        <f t="shared" si="275"/>
        <v>1</v>
      </c>
      <c r="K888" s="318">
        <f t="shared" si="276"/>
        <v>4.49</v>
      </c>
      <c r="L888" s="350" t="s">
        <v>2723</v>
      </c>
      <c r="M888" s="350" t="s">
        <v>2738</v>
      </c>
      <c r="N888" s="318">
        <v>1</v>
      </c>
      <c r="O888" s="619">
        <f t="shared" si="277"/>
        <v>4.49</v>
      </c>
      <c r="P888" s="750">
        <v>1</v>
      </c>
      <c r="Q888" s="750"/>
      <c r="R888" s="337">
        <v>1</v>
      </c>
      <c r="S888" s="348">
        <f t="shared" ref="S888:S921" si="282">H888*R888</f>
        <v>4.49</v>
      </c>
      <c r="T888" s="319"/>
      <c r="V888" s="328">
        <v>4.49</v>
      </c>
      <c r="W888" s="320"/>
      <c r="X888" s="348">
        <f t="shared" si="278"/>
        <v>0</v>
      </c>
      <c r="Y888" s="330"/>
      <c r="Z888" s="348">
        <f t="shared" si="279"/>
        <v>0</v>
      </c>
      <c r="AB888" s="328">
        <f t="shared" si="280"/>
        <v>-4.49</v>
      </c>
      <c r="AC888" s="328">
        <f t="shared" si="281"/>
        <v>-4.49</v>
      </c>
    </row>
    <row r="889" spans="1:29">
      <c r="A889" s="318"/>
      <c r="B889" s="319"/>
      <c r="C889" s="318"/>
      <c r="D889" s="318"/>
      <c r="E889" s="319"/>
      <c r="F889" s="336"/>
      <c r="G889" s="318" t="s">
        <v>1310</v>
      </c>
      <c r="H889" s="318">
        <v>4.49</v>
      </c>
      <c r="I889" s="318">
        <v>1</v>
      </c>
      <c r="J889" s="318">
        <f t="shared" si="275"/>
        <v>1</v>
      </c>
      <c r="K889" s="318">
        <f t="shared" si="276"/>
        <v>4.49</v>
      </c>
      <c r="L889" s="318"/>
      <c r="M889" s="318"/>
      <c r="N889" s="318">
        <v>1</v>
      </c>
      <c r="O889" s="619">
        <f t="shared" si="277"/>
        <v>4.49</v>
      </c>
      <c r="P889" s="750">
        <v>1</v>
      </c>
      <c r="Q889" s="750"/>
      <c r="R889" s="337">
        <v>1</v>
      </c>
      <c r="S889" s="348">
        <f t="shared" si="282"/>
        <v>4.49</v>
      </c>
      <c r="T889" s="319"/>
      <c r="V889" s="328">
        <v>4.49</v>
      </c>
      <c r="W889" s="320">
        <v>1</v>
      </c>
      <c r="X889" s="454">
        <f t="shared" si="278"/>
        <v>4.49</v>
      </c>
      <c r="Y889" s="330"/>
      <c r="Z889" s="348">
        <f t="shared" si="279"/>
        <v>0</v>
      </c>
      <c r="AB889" s="328">
        <f t="shared" si="280"/>
        <v>0</v>
      </c>
      <c r="AC889" s="328">
        <f t="shared" si="281"/>
        <v>-4.49</v>
      </c>
    </row>
    <row r="890" spans="1:29">
      <c r="A890" s="318"/>
      <c r="B890" s="319"/>
      <c r="C890" s="318"/>
      <c r="D890" s="318"/>
      <c r="E890" s="319"/>
      <c r="F890" s="319"/>
      <c r="G890" s="318" t="s">
        <v>1311</v>
      </c>
      <c r="H890" s="318">
        <v>4.49</v>
      </c>
      <c r="I890" s="318">
        <v>1</v>
      </c>
      <c r="J890" s="318">
        <f t="shared" si="275"/>
        <v>1</v>
      </c>
      <c r="K890" s="318">
        <f t="shared" si="276"/>
        <v>4.49</v>
      </c>
      <c r="L890" s="318">
        <v>1569</v>
      </c>
      <c r="M890" s="318"/>
      <c r="N890" s="318">
        <v>1</v>
      </c>
      <c r="O890" s="619">
        <f t="shared" si="277"/>
        <v>4.49</v>
      </c>
      <c r="P890" s="750">
        <v>1</v>
      </c>
      <c r="Q890" s="750"/>
      <c r="R890" s="337">
        <v>1</v>
      </c>
      <c r="S890" s="348">
        <f t="shared" si="282"/>
        <v>4.49</v>
      </c>
      <c r="T890" s="319"/>
      <c r="V890" s="328">
        <v>4.49</v>
      </c>
      <c r="W890" s="320">
        <v>1</v>
      </c>
      <c r="X890" s="348">
        <f t="shared" si="278"/>
        <v>4.49</v>
      </c>
      <c r="Y890" s="330">
        <v>1</v>
      </c>
      <c r="Z890" s="348">
        <f t="shared" si="279"/>
        <v>4.49</v>
      </c>
      <c r="AB890" s="328">
        <f t="shared" si="280"/>
        <v>0</v>
      </c>
      <c r="AC890" s="328">
        <f t="shared" si="281"/>
        <v>0</v>
      </c>
    </row>
    <row r="891" spans="1:29">
      <c r="A891" s="318"/>
      <c r="B891" s="319"/>
      <c r="C891" s="318"/>
      <c r="D891" s="318"/>
      <c r="E891" s="319"/>
      <c r="F891" s="319"/>
      <c r="G891" s="318" t="s">
        <v>1312</v>
      </c>
      <c r="H891" s="318">
        <v>4.49</v>
      </c>
      <c r="I891" s="318">
        <v>1</v>
      </c>
      <c r="J891" s="318">
        <f t="shared" si="275"/>
        <v>1</v>
      </c>
      <c r="K891" s="318">
        <f t="shared" si="276"/>
        <v>4.49</v>
      </c>
      <c r="L891" s="318">
        <v>1569</v>
      </c>
      <c r="M891" s="318"/>
      <c r="N891" s="318">
        <v>1</v>
      </c>
      <c r="O891" s="619">
        <f t="shared" si="277"/>
        <v>4.49</v>
      </c>
      <c r="P891" s="750">
        <v>1</v>
      </c>
      <c r="Q891" s="750"/>
      <c r="R891" s="337">
        <v>1</v>
      </c>
      <c r="S891" s="348">
        <f t="shared" si="282"/>
        <v>4.49</v>
      </c>
      <c r="T891" s="319"/>
      <c r="V891" s="328">
        <v>4.49</v>
      </c>
      <c r="W891" s="320">
        <v>1</v>
      </c>
      <c r="X891" s="348">
        <f t="shared" si="278"/>
        <v>4.49</v>
      </c>
      <c r="Y891" s="330">
        <v>1</v>
      </c>
      <c r="Z891" s="348">
        <f t="shared" si="279"/>
        <v>4.49</v>
      </c>
      <c r="AB891" s="328">
        <f t="shared" si="280"/>
        <v>0</v>
      </c>
      <c r="AC891" s="328">
        <f t="shared" si="281"/>
        <v>0</v>
      </c>
    </row>
    <row r="892" spans="1:29">
      <c r="A892" s="318"/>
      <c r="B892" s="319"/>
      <c r="C892" s="318"/>
      <c r="D892" s="318"/>
      <c r="E892" s="319"/>
      <c r="F892" s="319"/>
      <c r="G892" s="318" t="s">
        <v>1313</v>
      </c>
      <c r="H892" s="318">
        <v>4.49</v>
      </c>
      <c r="I892" s="318">
        <v>1</v>
      </c>
      <c r="J892" s="318">
        <f t="shared" si="275"/>
        <v>1</v>
      </c>
      <c r="K892" s="318">
        <f t="shared" si="276"/>
        <v>4.49</v>
      </c>
      <c r="L892" s="318">
        <v>1569</v>
      </c>
      <c r="M892" s="318"/>
      <c r="N892" s="318">
        <v>1</v>
      </c>
      <c r="O892" s="619">
        <f t="shared" si="277"/>
        <v>4.49</v>
      </c>
      <c r="P892" s="750">
        <v>1</v>
      </c>
      <c r="Q892" s="750"/>
      <c r="R892" s="337">
        <v>1</v>
      </c>
      <c r="S892" s="348">
        <f t="shared" si="282"/>
        <v>4.49</v>
      </c>
      <c r="T892" s="319"/>
      <c r="V892" s="328">
        <v>4.49</v>
      </c>
      <c r="W892" s="320">
        <v>1</v>
      </c>
      <c r="X892" s="348">
        <f t="shared" si="278"/>
        <v>4.49</v>
      </c>
      <c r="Y892" s="330">
        <v>1</v>
      </c>
      <c r="Z892" s="348">
        <f t="shared" si="279"/>
        <v>4.49</v>
      </c>
      <c r="AB892" s="328">
        <f t="shared" si="280"/>
        <v>0</v>
      </c>
      <c r="AC892" s="328">
        <f t="shared" si="281"/>
        <v>0</v>
      </c>
    </row>
    <row r="893" spans="1:29">
      <c r="A893" s="318"/>
      <c r="B893" s="319"/>
      <c r="C893" s="318"/>
      <c r="D893" s="318"/>
      <c r="E893" s="319"/>
      <c r="F893" s="319"/>
      <c r="G893" s="318" t="s">
        <v>1314</v>
      </c>
      <c r="H893" s="318">
        <v>4.49</v>
      </c>
      <c r="I893" s="318">
        <v>1</v>
      </c>
      <c r="J893" s="318">
        <f t="shared" si="275"/>
        <v>1</v>
      </c>
      <c r="K893" s="318">
        <f t="shared" si="276"/>
        <v>4.49</v>
      </c>
      <c r="L893" s="318">
        <v>1569</v>
      </c>
      <c r="M893" s="318"/>
      <c r="N893" s="318">
        <v>1</v>
      </c>
      <c r="O893" s="619">
        <f t="shared" si="277"/>
        <v>4.49</v>
      </c>
      <c r="P893" s="750">
        <v>1</v>
      </c>
      <c r="Q893" s="750"/>
      <c r="R893" s="337">
        <v>1</v>
      </c>
      <c r="S893" s="348">
        <f t="shared" si="282"/>
        <v>4.49</v>
      </c>
      <c r="T893" s="319"/>
      <c r="V893" s="328">
        <v>4.49</v>
      </c>
      <c r="W893" s="320">
        <v>1</v>
      </c>
      <c r="X893" s="348">
        <f t="shared" si="278"/>
        <v>4.49</v>
      </c>
      <c r="Y893" s="330">
        <v>1</v>
      </c>
      <c r="Z893" s="348">
        <f t="shared" si="279"/>
        <v>4.49</v>
      </c>
      <c r="AB893" s="328">
        <f t="shared" si="280"/>
        <v>0</v>
      </c>
      <c r="AC893" s="328">
        <f t="shared" si="281"/>
        <v>0</v>
      </c>
    </row>
    <row r="894" spans="1:29" ht="14.4" customHeight="1">
      <c r="A894" s="318"/>
      <c r="B894" s="319"/>
      <c r="C894" s="318"/>
      <c r="D894" s="318"/>
      <c r="E894" s="319"/>
      <c r="F894" s="336"/>
      <c r="G894" s="318" t="s">
        <v>1315</v>
      </c>
      <c r="H894" s="318">
        <v>3.29</v>
      </c>
      <c r="I894" s="318">
        <v>1</v>
      </c>
      <c r="J894" s="318">
        <f t="shared" si="275"/>
        <v>1</v>
      </c>
      <c r="K894" s="318">
        <f t="shared" si="276"/>
        <v>3.29</v>
      </c>
      <c r="L894" s="318">
        <v>1581</v>
      </c>
      <c r="M894" s="318">
        <v>139</v>
      </c>
      <c r="N894" s="318">
        <v>1</v>
      </c>
      <c r="O894" s="619">
        <f t="shared" si="277"/>
        <v>3.29</v>
      </c>
      <c r="P894" s="750">
        <v>1</v>
      </c>
      <c r="Q894" s="750"/>
      <c r="R894" s="337">
        <v>1</v>
      </c>
      <c r="S894" s="348">
        <f t="shared" si="282"/>
        <v>3.29</v>
      </c>
      <c r="T894" s="319"/>
      <c r="V894" s="328">
        <v>3.2770000000000001</v>
      </c>
      <c r="W894" s="320">
        <v>1</v>
      </c>
      <c r="X894" s="348">
        <f t="shared" si="278"/>
        <v>3.2770000000000001</v>
      </c>
      <c r="Y894" s="330">
        <v>1</v>
      </c>
      <c r="Z894" s="348">
        <f t="shared" si="279"/>
        <v>3.2770000000000001</v>
      </c>
      <c r="AB894" s="328">
        <f t="shared" si="280"/>
        <v>-1.2999999999999901E-2</v>
      </c>
      <c r="AC894" s="328">
        <f t="shared" si="281"/>
        <v>-1.2999999999999901E-2</v>
      </c>
    </row>
    <row r="895" spans="1:29">
      <c r="A895" s="318"/>
      <c r="B895" s="319"/>
      <c r="C895" s="318"/>
      <c r="D895" s="318"/>
      <c r="E895" s="319"/>
      <c r="F895" s="319"/>
      <c r="G895" s="318" t="s">
        <v>1316</v>
      </c>
      <c r="H895" s="318">
        <v>3.29</v>
      </c>
      <c r="I895" s="318">
        <v>1</v>
      </c>
      <c r="J895" s="318">
        <f t="shared" si="275"/>
        <v>1</v>
      </c>
      <c r="K895" s="318">
        <f t="shared" si="276"/>
        <v>3.29</v>
      </c>
      <c r="L895" s="318">
        <v>1583</v>
      </c>
      <c r="M895" s="318">
        <v>139</v>
      </c>
      <c r="N895" s="318">
        <v>1</v>
      </c>
      <c r="O895" s="619">
        <f t="shared" si="277"/>
        <v>3.29</v>
      </c>
      <c r="P895" s="750">
        <v>1</v>
      </c>
      <c r="Q895" s="750"/>
      <c r="R895" s="337">
        <v>1</v>
      </c>
      <c r="S895" s="348">
        <f t="shared" si="282"/>
        <v>3.29</v>
      </c>
      <c r="T895" s="319"/>
      <c r="V895" s="328">
        <v>3.2770000000000001</v>
      </c>
      <c r="W895" s="320">
        <v>1</v>
      </c>
      <c r="X895" s="348">
        <f t="shared" si="278"/>
        <v>3.2770000000000001</v>
      </c>
      <c r="Y895" s="330">
        <v>1</v>
      </c>
      <c r="Z895" s="348">
        <f t="shared" si="279"/>
        <v>3.2770000000000001</v>
      </c>
      <c r="AB895" s="328">
        <f t="shared" si="280"/>
        <v>-1.2999999999999901E-2</v>
      </c>
      <c r="AC895" s="328">
        <f t="shared" si="281"/>
        <v>-1.2999999999999901E-2</v>
      </c>
    </row>
    <row r="896" spans="1:29">
      <c r="A896" s="318"/>
      <c r="B896" s="319"/>
      <c r="C896" s="318"/>
      <c r="D896" s="318"/>
      <c r="E896" s="319"/>
      <c r="F896" s="319" t="s">
        <v>721</v>
      </c>
      <c r="G896" s="318" t="s">
        <v>1317</v>
      </c>
      <c r="H896" s="318">
        <v>3.27</v>
      </c>
      <c r="I896" s="318">
        <v>1</v>
      </c>
      <c r="J896" s="318">
        <f t="shared" si="275"/>
        <v>1</v>
      </c>
      <c r="K896" s="318">
        <f t="shared" si="276"/>
        <v>3.27</v>
      </c>
      <c r="L896" s="350" t="s">
        <v>3266</v>
      </c>
      <c r="M896" s="318">
        <v>150</v>
      </c>
      <c r="N896" s="318">
        <v>1</v>
      </c>
      <c r="O896" s="619">
        <f t="shared" si="277"/>
        <v>3.27</v>
      </c>
      <c r="P896" s="750">
        <v>1</v>
      </c>
      <c r="Q896" s="750"/>
      <c r="R896" s="337">
        <v>1</v>
      </c>
      <c r="S896" s="348">
        <f t="shared" si="282"/>
        <v>3.27</v>
      </c>
      <c r="T896" s="319"/>
      <c r="V896" s="328">
        <v>3.258</v>
      </c>
      <c r="W896" s="320">
        <v>1</v>
      </c>
      <c r="X896" s="348">
        <f t="shared" si="278"/>
        <v>3.258</v>
      </c>
      <c r="Y896" s="330"/>
      <c r="Z896" s="455">
        <f t="shared" si="279"/>
        <v>0</v>
      </c>
      <c r="AB896" s="328">
        <f t="shared" si="280"/>
        <v>-1.2000000000000011E-2</v>
      </c>
      <c r="AC896" s="328">
        <f t="shared" si="281"/>
        <v>-3.27</v>
      </c>
    </row>
    <row r="897" spans="1:29">
      <c r="A897" s="318"/>
      <c r="B897" s="319"/>
      <c r="C897" s="318"/>
      <c r="D897" s="318"/>
      <c r="E897" s="319"/>
      <c r="F897" s="319" t="s">
        <v>721</v>
      </c>
      <c r="G897" s="318" t="s">
        <v>1318</v>
      </c>
      <c r="H897" s="318">
        <v>4.09</v>
      </c>
      <c r="I897" s="318">
        <v>1</v>
      </c>
      <c r="J897" s="318">
        <f t="shared" si="275"/>
        <v>1</v>
      </c>
      <c r="K897" s="318">
        <f t="shared" si="276"/>
        <v>4.09</v>
      </c>
      <c r="L897" s="352" t="s">
        <v>3408</v>
      </c>
      <c r="M897" s="350" t="s">
        <v>3409</v>
      </c>
      <c r="N897" s="318">
        <v>1</v>
      </c>
      <c r="O897" s="619">
        <f t="shared" si="277"/>
        <v>4.09</v>
      </c>
      <c r="P897" s="750">
        <v>1</v>
      </c>
      <c r="Q897" s="750"/>
      <c r="R897" s="337">
        <v>1</v>
      </c>
      <c r="S897" s="348">
        <f t="shared" si="282"/>
        <v>4.09</v>
      </c>
      <c r="T897" s="319"/>
      <c r="V897" s="328">
        <f>3.258+0.821</f>
        <v>4.0789999999999997</v>
      </c>
      <c r="W897" s="320"/>
      <c r="X897" s="455">
        <f t="shared" si="278"/>
        <v>0</v>
      </c>
      <c r="Y897" s="330"/>
      <c r="Z897" s="348">
        <f t="shared" si="279"/>
        <v>0</v>
      </c>
      <c r="AB897" s="328">
        <f t="shared" si="280"/>
        <v>-4.09</v>
      </c>
      <c r="AC897" s="328">
        <f t="shared" si="281"/>
        <v>-4.09</v>
      </c>
    </row>
    <row r="898" spans="1:29">
      <c r="A898" s="318"/>
      <c r="B898" s="319"/>
      <c r="C898" s="318"/>
      <c r="D898" s="318"/>
      <c r="E898" s="319"/>
      <c r="F898" s="319"/>
      <c r="G898" s="318" t="s">
        <v>1319</v>
      </c>
      <c r="H898" s="318">
        <v>3.81</v>
      </c>
      <c r="I898" s="318">
        <v>1</v>
      </c>
      <c r="J898" s="318">
        <f t="shared" si="275"/>
        <v>1</v>
      </c>
      <c r="K898" s="318">
        <f t="shared" si="276"/>
        <v>3.81</v>
      </c>
      <c r="L898" s="350">
        <v>1895</v>
      </c>
      <c r="M898" s="318">
        <v>171</v>
      </c>
      <c r="N898" s="318">
        <v>1</v>
      </c>
      <c r="O898" s="619">
        <f t="shared" si="277"/>
        <v>3.81</v>
      </c>
      <c r="P898" s="750">
        <v>1</v>
      </c>
      <c r="Q898" s="750"/>
      <c r="R898" s="337">
        <v>1</v>
      </c>
      <c r="S898" s="348">
        <f t="shared" si="282"/>
        <v>3.81</v>
      </c>
      <c r="T898" s="319" t="s">
        <v>3341</v>
      </c>
      <c r="V898" s="328">
        <v>3.802</v>
      </c>
      <c r="W898" s="320">
        <v>1</v>
      </c>
      <c r="X898" s="455">
        <f t="shared" si="278"/>
        <v>3.802</v>
      </c>
      <c r="Y898" s="330"/>
      <c r="Z898" s="348">
        <f t="shared" si="279"/>
        <v>0</v>
      </c>
      <c r="AB898" s="328">
        <f t="shared" si="280"/>
        <v>-8.0000000000000071E-3</v>
      </c>
      <c r="AC898" s="328">
        <f t="shared" si="281"/>
        <v>-3.81</v>
      </c>
    </row>
    <row r="899" spans="1:29">
      <c r="A899" s="318"/>
      <c r="B899" s="319"/>
      <c r="C899" s="318"/>
      <c r="D899" s="318"/>
      <c r="E899" s="319"/>
      <c r="F899" s="319"/>
      <c r="G899" s="318" t="s">
        <v>1320</v>
      </c>
      <c r="H899" s="318">
        <v>3.81</v>
      </c>
      <c r="I899" s="318">
        <v>1</v>
      </c>
      <c r="J899" s="318">
        <f t="shared" si="275"/>
        <v>1</v>
      </c>
      <c r="K899" s="318">
        <f t="shared" si="276"/>
        <v>3.81</v>
      </c>
      <c r="L899" s="350">
        <v>1895</v>
      </c>
      <c r="M899" s="318">
        <v>171</v>
      </c>
      <c r="N899" s="318">
        <v>1</v>
      </c>
      <c r="O899" s="619">
        <f t="shared" si="277"/>
        <v>3.81</v>
      </c>
      <c r="P899" s="750">
        <v>1</v>
      </c>
      <c r="Q899" s="750"/>
      <c r="R899" s="337">
        <v>1</v>
      </c>
      <c r="S899" s="348">
        <f t="shared" si="282"/>
        <v>3.81</v>
      </c>
      <c r="T899" s="319" t="s">
        <v>3341</v>
      </c>
      <c r="V899" s="328">
        <v>3.802</v>
      </c>
      <c r="W899" s="320">
        <v>1</v>
      </c>
      <c r="X899" s="455">
        <f t="shared" si="278"/>
        <v>3.802</v>
      </c>
      <c r="Y899" s="330"/>
      <c r="Z899" s="348">
        <f t="shared" si="279"/>
        <v>0</v>
      </c>
      <c r="AB899" s="328">
        <f t="shared" si="280"/>
        <v>-8.0000000000000071E-3</v>
      </c>
      <c r="AC899" s="328">
        <f t="shared" si="281"/>
        <v>-3.81</v>
      </c>
    </row>
    <row r="900" spans="1:29">
      <c r="A900" s="318"/>
      <c r="B900" s="319"/>
      <c r="C900" s="318"/>
      <c r="D900" s="318"/>
      <c r="E900" s="319"/>
      <c r="F900" s="336"/>
      <c r="G900" s="318" t="s">
        <v>1321</v>
      </c>
      <c r="H900" s="318">
        <v>3.81</v>
      </c>
      <c r="I900" s="318">
        <v>1</v>
      </c>
      <c r="J900" s="318">
        <f t="shared" si="275"/>
        <v>1</v>
      </c>
      <c r="K900" s="318">
        <f t="shared" si="276"/>
        <v>3.81</v>
      </c>
      <c r="L900" s="318">
        <v>1659</v>
      </c>
      <c r="M900" s="318">
        <v>150</v>
      </c>
      <c r="N900" s="318">
        <v>1</v>
      </c>
      <c r="O900" s="619">
        <f t="shared" si="277"/>
        <v>3.81</v>
      </c>
      <c r="P900" s="750">
        <v>1</v>
      </c>
      <c r="Q900" s="750"/>
      <c r="R900" s="337">
        <v>1</v>
      </c>
      <c r="S900" s="348">
        <f t="shared" si="282"/>
        <v>3.81</v>
      </c>
      <c r="T900" s="319" t="s">
        <v>3341</v>
      </c>
      <c r="V900" s="328">
        <v>3.802</v>
      </c>
      <c r="W900" s="320">
        <v>1</v>
      </c>
      <c r="X900" s="455">
        <f t="shared" si="278"/>
        <v>3.802</v>
      </c>
      <c r="Y900" s="330"/>
      <c r="Z900" s="348">
        <f t="shared" si="279"/>
        <v>0</v>
      </c>
      <c r="AB900" s="328">
        <f t="shared" si="280"/>
        <v>-8.0000000000000071E-3</v>
      </c>
      <c r="AC900" s="328">
        <f t="shared" si="281"/>
        <v>-3.81</v>
      </c>
    </row>
    <row r="901" spans="1:29">
      <c r="A901" s="318"/>
      <c r="B901" s="319"/>
      <c r="C901" s="318"/>
      <c r="D901" s="318"/>
      <c r="E901" s="319"/>
      <c r="F901" s="319"/>
      <c r="G901" s="318" t="s">
        <v>1322</v>
      </c>
      <c r="H901" s="318">
        <v>3.81</v>
      </c>
      <c r="I901" s="318">
        <v>1</v>
      </c>
      <c r="J901" s="318">
        <f t="shared" si="275"/>
        <v>1</v>
      </c>
      <c r="K901" s="318">
        <f t="shared" si="276"/>
        <v>3.81</v>
      </c>
      <c r="L901" s="350">
        <v>1895</v>
      </c>
      <c r="M901" s="318">
        <v>171</v>
      </c>
      <c r="N901" s="318">
        <v>1</v>
      </c>
      <c r="O901" s="619">
        <f t="shared" si="277"/>
        <v>3.81</v>
      </c>
      <c r="P901" s="750">
        <v>1</v>
      </c>
      <c r="Q901" s="750"/>
      <c r="R901" s="337">
        <v>1</v>
      </c>
      <c r="S901" s="348">
        <f t="shared" si="282"/>
        <v>3.81</v>
      </c>
      <c r="T901" s="319" t="s">
        <v>3341</v>
      </c>
      <c r="V901" s="328">
        <v>3.802</v>
      </c>
      <c r="W901" s="320">
        <v>1</v>
      </c>
      <c r="X901" s="455">
        <f t="shared" si="278"/>
        <v>3.802</v>
      </c>
      <c r="Y901" s="330"/>
      <c r="Z901" s="348">
        <f t="shared" si="279"/>
        <v>0</v>
      </c>
      <c r="AB901" s="328">
        <f t="shared" si="280"/>
        <v>-8.0000000000000071E-3</v>
      </c>
      <c r="AC901" s="328">
        <f t="shared" si="281"/>
        <v>-3.81</v>
      </c>
    </row>
    <row r="902" spans="1:29">
      <c r="A902" s="318"/>
      <c r="B902" s="319"/>
      <c r="C902" s="318"/>
      <c r="D902" s="318"/>
      <c r="E902" s="319"/>
      <c r="F902" s="319"/>
      <c r="G902" s="318" t="s">
        <v>1323</v>
      </c>
      <c r="H902" s="318">
        <v>3.81</v>
      </c>
      <c r="I902" s="318">
        <v>1</v>
      </c>
      <c r="J902" s="318">
        <f t="shared" si="275"/>
        <v>1</v>
      </c>
      <c r="K902" s="318">
        <f t="shared" si="276"/>
        <v>3.81</v>
      </c>
      <c r="L902" s="350">
        <v>1895</v>
      </c>
      <c r="M902" s="318">
        <v>171</v>
      </c>
      <c r="N902" s="318">
        <v>1</v>
      </c>
      <c r="O902" s="619">
        <f t="shared" si="277"/>
        <v>3.81</v>
      </c>
      <c r="P902" s="750">
        <v>1</v>
      </c>
      <c r="Q902" s="750"/>
      <c r="R902" s="337">
        <v>1</v>
      </c>
      <c r="S902" s="348">
        <f t="shared" si="282"/>
        <v>3.81</v>
      </c>
      <c r="T902" s="319" t="s">
        <v>3341</v>
      </c>
      <c r="V902" s="328">
        <v>3.802</v>
      </c>
      <c r="W902" s="320">
        <v>1</v>
      </c>
      <c r="X902" s="455">
        <f t="shared" si="278"/>
        <v>3.802</v>
      </c>
      <c r="Y902" s="330"/>
      <c r="Z902" s="348">
        <f t="shared" si="279"/>
        <v>0</v>
      </c>
      <c r="AB902" s="328">
        <f t="shared" si="280"/>
        <v>-8.0000000000000071E-3</v>
      </c>
      <c r="AC902" s="328">
        <f t="shared" si="281"/>
        <v>-3.81</v>
      </c>
    </row>
    <row r="903" spans="1:29">
      <c r="A903" s="318"/>
      <c r="B903" s="319"/>
      <c r="C903" s="318"/>
      <c r="D903" s="318"/>
      <c r="E903" s="319"/>
      <c r="F903" s="319"/>
      <c r="G903" s="318" t="s">
        <v>1324</v>
      </c>
      <c r="H903" s="318">
        <v>2.27</v>
      </c>
      <c r="I903" s="318">
        <v>1</v>
      </c>
      <c r="J903" s="318">
        <f t="shared" si="275"/>
        <v>1</v>
      </c>
      <c r="K903" s="318">
        <f t="shared" si="276"/>
        <v>2.27</v>
      </c>
      <c r="L903" s="350" t="s">
        <v>3410</v>
      </c>
      <c r="M903" s="349">
        <v>174287</v>
      </c>
      <c r="N903" s="318">
        <v>1</v>
      </c>
      <c r="O903" s="619">
        <f t="shared" si="277"/>
        <v>2.27</v>
      </c>
      <c r="P903" s="750">
        <v>1</v>
      </c>
      <c r="Q903" s="750"/>
      <c r="R903" s="337">
        <v>1</v>
      </c>
      <c r="S903" s="348">
        <f t="shared" si="282"/>
        <v>2.27</v>
      </c>
      <c r="T903" s="319" t="s">
        <v>3341</v>
      </c>
      <c r="V903" s="328">
        <f>1.727+1.164</f>
        <v>2.891</v>
      </c>
      <c r="W903" s="320">
        <v>1</v>
      </c>
      <c r="X903" s="455">
        <f t="shared" si="278"/>
        <v>2.891</v>
      </c>
      <c r="Y903" s="330"/>
      <c r="Z903" s="348">
        <f t="shared" si="279"/>
        <v>0</v>
      </c>
      <c r="AB903" s="328">
        <f t="shared" si="280"/>
        <v>0.621</v>
      </c>
      <c r="AC903" s="328">
        <f t="shared" si="281"/>
        <v>-2.27</v>
      </c>
    </row>
    <row r="904" spans="1:29" ht="20.399999999999999">
      <c r="A904" s="318"/>
      <c r="B904" s="319"/>
      <c r="C904" s="318"/>
      <c r="D904" s="318"/>
      <c r="E904" s="319"/>
      <c r="F904" s="336" t="s">
        <v>604</v>
      </c>
      <c r="G904" s="318" t="s">
        <v>1325</v>
      </c>
      <c r="H904" s="318">
        <v>4.8</v>
      </c>
      <c r="I904" s="318">
        <v>1</v>
      </c>
      <c r="J904" s="318">
        <v>1</v>
      </c>
      <c r="K904" s="318">
        <f t="shared" si="276"/>
        <v>4.8</v>
      </c>
      <c r="L904" s="350" t="s">
        <v>3253</v>
      </c>
      <c r="M904" s="350" t="s">
        <v>3248</v>
      </c>
      <c r="N904" s="318">
        <v>1</v>
      </c>
      <c r="O904" s="619">
        <f t="shared" si="277"/>
        <v>4.8</v>
      </c>
      <c r="P904" s="750">
        <v>1</v>
      </c>
      <c r="Q904" s="750"/>
      <c r="R904" s="337">
        <v>1</v>
      </c>
      <c r="S904" s="348">
        <f t="shared" si="282"/>
        <v>4.8</v>
      </c>
      <c r="T904" s="319"/>
      <c r="V904" s="328">
        <v>4.49</v>
      </c>
      <c r="W904" s="320"/>
      <c r="X904" s="348">
        <f t="shared" si="278"/>
        <v>0</v>
      </c>
      <c r="Y904" s="330"/>
      <c r="Z904" s="348">
        <f t="shared" si="279"/>
        <v>0</v>
      </c>
      <c r="AB904" s="328">
        <f t="shared" si="280"/>
        <v>-4.8</v>
      </c>
      <c r="AC904" s="328">
        <f t="shared" si="281"/>
        <v>-4.8</v>
      </c>
    </row>
    <row r="905" spans="1:29" collapsed="1">
      <c r="A905" s="584"/>
      <c r="B905" s="585"/>
      <c r="C905" s="584"/>
      <c r="D905" s="584"/>
      <c r="E905" s="585"/>
      <c r="F905" s="585" t="s">
        <v>384</v>
      </c>
      <c r="G905" s="584" t="s">
        <v>531</v>
      </c>
      <c r="H905" s="584"/>
      <c r="I905" s="584"/>
      <c r="J905" s="584"/>
      <c r="K905" s="584"/>
      <c r="L905" s="318"/>
      <c r="M905" s="318"/>
      <c r="N905" s="318"/>
      <c r="O905" s="631" t="s">
        <v>2321</v>
      </c>
      <c r="P905" s="750"/>
      <c r="Q905" s="750"/>
      <c r="R905" s="337"/>
      <c r="S905" s="348">
        <f t="shared" si="282"/>
        <v>0</v>
      </c>
      <c r="T905" s="1024" t="s">
        <v>561</v>
      </c>
      <c r="V905" s="328"/>
      <c r="W905" s="318"/>
      <c r="X905" s="384" t="s">
        <v>2321</v>
      </c>
      <c r="Y905" s="337"/>
      <c r="Z905" s="350" t="s">
        <v>2321</v>
      </c>
      <c r="AB905" s="328"/>
      <c r="AC905" s="328"/>
    </row>
    <row r="906" spans="1:29">
      <c r="A906" s="584"/>
      <c r="B906" s="585"/>
      <c r="C906" s="584"/>
      <c r="D906" s="584"/>
      <c r="E906" s="585"/>
      <c r="F906" s="585" t="s">
        <v>384</v>
      </c>
      <c r="G906" s="584" t="s">
        <v>532</v>
      </c>
      <c r="H906" s="584"/>
      <c r="I906" s="584"/>
      <c r="J906" s="584"/>
      <c r="K906" s="584"/>
      <c r="L906" s="318"/>
      <c r="M906" s="318"/>
      <c r="N906" s="318"/>
      <c r="O906" s="631" t="s">
        <v>2321</v>
      </c>
      <c r="P906" s="750"/>
      <c r="Q906" s="750"/>
      <c r="R906" s="337"/>
      <c r="S906" s="348">
        <f t="shared" si="282"/>
        <v>0</v>
      </c>
      <c r="T906" s="1025"/>
      <c r="V906" s="328"/>
      <c r="W906" s="318"/>
      <c r="X906" s="384" t="s">
        <v>2321</v>
      </c>
      <c r="Y906" s="337"/>
      <c r="Z906" s="350" t="s">
        <v>2321</v>
      </c>
      <c r="AB906" s="328"/>
      <c r="AC906" s="328"/>
    </row>
    <row r="907" spans="1:29">
      <c r="A907" s="584"/>
      <c r="B907" s="585"/>
      <c r="C907" s="584"/>
      <c r="D907" s="584"/>
      <c r="E907" s="585"/>
      <c r="F907" s="585" t="s">
        <v>384</v>
      </c>
      <c r="G907" s="584" t="s">
        <v>533</v>
      </c>
      <c r="H907" s="584"/>
      <c r="I907" s="584"/>
      <c r="J907" s="584"/>
      <c r="K907" s="584"/>
      <c r="L907" s="318"/>
      <c r="M907" s="318"/>
      <c r="N907" s="318"/>
      <c r="O907" s="631" t="s">
        <v>2321</v>
      </c>
      <c r="P907" s="750"/>
      <c r="Q907" s="750"/>
      <c r="R907" s="337"/>
      <c r="S907" s="348">
        <f t="shared" si="282"/>
        <v>0</v>
      </c>
      <c r="T907" s="1025"/>
      <c r="V907" s="328"/>
      <c r="W907" s="318"/>
      <c r="X907" s="384" t="s">
        <v>2321</v>
      </c>
      <c r="Y907" s="337"/>
      <c r="Z907" s="350" t="s">
        <v>2321</v>
      </c>
      <c r="AB907" s="328"/>
      <c r="AC907" s="328"/>
    </row>
    <row r="908" spans="1:29">
      <c r="A908" s="584"/>
      <c r="B908" s="585"/>
      <c r="C908" s="584"/>
      <c r="D908" s="584"/>
      <c r="E908" s="585"/>
      <c r="F908" s="585" t="s">
        <v>384</v>
      </c>
      <c r="G908" s="584" t="s">
        <v>534</v>
      </c>
      <c r="H908" s="584"/>
      <c r="I908" s="584"/>
      <c r="J908" s="584"/>
      <c r="K908" s="584"/>
      <c r="L908" s="318"/>
      <c r="M908" s="318"/>
      <c r="N908" s="318"/>
      <c r="O908" s="631" t="s">
        <v>2321</v>
      </c>
      <c r="P908" s="750"/>
      <c r="Q908" s="750"/>
      <c r="R908" s="337"/>
      <c r="S908" s="348">
        <f t="shared" si="282"/>
        <v>0</v>
      </c>
      <c r="T908" s="1026"/>
      <c r="V908" s="328"/>
      <c r="W908" s="318"/>
      <c r="X908" s="384" t="s">
        <v>2321</v>
      </c>
      <c r="Y908" s="337"/>
      <c r="Z908" s="350" t="s">
        <v>2321</v>
      </c>
      <c r="AB908" s="328"/>
      <c r="AC908" s="328"/>
    </row>
    <row r="909" spans="1:29" ht="14.4" customHeight="1">
      <c r="A909" s="318"/>
      <c r="B909" s="319"/>
      <c r="C909" s="318"/>
      <c r="D909" s="318"/>
      <c r="E909" s="319"/>
      <c r="F909" s="336" t="s">
        <v>604</v>
      </c>
      <c r="G909" s="318" t="s">
        <v>1326</v>
      </c>
      <c r="H909" s="318">
        <v>4.8</v>
      </c>
      <c r="I909" s="318">
        <v>1</v>
      </c>
      <c r="J909" s="318">
        <v>1</v>
      </c>
      <c r="K909" s="318">
        <f t="shared" ref="K909:K921" si="283">H909*J909</f>
        <v>4.8</v>
      </c>
      <c r="L909" s="350" t="s">
        <v>3256</v>
      </c>
      <c r="M909" s="350" t="s">
        <v>3248</v>
      </c>
      <c r="N909" s="318">
        <v>1</v>
      </c>
      <c r="O909" s="619">
        <f t="shared" ref="O909:O921" si="284">H909*N909</f>
        <v>4.8</v>
      </c>
      <c r="P909" s="750">
        <v>1</v>
      </c>
      <c r="Q909" s="750"/>
      <c r="R909" s="337">
        <v>1</v>
      </c>
      <c r="S909" s="348">
        <f t="shared" si="282"/>
        <v>4.8</v>
      </c>
      <c r="T909" s="319"/>
      <c r="V909" s="328">
        <v>4.49</v>
      </c>
      <c r="W909" s="320"/>
      <c r="X909" s="348">
        <f t="shared" ref="X909:X921" si="285">V909*W909</f>
        <v>0</v>
      </c>
      <c r="Y909" s="330"/>
      <c r="Z909" s="348">
        <f t="shared" ref="Z909:Z921" si="286">V909*Y909</f>
        <v>0</v>
      </c>
      <c r="AB909" s="328">
        <f t="shared" ref="AB909:AB921" si="287">X909-O909</f>
        <v>-4.8</v>
      </c>
      <c r="AC909" s="328">
        <f t="shared" ref="AC909:AC921" si="288">Z909-S909</f>
        <v>-4.8</v>
      </c>
    </row>
    <row r="910" spans="1:29">
      <c r="A910" s="318"/>
      <c r="B910" s="319"/>
      <c r="C910" s="318"/>
      <c r="D910" s="318"/>
      <c r="E910" s="319"/>
      <c r="F910" s="336"/>
      <c r="G910" s="318" t="s">
        <v>1327</v>
      </c>
      <c r="H910" s="318">
        <v>4.49</v>
      </c>
      <c r="I910" s="318">
        <v>1</v>
      </c>
      <c r="J910" s="318">
        <f t="shared" ref="J910:J921" si="289">IF(N910&gt;0,1,0)</f>
        <v>1</v>
      </c>
      <c r="K910" s="318">
        <f t="shared" si="283"/>
        <v>4.49</v>
      </c>
      <c r="L910" s="318">
        <v>2006</v>
      </c>
      <c r="M910" s="318">
        <v>184</v>
      </c>
      <c r="N910" s="318">
        <v>1</v>
      </c>
      <c r="O910" s="619">
        <f t="shared" si="284"/>
        <v>4.49</v>
      </c>
      <c r="P910" s="750">
        <v>1</v>
      </c>
      <c r="Q910" s="750"/>
      <c r="R910" s="337">
        <v>1</v>
      </c>
      <c r="S910" s="348">
        <f t="shared" si="282"/>
        <v>4.49</v>
      </c>
      <c r="T910" s="319"/>
      <c r="V910" s="328">
        <v>4.49</v>
      </c>
      <c r="W910" s="320"/>
      <c r="X910" s="348">
        <f t="shared" si="285"/>
        <v>0</v>
      </c>
      <c r="Y910" s="330"/>
      <c r="Z910" s="348">
        <f t="shared" si="286"/>
        <v>0</v>
      </c>
      <c r="AB910" s="328">
        <f t="shared" si="287"/>
        <v>-4.49</v>
      </c>
      <c r="AC910" s="328">
        <f t="shared" si="288"/>
        <v>-4.49</v>
      </c>
    </row>
    <row r="911" spans="1:29">
      <c r="A911" s="318"/>
      <c r="B911" s="319"/>
      <c r="C911" s="318"/>
      <c r="D911" s="318"/>
      <c r="E911" s="319"/>
      <c r="F911" s="336"/>
      <c r="G911" s="318" t="s">
        <v>1328</v>
      </c>
      <c r="H911" s="318">
        <v>4.49</v>
      </c>
      <c r="I911" s="318">
        <v>1</v>
      </c>
      <c r="J911" s="318">
        <f t="shared" si="289"/>
        <v>1</v>
      </c>
      <c r="K911" s="318">
        <f t="shared" si="283"/>
        <v>4.49</v>
      </c>
      <c r="L911" s="318">
        <v>2006</v>
      </c>
      <c r="M911" s="318">
        <v>184</v>
      </c>
      <c r="N911" s="318">
        <v>1</v>
      </c>
      <c r="O911" s="619">
        <f t="shared" si="284"/>
        <v>4.49</v>
      </c>
      <c r="P911" s="750">
        <v>1</v>
      </c>
      <c r="Q911" s="750"/>
      <c r="R911" s="337">
        <v>1</v>
      </c>
      <c r="S911" s="348">
        <f t="shared" si="282"/>
        <v>4.49</v>
      </c>
      <c r="T911" s="319"/>
      <c r="V911" s="328">
        <v>4.49</v>
      </c>
      <c r="W911" s="320"/>
      <c r="X911" s="348">
        <f t="shared" si="285"/>
        <v>0</v>
      </c>
      <c r="Y911" s="330"/>
      <c r="Z911" s="348">
        <f t="shared" si="286"/>
        <v>0</v>
      </c>
      <c r="AB911" s="328">
        <f t="shared" si="287"/>
        <v>-4.49</v>
      </c>
      <c r="AC911" s="328">
        <f t="shared" si="288"/>
        <v>-4.49</v>
      </c>
    </row>
    <row r="912" spans="1:29">
      <c r="A912" s="318"/>
      <c r="B912" s="319"/>
      <c r="C912" s="318"/>
      <c r="D912" s="318"/>
      <c r="E912" s="319"/>
      <c r="F912" s="336"/>
      <c r="G912" s="318" t="s">
        <v>1329</v>
      </c>
      <c r="H912" s="318">
        <v>3.31</v>
      </c>
      <c r="I912" s="318">
        <v>1</v>
      </c>
      <c r="J912" s="318">
        <f t="shared" si="289"/>
        <v>1</v>
      </c>
      <c r="K912" s="318">
        <f t="shared" si="283"/>
        <v>3.31</v>
      </c>
      <c r="L912" s="350" t="s">
        <v>3102</v>
      </c>
      <c r="M912" s="318">
        <v>184</v>
      </c>
      <c r="N912" s="318">
        <v>1</v>
      </c>
      <c r="O912" s="619">
        <f t="shared" si="284"/>
        <v>3.31</v>
      </c>
      <c r="P912" s="750">
        <v>1</v>
      </c>
      <c r="Q912" s="750"/>
      <c r="R912" s="337">
        <v>1</v>
      </c>
      <c r="S912" s="348">
        <f t="shared" si="282"/>
        <v>3.31</v>
      </c>
      <c r="T912" s="319"/>
      <c r="V912" s="328">
        <v>3.3119999999999998</v>
      </c>
      <c r="W912" s="320"/>
      <c r="X912" s="348">
        <f t="shared" si="285"/>
        <v>0</v>
      </c>
      <c r="Y912" s="330"/>
      <c r="Z912" s="348">
        <f t="shared" si="286"/>
        <v>0</v>
      </c>
      <c r="AB912" s="328">
        <f t="shared" si="287"/>
        <v>-3.31</v>
      </c>
      <c r="AC912" s="328">
        <f t="shared" si="288"/>
        <v>-3.31</v>
      </c>
    </row>
    <row r="913" spans="1:29">
      <c r="A913" s="318"/>
      <c r="B913" s="319"/>
      <c r="C913" s="318"/>
      <c r="D913" s="318"/>
      <c r="E913" s="319"/>
      <c r="F913" s="336"/>
      <c r="G913" s="318" t="s">
        <v>1330</v>
      </c>
      <c r="H913" s="318">
        <v>3.31</v>
      </c>
      <c r="I913" s="318">
        <v>1</v>
      </c>
      <c r="J913" s="318">
        <f t="shared" si="289"/>
        <v>1</v>
      </c>
      <c r="K913" s="318">
        <f t="shared" si="283"/>
        <v>3.31</v>
      </c>
      <c r="L913" s="350" t="s">
        <v>2818</v>
      </c>
      <c r="M913" s="350" t="s">
        <v>2819</v>
      </c>
      <c r="N913" s="318">
        <v>1</v>
      </c>
      <c r="O913" s="619">
        <f t="shared" si="284"/>
        <v>3.31</v>
      </c>
      <c r="P913" s="750">
        <v>1</v>
      </c>
      <c r="Q913" s="750"/>
      <c r="R913" s="337">
        <v>1</v>
      </c>
      <c r="S913" s="348">
        <f t="shared" si="282"/>
        <v>3.31</v>
      </c>
      <c r="T913" s="319"/>
      <c r="V913" s="328">
        <v>3.3119999999999998</v>
      </c>
      <c r="W913" s="320"/>
      <c r="X913" s="348">
        <f t="shared" si="285"/>
        <v>0</v>
      </c>
      <c r="Y913" s="330"/>
      <c r="Z913" s="348">
        <f t="shared" si="286"/>
        <v>0</v>
      </c>
      <c r="AB913" s="328">
        <f t="shared" si="287"/>
        <v>-3.31</v>
      </c>
      <c r="AC913" s="328">
        <f t="shared" si="288"/>
        <v>-3.31</v>
      </c>
    </row>
    <row r="914" spans="1:29">
      <c r="A914" s="318"/>
      <c r="B914" s="319"/>
      <c r="C914" s="318"/>
      <c r="D914" s="318"/>
      <c r="E914" s="319"/>
      <c r="F914" s="319" t="s">
        <v>721</v>
      </c>
      <c r="G914" s="318" t="s">
        <v>1331</v>
      </c>
      <c r="H914" s="318">
        <v>3.27</v>
      </c>
      <c r="I914" s="318">
        <v>1</v>
      </c>
      <c r="J914" s="318">
        <f t="shared" si="289"/>
        <v>1</v>
      </c>
      <c r="K914" s="318">
        <f t="shared" si="283"/>
        <v>3.27</v>
      </c>
      <c r="L914" s="350" t="s">
        <v>2822</v>
      </c>
      <c r="M914" s="350" t="s">
        <v>2815</v>
      </c>
      <c r="N914" s="318">
        <v>1</v>
      </c>
      <c r="O914" s="619">
        <f t="shared" si="284"/>
        <v>3.27</v>
      </c>
      <c r="P914" s="750">
        <v>1</v>
      </c>
      <c r="Q914" s="750"/>
      <c r="R914" s="337">
        <v>1</v>
      </c>
      <c r="S914" s="348">
        <f t="shared" si="282"/>
        <v>3.27</v>
      </c>
      <c r="T914" s="319"/>
      <c r="V914" s="328">
        <v>3.2559999999999998</v>
      </c>
      <c r="W914" s="320"/>
      <c r="X914" s="348">
        <f t="shared" si="285"/>
        <v>0</v>
      </c>
      <c r="Y914" s="330"/>
      <c r="Z914" s="348">
        <f t="shared" si="286"/>
        <v>0</v>
      </c>
      <c r="AB914" s="328">
        <f t="shared" si="287"/>
        <v>-3.27</v>
      </c>
      <c r="AC914" s="328">
        <f t="shared" si="288"/>
        <v>-3.27</v>
      </c>
    </row>
    <row r="915" spans="1:29">
      <c r="A915" s="318"/>
      <c r="B915" s="319"/>
      <c r="C915" s="318"/>
      <c r="D915" s="318"/>
      <c r="E915" s="319"/>
      <c r="F915" s="319" t="s">
        <v>721</v>
      </c>
      <c r="G915" s="318" t="s">
        <v>1332</v>
      </c>
      <c r="H915" s="318">
        <v>3.27</v>
      </c>
      <c r="I915" s="318">
        <v>1</v>
      </c>
      <c r="J915" s="318">
        <f t="shared" si="289"/>
        <v>1</v>
      </c>
      <c r="K915" s="318">
        <f t="shared" si="283"/>
        <v>3.27</v>
      </c>
      <c r="L915" s="875" t="s">
        <v>3641</v>
      </c>
      <c r="M915" s="350" t="s">
        <v>3642</v>
      </c>
      <c r="N915" s="318">
        <v>1</v>
      </c>
      <c r="O915" s="619">
        <f t="shared" si="284"/>
        <v>3.27</v>
      </c>
      <c r="P915" s="750">
        <v>1</v>
      </c>
      <c r="Q915" s="750"/>
      <c r="R915" s="337">
        <v>1</v>
      </c>
      <c r="S915" s="348">
        <f t="shared" si="282"/>
        <v>3.27</v>
      </c>
      <c r="T915" s="319"/>
      <c r="V915" s="328">
        <f>3.256</f>
        <v>3.2559999999999998</v>
      </c>
      <c r="W915" s="320"/>
      <c r="X915" s="348">
        <f t="shared" si="285"/>
        <v>0</v>
      </c>
      <c r="Y915" s="330"/>
      <c r="Z915" s="348">
        <f t="shared" si="286"/>
        <v>0</v>
      </c>
      <c r="AB915" s="328">
        <f t="shared" si="287"/>
        <v>-3.27</v>
      </c>
      <c r="AC915" s="328">
        <f t="shared" si="288"/>
        <v>-3.27</v>
      </c>
    </row>
    <row r="916" spans="1:29">
      <c r="A916" s="318"/>
      <c r="B916" s="319"/>
      <c r="C916" s="318"/>
      <c r="D916" s="318"/>
      <c r="E916" s="319"/>
      <c r="F916" s="336"/>
      <c r="G916" s="318" t="s">
        <v>1333</v>
      </c>
      <c r="H916" s="318">
        <v>4.01</v>
      </c>
      <c r="I916" s="318">
        <v>1</v>
      </c>
      <c r="J916" s="318">
        <f t="shared" si="289"/>
        <v>1</v>
      </c>
      <c r="K916" s="318">
        <f t="shared" si="283"/>
        <v>4.01</v>
      </c>
      <c r="L916" s="350" t="s">
        <v>2801</v>
      </c>
      <c r="M916" s="350" t="s">
        <v>2802</v>
      </c>
      <c r="N916" s="318">
        <v>1</v>
      </c>
      <c r="O916" s="619">
        <f t="shared" si="284"/>
        <v>4.01</v>
      </c>
      <c r="P916" s="750">
        <v>1</v>
      </c>
      <c r="Q916" s="750"/>
      <c r="R916" s="337">
        <v>1</v>
      </c>
      <c r="S916" s="348">
        <f t="shared" si="282"/>
        <v>4.01</v>
      </c>
      <c r="T916" s="319"/>
      <c r="V916" s="328">
        <v>3.9950000000000001</v>
      </c>
      <c r="W916" s="320"/>
      <c r="X916" s="348">
        <f t="shared" si="285"/>
        <v>0</v>
      </c>
      <c r="Y916" s="330"/>
      <c r="Z916" s="348">
        <f t="shared" si="286"/>
        <v>0</v>
      </c>
      <c r="AB916" s="328">
        <f t="shared" si="287"/>
        <v>-4.01</v>
      </c>
      <c r="AC916" s="328">
        <f t="shared" si="288"/>
        <v>-4.01</v>
      </c>
    </row>
    <row r="917" spans="1:29">
      <c r="A917" s="318"/>
      <c r="B917" s="319"/>
      <c r="C917" s="318"/>
      <c r="D917" s="318"/>
      <c r="E917" s="319"/>
      <c r="F917" s="336"/>
      <c r="G917" s="318" t="s">
        <v>1334</v>
      </c>
      <c r="H917" s="318">
        <v>4.3499999999999996</v>
      </c>
      <c r="I917" s="318">
        <v>1</v>
      </c>
      <c r="J917" s="318">
        <f t="shared" si="289"/>
        <v>1</v>
      </c>
      <c r="K917" s="318">
        <f t="shared" si="283"/>
        <v>4.3499999999999996</v>
      </c>
      <c r="L917" s="352" t="s">
        <v>2812</v>
      </c>
      <c r="M917" s="350" t="s">
        <v>2813</v>
      </c>
      <c r="N917" s="318">
        <v>1</v>
      </c>
      <c r="O917" s="619">
        <f t="shared" si="284"/>
        <v>4.3499999999999996</v>
      </c>
      <c r="P917" s="750">
        <v>1</v>
      </c>
      <c r="Q917" s="750"/>
      <c r="R917" s="337">
        <v>1</v>
      </c>
      <c r="S917" s="348">
        <f t="shared" si="282"/>
        <v>4.3499999999999996</v>
      </c>
      <c r="T917" s="319"/>
      <c r="V917" s="328">
        <v>4.34</v>
      </c>
      <c r="W917" s="320"/>
      <c r="X917" s="348">
        <f t="shared" si="285"/>
        <v>0</v>
      </c>
      <c r="Y917" s="330"/>
      <c r="Z917" s="348">
        <f t="shared" si="286"/>
        <v>0</v>
      </c>
      <c r="AB917" s="328">
        <f t="shared" si="287"/>
        <v>-4.3499999999999996</v>
      </c>
      <c r="AC917" s="328">
        <f t="shared" si="288"/>
        <v>-4.3499999999999996</v>
      </c>
    </row>
    <row r="918" spans="1:29">
      <c r="A918" s="318"/>
      <c r="B918" s="319"/>
      <c r="C918" s="318"/>
      <c r="D918" s="318"/>
      <c r="E918" s="319"/>
      <c r="F918" s="336"/>
      <c r="G918" s="318" t="s">
        <v>1335</v>
      </c>
      <c r="H918" s="318">
        <v>4.3499999999999996</v>
      </c>
      <c r="I918" s="318">
        <v>1</v>
      </c>
      <c r="J918" s="318">
        <f t="shared" si="289"/>
        <v>1</v>
      </c>
      <c r="K918" s="318">
        <f t="shared" si="283"/>
        <v>4.3499999999999996</v>
      </c>
      <c r="L918" s="350" t="s">
        <v>2826</v>
      </c>
      <c r="M918" s="350" t="s">
        <v>2827</v>
      </c>
      <c r="N918" s="318">
        <v>1</v>
      </c>
      <c r="O918" s="619">
        <f t="shared" si="284"/>
        <v>4.3499999999999996</v>
      </c>
      <c r="P918" s="750">
        <v>1</v>
      </c>
      <c r="Q918" s="750"/>
      <c r="R918" s="337">
        <v>1</v>
      </c>
      <c r="S918" s="348">
        <f t="shared" si="282"/>
        <v>4.3499999999999996</v>
      </c>
      <c r="T918" s="319"/>
      <c r="V918" s="328">
        <v>4.34</v>
      </c>
      <c r="W918" s="320"/>
      <c r="X918" s="348">
        <f t="shared" si="285"/>
        <v>0</v>
      </c>
      <c r="Y918" s="330"/>
      <c r="Z918" s="348">
        <f t="shared" si="286"/>
        <v>0</v>
      </c>
      <c r="AB918" s="328">
        <f t="shared" si="287"/>
        <v>-4.3499999999999996</v>
      </c>
      <c r="AC918" s="328">
        <f t="shared" si="288"/>
        <v>-4.3499999999999996</v>
      </c>
    </row>
    <row r="919" spans="1:29">
      <c r="A919" s="318"/>
      <c r="B919" s="319"/>
      <c r="C919" s="318"/>
      <c r="D919" s="318"/>
      <c r="E919" s="319"/>
      <c r="F919" s="336"/>
      <c r="G919" s="318" t="s">
        <v>1336</v>
      </c>
      <c r="H919" s="318">
        <v>4.3499999999999996</v>
      </c>
      <c r="I919" s="318">
        <v>1</v>
      </c>
      <c r="J919" s="318">
        <f t="shared" si="289"/>
        <v>1</v>
      </c>
      <c r="K919" s="318">
        <f t="shared" si="283"/>
        <v>4.3499999999999996</v>
      </c>
      <c r="L919" s="350" t="s">
        <v>2816</v>
      </c>
      <c r="M919" s="350" t="s">
        <v>2817</v>
      </c>
      <c r="N919" s="318">
        <v>1</v>
      </c>
      <c r="O919" s="619">
        <f t="shared" si="284"/>
        <v>4.3499999999999996</v>
      </c>
      <c r="P919" s="750">
        <v>1</v>
      </c>
      <c r="Q919" s="750"/>
      <c r="R919" s="337">
        <v>1</v>
      </c>
      <c r="S919" s="348">
        <f t="shared" si="282"/>
        <v>4.3499999999999996</v>
      </c>
      <c r="T919" s="319"/>
      <c r="V919" s="328">
        <v>4.34</v>
      </c>
      <c r="W919" s="320"/>
      <c r="X919" s="348">
        <f t="shared" si="285"/>
        <v>0</v>
      </c>
      <c r="Y919" s="330"/>
      <c r="Z919" s="348">
        <f t="shared" si="286"/>
        <v>0</v>
      </c>
      <c r="AB919" s="328">
        <f t="shared" si="287"/>
        <v>-4.3499999999999996</v>
      </c>
      <c r="AC919" s="328">
        <f t="shared" si="288"/>
        <v>-4.3499999999999996</v>
      </c>
    </row>
    <row r="920" spans="1:29">
      <c r="A920" s="318"/>
      <c r="B920" s="319"/>
      <c r="C920" s="318"/>
      <c r="D920" s="318"/>
      <c r="E920" s="319"/>
      <c r="F920" s="336"/>
      <c r="G920" s="318" t="s">
        <v>1337</v>
      </c>
      <c r="H920" s="318">
        <v>3.68</v>
      </c>
      <c r="I920" s="318">
        <v>1</v>
      </c>
      <c r="J920" s="318">
        <f t="shared" si="289"/>
        <v>1</v>
      </c>
      <c r="K920" s="318">
        <f t="shared" si="283"/>
        <v>3.68</v>
      </c>
      <c r="L920" s="352" t="s">
        <v>2922</v>
      </c>
      <c r="M920" s="350" t="s">
        <v>2875</v>
      </c>
      <c r="N920" s="318">
        <v>1</v>
      </c>
      <c r="O920" s="619">
        <f t="shared" si="284"/>
        <v>3.68</v>
      </c>
      <c r="P920" s="750">
        <v>1</v>
      </c>
      <c r="Q920" s="750"/>
      <c r="R920" s="337">
        <v>1</v>
      </c>
      <c r="S920" s="348">
        <f t="shared" si="282"/>
        <v>3.68</v>
      </c>
      <c r="T920" s="319"/>
      <c r="V920" s="328">
        <v>3.9950000000000001</v>
      </c>
      <c r="W920" s="320"/>
      <c r="X920" s="348">
        <f t="shared" si="285"/>
        <v>0</v>
      </c>
      <c r="Y920" s="330"/>
      <c r="Z920" s="348">
        <f t="shared" si="286"/>
        <v>0</v>
      </c>
      <c r="AB920" s="328">
        <f t="shared" si="287"/>
        <v>-3.68</v>
      </c>
      <c r="AC920" s="328">
        <f t="shared" si="288"/>
        <v>-3.68</v>
      </c>
    </row>
    <row r="921" spans="1:29">
      <c r="A921" s="318"/>
      <c r="B921" s="319"/>
      <c r="C921" s="318"/>
      <c r="D921" s="318"/>
      <c r="E921" s="319"/>
      <c r="F921" s="336"/>
      <c r="G921" s="318" t="s">
        <v>1338</v>
      </c>
      <c r="H921" s="318">
        <v>1.5</v>
      </c>
      <c r="I921" s="318">
        <v>1</v>
      </c>
      <c r="J921" s="318">
        <f t="shared" si="289"/>
        <v>1</v>
      </c>
      <c r="K921" s="318">
        <f t="shared" si="283"/>
        <v>1.5</v>
      </c>
      <c r="L921" s="350" t="s">
        <v>2825</v>
      </c>
      <c r="M921" s="350" t="s">
        <v>2824</v>
      </c>
      <c r="N921" s="318">
        <v>1</v>
      </c>
      <c r="O921" s="619">
        <f t="shared" si="284"/>
        <v>1.5</v>
      </c>
      <c r="P921" s="750">
        <v>1</v>
      </c>
      <c r="Q921" s="750"/>
      <c r="R921" s="337">
        <v>1</v>
      </c>
      <c r="S921" s="348">
        <f t="shared" si="282"/>
        <v>1.5</v>
      </c>
      <c r="T921" s="319"/>
      <c r="V921" s="328">
        <v>1.8</v>
      </c>
      <c r="W921" s="320"/>
      <c r="X921" s="348">
        <f t="shared" si="285"/>
        <v>0</v>
      </c>
      <c r="Y921" s="330"/>
      <c r="Z921" s="348">
        <f t="shared" si="286"/>
        <v>0</v>
      </c>
      <c r="AB921" s="328">
        <f t="shared" si="287"/>
        <v>-1.5</v>
      </c>
      <c r="AC921" s="328">
        <f t="shared" si="288"/>
        <v>-1.5</v>
      </c>
    </row>
    <row r="922" spans="1:29">
      <c r="A922" s="318"/>
      <c r="B922" s="319"/>
      <c r="C922" s="318"/>
      <c r="D922" s="318"/>
      <c r="E922" s="319"/>
      <c r="F922" s="319"/>
      <c r="G922" s="318"/>
      <c r="H922" s="318"/>
      <c r="I922" s="318"/>
      <c r="J922" s="382" t="s">
        <v>389</v>
      </c>
      <c r="K922" s="321">
        <f>SUM(K886:K921)</f>
        <v>125.16</v>
      </c>
      <c r="L922" s="318"/>
      <c r="M922" s="318"/>
      <c r="N922" s="382" t="s">
        <v>389</v>
      </c>
      <c r="O922" s="748">
        <f>SUM(O886:O921)</f>
        <v>125.16</v>
      </c>
      <c r="P922" s="751" t="s">
        <v>389</v>
      </c>
      <c r="Q922" s="751"/>
      <c r="R922" s="382"/>
      <c r="S922" s="321">
        <f>SUM(S886:S921)</f>
        <v>125.16</v>
      </c>
      <c r="T922" s="319"/>
      <c r="V922" s="328"/>
      <c r="W922" s="321" t="s">
        <v>389</v>
      </c>
      <c r="X922" s="338">
        <f>SUM(X886:X921)</f>
        <v>54.163000000000004</v>
      </c>
      <c r="Y922" s="321" t="s">
        <v>389</v>
      </c>
      <c r="Z922" s="338">
        <f>SUM(Z886:Z921)</f>
        <v>24.514000000000003</v>
      </c>
      <c r="AB922" s="328"/>
      <c r="AC922" s="328"/>
    </row>
    <row r="923" spans="1:29" ht="6.75" customHeight="1" thickBot="1">
      <c r="A923" s="316"/>
      <c r="B923" s="317"/>
      <c r="C923" s="316"/>
      <c r="D923" s="316"/>
      <c r="E923" s="317"/>
      <c r="F923" s="317"/>
      <c r="G923" s="316"/>
      <c r="H923" s="316"/>
      <c r="I923" s="316"/>
      <c r="J923" s="316"/>
      <c r="K923" s="316"/>
      <c r="L923" s="949"/>
      <c r="M923" s="949"/>
      <c r="N923" s="949"/>
      <c r="O923" s="749"/>
      <c r="P923" s="633"/>
      <c r="Q923" s="633"/>
      <c r="R923" s="1007"/>
      <c r="S923" s="339"/>
      <c r="T923" s="317"/>
      <c r="V923" s="332"/>
      <c r="W923" s="316"/>
      <c r="X923" s="339"/>
      <c r="Y923" s="316"/>
      <c r="Z923" s="339"/>
      <c r="AB923" s="332"/>
      <c r="AC923" s="332"/>
    </row>
    <row r="924" spans="1:29" ht="15.6" collapsed="1" thickTop="1" thickBot="1">
      <c r="A924" s="318">
        <v>23</v>
      </c>
      <c r="B924" s="319" t="s">
        <v>383</v>
      </c>
      <c r="C924" s="318">
        <v>600</v>
      </c>
      <c r="D924" s="318">
        <v>28</v>
      </c>
      <c r="E924" s="319">
        <v>1</v>
      </c>
      <c r="F924" s="336"/>
      <c r="G924" s="318" t="s">
        <v>1339</v>
      </c>
      <c r="H924" s="318">
        <v>2.04</v>
      </c>
      <c r="I924" s="318">
        <v>1</v>
      </c>
      <c r="J924" s="318">
        <f t="shared" ref="J924:J938" si="290">IF(N924&gt;0,1,0)</f>
        <v>1</v>
      </c>
      <c r="K924" s="318">
        <f t="shared" ref="K924:K939" si="291">H924*J924</f>
        <v>2.04</v>
      </c>
      <c r="L924" s="318">
        <v>1922</v>
      </c>
      <c r="M924" s="318">
        <v>176</v>
      </c>
      <c r="N924" s="318">
        <v>1</v>
      </c>
      <c r="O924" s="619">
        <f t="shared" ref="O924:O939" si="292">H924*N924</f>
        <v>2.04</v>
      </c>
      <c r="P924" s="750">
        <v>1</v>
      </c>
      <c r="Q924" s="747"/>
      <c r="R924" s="624">
        <v>1</v>
      </c>
      <c r="S924" s="626">
        <f>H924*R924</f>
        <v>2.04</v>
      </c>
      <c r="T924" s="319" t="s">
        <v>3346</v>
      </c>
      <c r="V924" s="328">
        <v>2.355</v>
      </c>
      <c r="W924" s="320">
        <v>1</v>
      </c>
      <c r="X924" s="348">
        <f t="shared" ref="X924:X939" si="293">V924*W924</f>
        <v>2.355</v>
      </c>
      <c r="Y924" s="458"/>
      <c r="Z924" s="348">
        <f t="shared" ref="Z924:Z939" si="294">V924*Y924</f>
        <v>0</v>
      </c>
      <c r="AB924" s="328">
        <f t="shared" ref="AB924:AB939" si="295">X924-O924</f>
        <v>0.31499999999999995</v>
      </c>
      <c r="AC924" s="328">
        <f t="shared" ref="AC924:AC939" si="296">Z924-S924</f>
        <v>-2.04</v>
      </c>
    </row>
    <row r="925" spans="1:29" ht="15" thickTop="1">
      <c r="A925" s="318"/>
      <c r="B925" s="319"/>
      <c r="C925" s="318"/>
      <c r="D925" s="318"/>
      <c r="E925" s="319"/>
      <c r="F925" s="319"/>
      <c r="G925" s="318" t="s">
        <v>1340</v>
      </c>
      <c r="H925" s="318">
        <v>4.84</v>
      </c>
      <c r="I925" s="318">
        <v>1</v>
      </c>
      <c r="J925" s="318">
        <f t="shared" si="290"/>
        <v>1</v>
      </c>
      <c r="K925" s="318">
        <f t="shared" si="291"/>
        <v>4.84</v>
      </c>
      <c r="L925" s="318">
        <v>1922</v>
      </c>
      <c r="M925" s="318">
        <v>176</v>
      </c>
      <c r="N925" s="318">
        <v>1</v>
      </c>
      <c r="O925" s="619">
        <f t="shared" si="292"/>
        <v>4.84</v>
      </c>
      <c r="P925" s="755">
        <v>1</v>
      </c>
      <c r="Q925" s="755"/>
      <c r="R925" s="341">
        <v>1</v>
      </c>
      <c r="S925" s="348">
        <f>H925*R925</f>
        <v>4.84</v>
      </c>
      <c r="T925" s="319"/>
      <c r="V925" s="328">
        <v>5.1520000000000001</v>
      </c>
      <c r="W925" s="320"/>
      <c r="X925" s="348">
        <f t="shared" si="293"/>
        <v>0</v>
      </c>
      <c r="Y925" s="320"/>
      <c r="Z925" s="348">
        <f t="shared" si="294"/>
        <v>0</v>
      </c>
      <c r="AB925" s="328">
        <f t="shared" si="295"/>
        <v>-4.84</v>
      </c>
      <c r="AC925" s="328">
        <f t="shared" si="296"/>
        <v>-4.84</v>
      </c>
    </row>
    <row r="926" spans="1:29">
      <c r="A926" s="318"/>
      <c r="B926" s="319"/>
      <c r="C926" s="318"/>
      <c r="D926" s="318"/>
      <c r="E926" s="319"/>
      <c r="F926" s="319"/>
      <c r="G926" s="318" t="s">
        <v>1341</v>
      </c>
      <c r="H926" s="318">
        <v>4.49</v>
      </c>
      <c r="I926" s="318">
        <v>1</v>
      </c>
      <c r="J926" s="318">
        <f t="shared" si="290"/>
        <v>1</v>
      </c>
      <c r="K926" s="318">
        <f t="shared" si="291"/>
        <v>4.49</v>
      </c>
      <c r="L926" s="318">
        <v>1725</v>
      </c>
      <c r="M926" s="318">
        <v>160</v>
      </c>
      <c r="N926" s="318">
        <v>1</v>
      </c>
      <c r="O926" s="619">
        <f t="shared" si="292"/>
        <v>4.49</v>
      </c>
      <c r="P926" s="750">
        <v>1</v>
      </c>
      <c r="Q926" s="750"/>
      <c r="R926" s="337">
        <v>1</v>
      </c>
      <c r="S926" s="348">
        <f t="shared" ref="S926:S951" si="297">H926*R926</f>
        <v>4.49</v>
      </c>
      <c r="T926" s="319"/>
      <c r="V926" s="328">
        <v>4.49</v>
      </c>
      <c r="W926" s="320">
        <v>1</v>
      </c>
      <c r="X926" s="348">
        <f t="shared" si="293"/>
        <v>4.49</v>
      </c>
      <c r="Y926" s="330">
        <v>1</v>
      </c>
      <c r="Z926" s="348">
        <f t="shared" si="294"/>
        <v>4.49</v>
      </c>
      <c r="AB926" s="328">
        <f t="shared" si="295"/>
        <v>0</v>
      </c>
      <c r="AC926" s="328">
        <f t="shared" si="296"/>
        <v>0</v>
      </c>
    </row>
    <row r="927" spans="1:29">
      <c r="A927" s="318"/>
      <c r="B927" s="319"/>
      <c r="C927" s="318"/>
      <c r="D927" s="318"/>
      <c r="E927" s="319"/>
      <c r="F927" s="336"/>
      <c r="G927" s="318" t="s">
        <v>1342</v>
      </c>
      <c r="H927" s="318">
        <v>4.49</v>
      </c>
      <c r="I927" s="318">
        <v>1</v>
      </c>
      <c r="J927" s="318">
        <f t="shared" si="290"/>
        <v>1</v>
      </c>
      <c r="K927" s="318">
        <f t="shared" si="291"/>
        <v>4.49</v>
      </c>
      <c r="L927" s="318">
        <v>1725</v>
      </c>
      <c r="M927" s="318">
        <v>160</v>
      </c>
      <c r="N927" s="318">
        <v>1</v>
      </c>
      <c r="O927" s="619">
        <f t="shared" si="292"/>
        <v>4.49</v>
      </c>
      <c r="P927" s="750">
        <v>1</v>
      </c>
      <c r="Q927" s="750"/>
      <c r="R927" s="337">
        <v>1</v>
      </c>
      <c r="S927" s="348">
        <f t="shared" si="297"/>
        <v>4.49</v>
      </c>
      <c r="T927" s="319"/>
      <c r="V927" s="328">
        <v>4.49</v>
      </c>
      <c r="W927" s="320">
        <v>1</v>
      </c>
      <c r="X927" s="348">
        <f t="shared" si="293"/>
        <v>4.49</v>
      </c>
      <c r="Y927" s="330">
        <v>1</v>
      </c>
      <c r="Z927" s="348">
        <f t="shared" si="294"/>
        <v>4.49</v>
      </c>
      <c r="AB927" s="328">
        <f t="shared" si="295"/>
        <v>0</v>
      </c>
      <c r="AC927" s="328">
        <f t="shared" si="296"/>
        <v>0</v>
      </c>
    </row>
    <row r="928" spans="1:29">
      <c r="A928" s="318"/>
      <c r="B928" s="319"/>
      <c r="C928" s="318"/>
      <c r="D928" s="318"/>
      <c r="E928" s="319"/>
      <c r="F928" s="319"/>
      <c r="G928" s="318" t="s">
        <v>1343</v>
      </c>
      <c r="H928" s="318">
        <v>4.49</v>
      </c>
      <c r="I928" s="318">
        <v>1</v>
      </c>
      <c r="J928" s="318">
        <f t="shared" si="290"/>
        <v>1</v>
      </c>
      <c r="K928" s="318">
        <f t="shared" si="291"/>
        <v>4.49</v>
      </c>
      <c r="L928" s="318">
        <v>1725</v>
      </c>
      <c r="M928" s="318">
        <v>160</v>
      </c>
      <c r="N928" s="318">
        <v>1</v>
      </c>
      <c r="O928" s="619">
        <f t="shared" si="292"/>
        <v>4.49</v>
      </c>
      <c r="P928" s="750">
        <v>1</v>
      </c>
      <c r="Q928" s="750"/>
      <c r="R928" s="337">
        <v>1</v>
      </c>
      <c r="S928" s="348">
        <f t="shared" si="297"/>
        <v>4.49</v>
      </c>
      <c r="T928" s="319"/>
      <c r="V928" s="328">
        <v>4.49</v>
      </c>
      <c r="W928" s="320">
        <v>1</v>
      </c>
      <c r="X928" s="348">
        <f t="shared" si="293"/>
        <v>4.49</v>
      </c>
      <c r="Y928" s="330">
        <v>1</v>
      </c>
      <c r="Z928" s="348">
        <f t="shared" si="294"/>
        <v>4.49</v>
      </c>
      <c r="AB928" s="328">
        <f t="shared" si="295"/>
        <v>0</v>
      </c>
      <c r="AC928" s="328">
        <f t="shared" si="296"/>
        <v>0</v>
      </c>
    </row>
    <row r="929" spans="1:29">
      <c r="A929" s="318"/>
      <c r="B929" s="319"/>
      <c r="C929" s="318"/>
      <c r="D929" s="318"/>
      <c r="E929" s="319"/>
      <c r="F929" s="319"/>
      <c r="G929" s="318" t="s">
        <v>1344</v>
      </c>
      <c r="H929" s="318">
        <v>3.29</v>
      </c>
      <c r="I929" s="318">
        <v>1</v>
      </c>
      <c r="J929" s="318">
        <f t="shared" si="290"/>
        <v>1</v>
      </c>
      <c r="K929" s="318">
        <f t="shared" si="291"/>
        <v>3.29</v>
      </c>
      <c r="L929" s="318">
        <v>1725</v>
      </c>
      <c r="M929" s="318">
        <v>160</v>
      </c>
      <c r="N929" s="318">
        <v>1</v>
      </c>
      <c r="O929" s="619">
        <f t="shared" si="292"/>
        <v>3.29</v>
      </c>
      <c r="P929" s="750">
        <v>1</v>
      </c>
      <c r="Q929" s="750"/>
      <c r="R929" s="337">
        <v>1</v>
      </c>
      <c r="S929" s="348">
        <f t="shared" si="297"/>
        <v>3.29</v>
      </c>
      <c r="T929" s="319" t="s">
        <v>3060</v>
      </c>
      <c r="V929" s="328">
        <v>3.2770000000000001</v>
      </c>
      <c r="W929" s="320">
        <v>1</v>
      </c>
      <c r="X929" s="348">
        <f t="shared" si="293"/>
        <v>3.2770000000000001</v>
      </c>
      <c r="Y929" s="330">
        <v>1</v>
      </c>
      <c r="Z929" s="348">
        <f t="shared" si="294"/>
        <v>3.2770000000000001</v>
      </c>
      <c r="AB929" s="328">
        <f t="shared" si="295"/>
        <v>-1.2999999999999901E-2</v>
      </c>
      <c r="AC929" s="328">
        <f t="shared" si="296"/>
        <v>-1.2999999999999901E-2</v>
      </c>
    </row>
    <row r="930" spans="1:29">
      <c r="A930" s="318"/>
      <c r="B930" s="319"/>
      <c r="C930" s="318"/>
      <c r="D930" s="318"/>
      <c r="E930" s="319"/>
      <c r="F930" s="319"/>
      <c r="G930" s="318" t="s">
        <v>1345</v>
      </c>
      <c r="H930" s="318">
        <v>3.29</v>
      </c>
      <c r="I930" s="318">
        <v>1</v>
      </c>
      <c r="J930" s="318">
        <f t="shared" si="290"/>
        <v>1</v>
      </c>
      <c r="K930" s="318">
        <f t="shared" si="291"/>
        <v>3.29</v>
      </c>
      <c r="L930" s="318">
        <v>1725</v>
      </c>
      <c r="M930" s="318">
        <v>160</v>
      </c>
      <c r="N930" s="318">
        <v>1</v>
      </c>
      <c r="O930" s="619">
        <f t="shared" si="292"/>
        <v>3.29</v>
      </c>
      <c r="P930" s="750">
        <v>1</v>
      </c>
      <c r="Q930" s="750"/>
      <c r="R930" s="337">
        <v>1</v>
      </c>
      <c r="S930" s="348">
        <f t="shared" si="297"/>
        <v>3.29</v>
      </c>
      <c r="T930" s="319"/>
      <c r="V930" s="328">
        <v>3.2770000000000001</v>
      </c>
      <c r="W930" s="320">
        <v>1</v>
      </c>
      <c r="X930" s="348">
        <f t="shared" si="293"/>
        <v>3.2770000000000001</v>
      </c>
      <c r="Y930" s="330">
        <v>1</v>
      </c>
      <c r="Z930" s="348">
        <f t="shared" si="294"/>
        <v>3.2770000000000001</v>
      </c>
      <c r="AB930" s="328">
        <f t="shared" si="295"/>
        <v>-1.2999999999999901E-2</v>
      </c>
      <c r="AC930" s="328">
        <f t="shared" si="296"/>
        <v>-1.2999999999999901E-2</v>
      </c>
    </row>
    <row r="931" spans="1:29">
      <c r="A931" s="318"/>
      <c r="B931" s="319"/>
      <c r="C931" s="318"/>
      <c r="D931" s="318"/>
      <c r="E931" s="319"/>
      <c r="F931" s="319"/>
      <c r="G931" s="318" t="s">
        <v>1346</v>
      </c>
      <c r="H931" s="318">
        <v>3.27</v>
      </c>
      <c r="I931" s="318">
        <v>1</v>
      </c>
      <c r="J931" s="318">
        <f t="shared" si="290"/>
        <v>1</v>
      </c>
      <c r="K931" s="318">
        <f t="shared" si="291"/>
        <v>3.27</v>
      </c>
      <c r="L931" s="350" t="s">
        <v>3469</v>
      </c>
      <c r="M931" s="350" t="s">
        <v>3029</v>
      </c>
      <c r="N931" s="318">
        <v>1</v>
      </c>
      <c r="O931" s="619">
        <f t="shared" si="292"/>
        <v>3.27</v>
      </c>
      <c r="P931" s="750">
        <v>1</v>
      </c>
      <c r="Q931" s="750"/>
      <c r="R931" s="337">
        <v>1</v>
      </c>
      <c r="S931" s="348">
        <f t="shared" si="297"/>
        <v>3.27</v>
      </c>
      <c r="T931" s="319"/>
      <c r="V931" s="328">
        <v>3.258</v>
      </c>
      <c r="W931" s="320"/>
      <c r="X931" s="348">
        <f t="shared" si="293"/>
        <v>0</v>
      </c>
      <c r="Y931" s="330"/>
      <c r="Z931" s="348">
        <f t="shared" si="294"/>
        <v>0</v>
      </c>
      <c r="AB931" s="328">
        <f t="shared" si="295"/>
        <v>-3.27</v>
      </c>
      <c r="AC931" s="328">
        <f t="shared" si="296"/>
        <v>-3.27</v>
      </c>
    </row>
    <row r="932" spans="1:29" ht="14.4" customHeight="1">
      <c r="A932" s="318"/>
      <c r="B932" s="319"/>
      <c r="C932" s="318"/>
      <c r="D932" s="318"/>
      <c r="E932" s="319"/>
      <c r="F932" s="336"/>
      <c r="G932" s="318" t="s">
        <v>1347</v>
      </c>
      <c r="H932" s="318">
        <v>4.09</v>
      </c>
      <c r="I932" s="318">
        <v>1</v>
      </c>
      <c r="J932" s="318">
        <f t="shared" si="290"/>
        <v>1</v>
      </c>
      <c r="K932" s="318">
        <f t="shared" si="291"/>
        <v>4.09</v>
      </c>
      <c r="L932" s="350" t="s">
        <v>3469</v>
      </c>
      <c r="M932" s="350" t="s">
        <v>3029</v>
      </c>
      <c r="N932" s="318">
        <v>1</v>
      </c>
      <c r="O932" s="619">
        <f t="shared" si="292"/>
        <v>4.09</v>
      </c>
      <c r="P932" s="750">
        <v>1</v>
      </c>
      <c r="Q932" s="750"/>
      <c r="R932" s="337">
        <v>1</v>
      </c>
      <c r="S932" s="348">
        <f t="shared" si="297"/>
        <v>4.09</v>
      </c>
      <c r="T932" s="319"/>
      <c r="V932" s="328">
        <f>3.258+0.821</f>
        <v>4.0789999999999997</v>
      </c>
      <c r="W932" s="320"/>
      <c r="X932" s="348">
        <f t="shared" si="293"/>
        <v>0</v>
      </c>
      <c r="Y932" s="330"/>
      <c r="Z932" s="348">
        <f t="shared" si="294"/>
        <v>0</v>
      </c>
      <c r="AB932" s="328">
        <f t="shared" si="295"/>
        <v>-4.09</v>
      </c>
      <c r="AC932" s="328">
        <f t="shared" si="296"/>
        <v>-4.09</v>
      </c>
    </row>
    <row r="933" spans="1:29">
      <c r="A933" s="318"/>
      <c r="B933" s="319"/>
      <c r="C933" s="318"/>
      <c r="D933" s="318"/>
      <c r="E933" s="319"/>
      <c r="F933" s="319"/>
      <c r="G933" s="318" t="s">
        <v>1348</v>
      </c>
      <c r="H933" s="318">
        <v>3.81</v>
      </c>
      <c r="I933" s="318">
        <v>1</v>
      </c>
      <c r="J933" s="318">
        <f t="shared" si="290"/>
        <v>1</v>
      </c>
      <c r="K933" s="318">
        <f t="shared" si="291"/>
        <v>3.81</v>
      </c>
      <c r="L933" s="318">
        <v>2000</v>
      </c>
      <c r="M933" s="318">
        <v>184</v>
      </c>
      <c r="N933" s="318">
        <v>1</v>
      </c>
      <c r="O933" s="619">
        <f t="shared" si="292"/>
        <v>3.81</v>
      </c>
      <c r="P933" s="750">
        <v>1</v>
      </c>
      <c r="Q933" s="750"/>
      <c r="R933" s="337">
        <v>1</v>
      </c>
      <c r="S933" s="348">
        <f t="shared" si="297"/>
        <v>3.81</v>
      </c>
      <c r="T933" s="319"/>
      <c r="V933" s="328">
        <v>3.802</v>
      </c>
      <c r="W933" s="320"/>
      <c r="X933" s="348">
        <f t="shared" si="293"/>
        <v>0</v>
      </c>
      <c r="Y933" s="330"/>
      <c r="Z933" s="348">
        <f t="shared" si="294"/>
        <v>0</v>
      </c>
      <c r="AB933" s="328">
        <f t="shared" si="295"/>
        <v>-3.81</v>
      </c>
      <c r="AC933" s="328">
        <f t="shared" si="296"/>
        <v>-3.81</v>
      </c>
    </row>
    <row r="934" spans="1:29">
      <c r="A934" s="318"/>
      <c r="B934" s="319"/>
      <c r="C934" s="318"/>
      <c r="D934" s="318"/>
      <c r="E934" s="319"/>
      <c r="F934" s="319"/>
      <c r="G934" s="318" t="s">
        <v>1349</v>
      </c>
      <c r="H934" s="318">
        <v>3.81</v>
      </c>
      <c r="I934" s="318">
        <v>1</v>
      </c>
      <c r="J934" s="318">
        <f t="shared" si="290"/>
        <v>1</v>
      </c>
      <c r="K934" s="318">
        <f t="shared" si="291"/>
        <v>3.81</v>
      </c>
      <c r="L934" s="318">
        <v>2000</v>
      </c>
      <c r="M934" s="318">
        <v>184</v>
      </c>
      <c r="N934" s="318">
        <v>1</v>
      </c>
      <c r="O934" s="619">
        <f t="shared" si="292"/>
        <v>3.81</v>
      </c>
      <c r="P934" s="750">
        <v>1</v>
      </c>
      <c r="Q934" s="750"/>
      <c r="R934" s="337">
        <v>1</v>
      </c>
      <c r="S934" s="348">
        <f t="shared" si="297"/>
        <v>3.81</v>
      </c>
      <c r="T934" s="319"/>
      <c r="V934" s="328">
        <v>3.802</v>
      </c>
      <c r="W934" s="320"/>
      <c r="X934" s="348">
        <f t="shared" si="293"/>
        <v>0</v>
      </c>
      <c r="Y934" s="330"/>
      <c r="Z934" s="348">
        <f t="shared" si="294"/>
        <v>0</v>
      </c>
      <c r="AB934" s="328">
        <f t="shared" si="295"/>
        <v>-3.81</v>
      </c>
      <c r="AC934" s="328">
        <f t="shared" si="296"/>
        <v>-3.81</v>
      </c>
    </row>
    <row r="935" spans="1:29">
      <c r="A935" s="318"/>
      <c r="B935" s="319"/>
      <c r="C935" s="318"/>
      <c r="D935" s="318"/>
      <c r="E935" s="319"/>
      <c r="F935" s="319"/>
      <c r="G935" s="318" t="s">
        <v>1350</v>
      </c>
      <c r="H935" s="318">
        <v>3.81</v>
      </c>
      <c r="I935" s="318">
        <v>1</v>
      </c>
      <c r="J935" s="318">
        <f t="shared" si="290"/>
        <v>1</v>
      </c>
      <c r="K935" s="318">
        <f t="shared" si="291"/>
        <v>3.81</v>
      </c>
      <c r="L935" s="318">
        <v>2000</v>
      </c>
      <c r="M935" s="318">
        <v>184</v>
      </c>
      <c r="N935" s="318">
        <v>1</v>
      </c>
      <c r="O935" s="619">
        <f t="shared" si="292"/>
        <v>3.81</v>
      </c>
      <c r="P935" s="750">
        <v>1</v>
      </c>
      <c r="Q935" s="750"/>
      <c r="R935" s="337">
        <v>1</v>
      </c>
      <c r="S935" s="348">
        <f t="shared" si="297"/>
        <v>3.81</v>
      </c>
      <c r="T935" s="319"/>
      <c r="V935" s="328">
        <v>3.802</v>
      </c>
      <c r="W935" s="320"/>
      <c r="X935" s="348">
        <f t="shared" si="293"/>
        <v>0</v>
      </c>
      <c r="Y935" s="330"/>
      <c r="Z935" s="348">
        <f t="shared" si="294"/>
        <v>0</v>
      </c>
      <c r="AB935" s="328">
        <f t="shared" si="295"/>
        <v>-3.81</v>
      </c>
      <c r="AC935" s="328">
        <f t="shared" si="296"/>
        <v>-3.81</v>
      </c>
    </row>
    <row r="936" spans="1:29">
      <c r="A936" s="318"/>
      <c r="B936" s="319"/>
      <c r="C936" s="318"/>
      <c r="D936" s="318"/>
      <c r="E936" s="319"/>
      <c r="F936" s="319"/>
      <c r="G936" s="318" t="s">
        <v>1351</v>
      </c>
      <c r="H936" s="318">
        <v>3.81</v>
      </c>
      <c r="I936" s="318">
        <v>1</v>
      </c>
      <c r="J936" s="318">
        <f t="shared" si="290"/>
        <v>1</v>
      </c>
      <c r="K936" s="318">
        <f t="shared" si="291"/>
        <v>3.81</v>
      </c>
      <c r="L936" s="318">
        <v>2000</v>
      </c>
      <c r="M936" s="318">
        <v>184</v>
      </c>
      <c r="N936" s="318">
        <v>1</v>
      </c>
      <c r="O936" s="619">
        <f t="shared" si="292"/>
        <v>3.81</v>
      </c>
      <c r="P936" s="750">
        <v>1</v>
      </c>
      <c r="Q936" s="750"/>
      <c r="R936" s="337">
        <v>1</v>
      </c>
      <c r="S936" s="348">
        <f t="shared" si="297"/>
        <v>3.81</v>
      </c>
      <c r="T936" s="319"/>
      <c r="V936" s="328">
        <v>3.802</v>
      </c>
      <c r="W936" s="320"/>
      <c r="X936" s="348">
        <f t="shared" si="293"/>
        <v>0</v>
      </c>
      <c r="Y936" s="330"/>
      <c r="Z936" s="348">
        <f t="shared" si="294"/>
        <v>0</v>
      </c>
      <c r="AB936" s="328">
        <f t="shared" si="295"/>
        <v>-3.81</v>
      </c>
      <c r="AC936" s="328">
        <f t="shared" si="296"/>
        <v>-3.81</v>
      </c>
    </row>
    <row r="937" spans="1:29">
      <c r="A937" s="318"/>
      <c r="B937" s="319"/>
      <c r="C937" s="318"/>
      <c r="D937" s="318"/>
      <c r="E937" s="319"/>
      <c r="F937" s="319"/>
      <c r="G937" s="318" t="s">
        <v>1352</v>
      </c>
      <c r="H937" s="318">
        <v>3.81</v>
      </c>
      <c r="I937" s="318">
        <v>1</v>
      </c>
      <c r="J937" s="318">
        <f t="shared" si="290"/>
        <v>1</v>
      </c>
      <c r="K937" s="318">
        <f t="shared" si="291"/>
        <v>3.81</v>
      </c>
      <c r="L937" s="318">
        <v>1922</v>
      </c>
      <c r="M937" s="318">
        <v>176</v>
      </c>
      <c r="N937" s="318">
        <v>1</v>
      </c>
      <c r="O937" s="619">
        <f t="shared" si="292"/>
        <v>3.81</v>
      </c>
      <c r="P937" s="750">
        <v>1</v>
      </c>
      <c r="Q937" s="750"/>
      <c r="R937" s="337">
        <v>1</v>
      </c>
      <c r="S937" s="348">
        <f t="shared" si="297"/>
        <v>3.81</v>
      </c>
      <c r="T937" s="319"/>
      <c r="V937" s="328">
        <v>3.802</v>
      </c>
      <c r="W937" s="320">
        <v>1</v>
      </c>
      <c r="X937" s="348">
        <f t="shared" si="293"/>
        <v>3.802</v>
      </c>
      <c r="Y937" s="330"/>
      <c r="Z937" s="348">
        <f t="shared" si="294"/>
        <v>0</v>
      </c>
      <c r="AB937" s="328">
        <f t="shared" si="295"/>
        <v>-8.0000000000000071E-3</v>
      </c>
      <c r="AC937" s="328">
        <f t="shared" si="296"/>
        <v>-3.81</v>
      </c>
    </row>
    <row r="938" spans="1:29" ht="15" thickBot="1">
      <c r="A938" s="318"/>
      <c r="B938" s="319"/>
      <c r="C938" s="318"/>
      <c r="D938" s="318"/>
      <c r="E938" s="319"/>
      <c r="F938" s="336"/>
      <c r="G938" s="318" t="s">
        <v>1353</v>
      </c>
      <c r="H938" s="318">
        <v>2.27</v>
      </c>
      <c r="I938" s="318">
        <v>1</v>
      </c>
      <c r="J938" s="318">
        <f t="shared" si="290"/>
        <v>1</v>
      </c>
      <c r="K938" s="318">
        <f t="shared" si="291"/>
        <v>2.27</v>
      </c>
      <c r="L938" s="318">
        <v>1922</v>
      </c>
      <c r="M938" s="318">
        <v>176</v>
      </c>
      <c r="N938" s="318">
        <v>1</v>
      </c>
      <c r="O938" s="619">
        <f t="shared" si="292"/>
        <v>2.27</v>
      </c>
      <c r="P938" s="750">
        <v>1</v>
      </c>
      <c r="Q938" s="750"/>
      <c r="R938" s="592">
        <v>1</v>
      </c>
      <c r="S938" s="348">
        <f t="shared" si="297"/>
        <v>2.27</v>
      </c>
      <c r="T938" s="319"/>
      <c r="V938" s="328">
        <f>1.164+1.729</f>
        <v>2.8929999999999998</v>
      </c>
      <c r="W938" s="320">
        <v>1</v>
      </c>
      <c r="X938" s="348">
        <f t="shared" si="293"/>
        <v>2.8929999999999998</v>
      </c>
      <c r="Y938" s="330"/>
      <c r="Z938" s="348">
        <f t="shared" si="294"/>
        <v>0</v>
      </c>
      <c r="AB938" s="328">
        <f t="shared" si="295"/>
        <v>0.62299999999999978</v>
      </c>
      <c r="AC938" s="328">
        <f t="shared" si="296"/>
        <v>-2.27</v>
      </c>
    </row>
    <row r="939" spans="1:29" ht="15.6" thickTop="1" thickBot="1">
      <c r="A939" s="318"/>
      <c r="B939" s="319"/>
      <c r="C939" s="318"/>
      <c r="D939" s="318"/>
      <c r="E939" s="319"/>
      <c r="F939" s="319"/>
      <c r="G939" s="318" t="s">
        <v>1354</v>
      </c>
      <c r="H939" s="318">
        <v>4.8</v>
      </c>
      <c r="I939" s="318">
        <v>1</v>
      </c>
      <c r="J939" s="318">
        <v>1</v>
      </c>
      <c r="K939" s="318">
        <f t="shared" si="291"/>
        <v>4.8</v>
      </c>
      <c r="L939" s="350" t="s">
        <v>3257</v>
      </c>
      <c r="M939" s="350" t="s">
        <v>3248</v>
      </c>
      <c r="N939" s="318">
        <v>1</v>
      </c>
      <c r="O939" s="619">
        <f t="shared" si="292"/>
        <v>4.8</v>
      </c>
      <c r="P939" s="750"/>
      <c r="Q939" s="747"/>
      <c r="R939" s="624"/>
      <c r="S939" s="348">
        <f t="shared" si="297"/>
        <v>0</v>
      </c>
      <c r="T939" s="319"/>
      <c r="V939" s="328">
        <v>4.49</v>
      </c>
      <c r="W939" s="320"/>
      <c r="X939" s="348">
        <f t="shared" si="293"/>
        <v>0</v>
      </c>
      <c r="Y939" s="330"/>
      <c r="Z939" s="348">
        <f t="shared" si="294"/>
        <v>0</v>
      </c>
      <c r="AB939" s="328">
        <f t="shared" si="295"/>
        <v>-4.8</v>
      </c>
      <c r="AC939" s="328">
        <f t="shared" si="296"/>
        <v>0</v>
      </c>
    </row>
    <row r="940" spans="1:29" ht="15" thickTop="1">
      <c r="A940" s="584"/>
      <c r="B940" s="585"/>
      <c r="C940" s="584"/>
      <c r="D940" s="584"/>
      <c r="E940" s="585"/>
      <c r="F940" s="585"/>
      <c r="G940" s="584" t="s">
        <v>535</v>
      </c>
      <c r="H940" s="584"/>
      <c r="I940" s="584"/>
      <c r="J940" s="584"/>
      <c r="K940" s="584"/>
      <c r="L940" s="318"/>
      <c r="M940" s="318"/>
      <c r="N940" s="318"/>
      <c r="O940" s="631" t="s">
        <v>2321</v>
      </c>
      <c r="P940" s="750"/>
      <c r="Q940" s="750"/>
      <c r="R940" s="337"/>
      <c r="S940" s="348">
        <f t="shared" si="297"/>
        <v>0</v>
      </c>
      <c r="T940" s="1024" t="s">
        <v>561</v>
      </c>
      <c r="V940" s="328"/>
      <c r="W940" s="318"/>
      <c r="X940" s="384" t="s">
        <v>2321</v>
      </c>
      <c r="Y940" s="337"/>
      <c r="Z940" s="350" t="s">
        <v>2321</v>
      </c>
      <c r="AB940" s="328"/>
      <c r="AC940" s="328"/>
    </row>
    <row r="941" spans="1:29">
      <c r="A941" s="584"/>
      <c r="B941" s="585"/>
      <c r="C941" s="584"/>
      <c r="D941" s="584"/>
      <c r="E941" s="585"/>
      <c r="F941" s="585"/>
      <c r="G941" s="584" t="s">
        <v>536</v>
      </c>
      <c r="H941" s="584"/>
      <c r="I941" s="584"/>
      <c r="J941" s="584"/>
      <c r="K941" s="584"/>
      <c r="L941" s="318"/>
      <c r="M941" s="318"/>
      <c r="N941" s="318"/>
      <c r="O941" s="631" t="s">
        <v>2321</v>
      </c>
      <c r="P941" s="750"/>
      <c r="Q941" s="750"/>
      <c r="R941" s="337"/>
      <c r="S941" s="348">
        <f t="shared" si="297"/>
        <v>0</v>
      </c>
      <c r="T941" s="1025"/>
      <c r="V941" s="328"/>
      <c r="W941" s="318"/>
      <c r="X941" s="384" t="s">
        <v>2321</v>
      </c>
      <c r="Y941" s="337"/>
      <c r="Z941" s="350" t="s">
        <v>2321</v>
      </c>
      <c r="AB941" s="328"/>
      <c r="AC941" s="328"/>
    </row>
    <row r="942" spans="1:29">
      <c r="A942" s="584"/>
      <c r="B942" s="585"/>
      <c r="C942" s="584"/>
      <c r="D942" s="584"/>
      <c r="E942" s="585"/>
      <c r="F942" s="589"/>
      <c r="G942" s="584" t="s">
        <v>537</v>
      </c>
      <c r="H942" s="584"/>
      <c r="I942" s="584"/>
      <c r="J942" s="584"/>
      <c r="K942" s="584"/>
      <c r="L942" s="318"/>
      <c r="M942" s="318"/>
      <c r="N942" s="318"/>
      <c r="O942" s="631" t="s">
        <v>2321</v>
      </c>
      <c r="P942" s="750"/>
      <c r="Q942" s="750"/>
      <c r="R942" s="337"/>
      <c r="S942" s="348">
        <f t="shared" si="297"/>
        <v>0</v>
      </c>
      <c r="T942" s="1025"/>
      <c r="V942" s="328"/>
      <c r="W942" s="318"/>
      <c r="X942" s="384" t="s">
        <v>2321</v>
      </c>
      <c r="Y942" s="337"/>
      <c r="Z942" s="350" t="s">
        <v>2321</v>
      </c>
      <c r="AB942" s="328"/>
      <c r="AC942" s="328"/>
    </row>
    <row r="943" spans="1:29">
      <c r="A943" s="584"/>
      <c r="B943" s="585"/>
      <c r="C943" s="584"/>
      <c r="D943" s="584"/>
      <c r="E943" s="585"/>
      <c r="F943" s="585"/>
      <c r="G943" s="584" t="s">
        <v>538</v>
      </c>
      <c r="H943" s="584"/>
      <c r="I943" s="584"/>
      <c r="J943" s="584"/>
      <c r="K943" s="584"/>
      <c r="L943" s="318"/>
      <c r="M943" s="318"/>
      <c r="N943" s="318"/>
      <c r="O943" s="631" t="s">
        <v>2321</v>
      </c>
      <c r="P943" s="750"/>
      <c r="Q943" s="750"/>
      <c r="R943" s="337"/>
      <c r="S943" s="348">
        <f t="shared" si="297"/>
        <v>0</v>
      </c>
      <c r="T943" s="1026"/>
      <c r="V943" s="328"/>
      <c r="W943" s="318"/>
      <c r="X943" s="384" t="s">
        <v>2321</v>
      </c>
      <c r="Y943" s="337"/>
      <c r="Z943" s="350" t="s">
        <v>2321</v>
      </c>
      <c r="AB943" s="328"/>
      <c r="AC943" s="328"/>
    </row>
    <row r="944" spans="1:29">
      <c r="A944" s="318"/>
      <c r="B944" s="319"/>
      <c r="C944" s="318"/>
      <c r="D944" s="318"/>
      <c r="E944" s="319"/>
      <c r="F944" s="319"/>
      <c r="G944" s="318" t="s">
        <v>1355</v>
      </c>
      <c r="H944" s="318">
        <v>4.8</v>
      </c>
      <c r="I944" s="318">
        <v>1</v>
      </c>
      <c r="J944" s="318">
        <v>1</v>
      </c>
      <c r="K944" s="318">
        <f t="shared" ref="K944:K951" si="298">H944*J944</f>
        <v>4.8</v>
      </c>
      <c r="L944" s="350" t="s">
        <v>3257</v>
      </c>
      <c r="M944" s="350" t="s">
        <v>3248</v>
      </c>
      <c r="N944" s="318">
        <v>1</v>
      </c>
      <c r="O944" s="619">
        <f t="shared" ref="O944:O951" si="299">H944*N944</f>
        <v>4.8</v>
      </c>
      <c r="P944" s="750"/>
      <c r="Q944" s="750"/>
      <c r="R944" s="337"/>
      <c r="S944" s="348">
        <f t="shared" si="297"/>
        <v>0</v>
      </c>
      <c r="T944" s="319"/>
      <c r="V944" s="328">
        <v>4.49</v>
      </c>
      <c r="W944" s="320"/>
      <c r="X944" s="348">
        <f t="shared" ref="X944:X951" si="300">V944*W944</f>
        <v>0</v>
      </c>
      <c r="Y944" s="330"/>
      <c r="Z944" s="348">
        <f t="shared" ref="Z944:Z951" si="301">V944*Y944</f>
        <v>0</v>
      </c>
      <c r="AB944" s="328">
        <f t="shared" ref="AB944:AB951" si="302">X944-O944</f>
        <v>-4.8</v>
      </c>
      <c r="AC944" s="328">
        <f t="shared" ref="AC944:AC951" si="303">Z944-S944</f>
        <v>0</v>
      </c>
    </row>
    <row r="945" spans="1:29">
      <c r="A945" s="318"/>
      <c r="B945" s="319"/>
      <c r="C945" s="318"/>
      <c r="D945" s="318"/>
      <c r="E945" s="319"/>
      <c r="F945" s="319"/>
      <c r="G945" s="318" t="s">
        <v>1356</v>
      </c>
      <c r="H945" s="318">
        <v>3.63</v>
      </c>
      <c r="I945" s="318">
        <v>1</v>
      </c>
      <c r="J945" s="318">
        <f t="shared" ref="J945:J950" si="304">IF(N945&gt;0,1,0)</f>
        <v>1</v>
      </c>
      <c r="K945" s="318">
        <f t="shared" si="298"/>
        <v>3.63</v>
      </c>
      <c r="L945" s="318">
        <v>1922</v>
      </c>
      <c r="M945" s="318">
        <v>176</v>
      </c>
      <c r="N945" s="318">
        <v>1</v>
      </c>
      <c r="O945" s="619">
        <f t="shared" si="299"/>
        <v>3.63</v>
      </c>
      <c r="P945" s="750"/>
      <c r="Q945" s="750"/>
      <c r="R945" s="592"/>
      <c r="S945" s="348">
        <f t="shared" si="297"/>
        <v>0</v>
      </c>
      <c r="T945" s="319"/>
      <c r="V945" s="328">
        <v>3.6219999999999999</v>
      </c>
      <c r="W945" s="320">
        <v>1</v>
      </c>
      <c r="X945" s="348">
        <f t="shared" si="300"/>
        <v>3.6219999999999999</v>
      </c>
      <c r="Y945" s="330"/>
      <c r="Z945" s="348">
        <f t="shared" si="301"/>
        <v>0</v>
      </c>
      <c r="AB945" s="328">
        <f t="shared" si="302"/>
        <v>-8.0000000000000071E-3</v>
      </c>
      <c r="AC945" s="328">
        <f t="shared" si="303"/>
        <v>0</v>
      </c>
    </row>
    <row r="946" spans="1:29" ht="15" thickBot="1">
      <c r="A946" s="318"/>
      <c r="B946" s="319"/>
      <c r="C946" s="318"/>
      <c r="D946" s="318"/>
      <c r="E946" s="319"/>
      <c r="F946" s="319"/>
      <c r="G946" s="318" t="s">
        <v>1357</v>
      </c>
      <c r="H946" s="318">
        <v>3.63</v>
      </c>
      <c r="I946" s="318">
        <v>1</v>
      </c>
      <c r="J946" s="318">
        <f t="shared" si="304"/>
        <v>1</v>
      </c>
      <c r="K946" s="318">
        <f t="shared" si="298"/>
        <v>3.63</v>
      </c>
      <c r="L946" s="318">
        <v>1942</v>
      </c>
      <c r="M946" s="318">
        <v>176</v>
      </c>
      <c r="N946" s="318">
        <v>1</v>
      </c>
      <c r="O946" s="619">
        <f t="shared" si="299"/>
        <v>3.63</v>
      </c>
      <c r="P946" s="750"/>
      <c r="Q946" s="750"/>
      <c r="R946" s="592"/>
      <c r="S946" s="348">
        <f t="shared" si="297"/>
        <v>0</v>
      </c>
      <c r="T946" s="319"/>
      <c r="V946" s="328">
        <v>3.6219999999999999</v>
      </c>
      <c r="W946" s="320">
        <v>1</v>
      </c>
      <c r="X946" s="348">
        <f t="shared" si="300"/>
        <v>3.6219999999999999</v>
      </c>
      <c r="Y946" s="330"/>
      <c r="Z946" s="348">
        <f t="shared" si="301"/>
        <v>0</v>
      </c>
      <c r="AB946" s="328">
        <f t="shared" si="302"/>
        <v>-8.0000000000000071E-3</v>
      </c>
      <c r="AC946" s="328">
        <f t="shared" si="303"/>
        <v>0</v>
      </c>
    </row>
    <row r="947" spans="1:29" ht="14.4" customHeight="1" thickTop="1" thickBot="1">
      <c r="A947" s="318"/>
      <c r="B947" s="319"/>
      <c r="C947" s="318"/>
      <c r="D947" s="318"/>
      <c r="E947" s="319"/>
      <c r="F947" s="336"/>
      <c r="G947" s="318" t="s">
        <v>1358</v>
      </c>
      <c r="H947" s="318">
        <v>3.02</v>
      </c>
      <c r="I947" s="318">
        <v>1</v>
      </c>
      <c r="J947" s="318">
        <f t="shared" si="304"/>
        <v>1</v>
      </c>
      <c r="K947" s="318">
        <f t="shared" si="298"/>
        <v>3.02</v>
      </c>
      <c r="L947" s="350" t="s">
        <v>3070</v>
      </c>
      <c r="M947" s="318"/>
      <c r="N947" s="318">
        <v>1</v>
      </c>
      <c r="O947" s="619">
        <f t="shared" si="299"/>
        <v>3.02</v>
      </c>
      <c r="P947" s="750"/>
      <c r="Q947" s="747"/>
      <c r="R947" s="624"/>
      <c r="S947" s="348">
        <f t="shared" si="297"/>
        <v>0</v>
      </c>
      <c r="T947" s="319" t="s">
        <v>3345</v>
      </c>
      <c r="V947" s="328">
        <v>3.0070000000000001</v>
      </c>
      <c r="W947" s="320"/>
      <c r="X947" s="348">
        <f t="shared" si="300"/>
        <v>0</v>
      </c>
      <c r="Y947" s="330"/>
      <c r="Z947" s="348">
        <f t="shared" si="301"/>
        <v>0</v>
      </c>
      <c r="AB947" s="328">
        <f t="shared" si="302"/>
        <v>-3.02</v>
      </c>
      <c r="AC947" s="328">
        <f t="shared" si="303"/>
        <v>0</v>
      </c>
    </row>
    <row r="948" spans="1:29" ht="15" thickTop="1">
      <c r="A948" s="318"/>
      <c r="B948" s="319"/>
      <c r="C948" s="318"/>
      <c r="D948" s="318"/>
      <c r="E948" s="319"/>
      <c r="F948" s="336"/>
      <c r="G948" s="318" t="s">
        <v>1359</v>
      </c>
      <c r="H948" s="318">
        <v>3.02</v>
      </c>
      <c r="I948" s="318">
        <v>1</v>
      </c>
      <c r="J948" s="318">
        <f t="shared" si="304"/>
        <v>1</v>
      </c>
      <c r="K948" s="318">
        <f t="shared" si="298"/>
        <v>3.02</v>
      </c>
      <c r="L948" s="350" t="s">
        <v>3066</v>
      </c>
      <c r="M948" s="318"/>
      <c r="N948" s="318">
        <v>1</v>
      </c>
      <c r="O948" s="619">
        <f t="shared" si="299"/>
        <v>3.02</v>
      </c>
      <c r="P948" s="750"/>
      <c r="Q948" s="750"/>
      <c r="R948" s="337"/>
      <c r="S948" s="348">
        <f t="shared" si="297"/>
        <v>0</v>
      </c>
      <c r="T948" s="319" t="s">
        <v>3345</v>
      </c>
      <c r="V948" s="328">
        <f>3.007</f>
        <v>3.0070000000000001</v>
      </c>
      <c r="W948" s="320"/>
      <c r="X948" s="348">
        <f t="shared" si="300"/>
        <v>0</v>
      </c>
      <c r="Y948" s="330"/>
      <c r="Z948" s="348">
        <f t="shared" si="301"/>
        <v>0</v>
      </c>
      <c r="AB948" s="328">
        <f t="shared" si="302"/>
        <v>-3.02</v>
      </c>
      <c r="AC948" s="328">
        <f t="shared" si="303"/>
        <v>0</v>
      </c>
    </row>
    <row r="949" spans="1:29">
      <c r="A949" s="318"/>
      <c r="B949" s="319"/>
      <c r="C949" s="318"/>
      <c r="D949" s="318"/>
      <c r="E949" s="319"/>
      <c r="F949" s="336"/>
      <c r="G949" s="318" t="s">
        <v>1360</v>
      </c>
      <c r="H949" s="318">
        <v>4.01</v>
      </c>
      <c r="I949" s="318">
        <v>1</v>
      </c>
      <c r="J949" s="318">
        <f t="shared" si="304"/>
        <v>1</v>
      </c>
      <c r="K949" s="318">
        <f t="shared" si="298"/>
        <v>4.01</v>
      </c>
      <c r="L949" s="318">
        <v>1942</v>
      </c>
      <c r="M949" s="318">
        <v>176</v>
      </c>
      <c r="N949" s="318">
        <v>1</v>
      </c>
      <c r="O949" s="619">
        <f t="shared" si="299"/>
        <v>4.01</v>
      </c>
      <c r="P949" s="750"/>
      <c r="Q949" s="750"/>
      <c r="R949" s="337"/>
      <c r="S949" s="348">
        <f t="shared" si="297"/>
        <v>0</v>
      </c>
      <c r="T949" s="319" t="s">
        <v>3345</v>
      </c>
      <c r="V949" s="328">
        <v>3.9950000000000001</v>
      </c>
      <c r="W949" s="320">
        <v>1</v>
      </c>
      <c r="X949" s="348">
        <f t="shared" si="300"/>
        <v>3.9950000000000001</v>
      </c>
      <c r="Y949" s="330"/>
      <c r="Z949" s="348">
        <f t="shared" si="301"/>
        <v>0</v>
      </c>
      <c r="AB949" s="328">
        <f t="shared" si="302"/>
        <v>-1.499999999999968E-2</v>
      </c>
      <c r="AC949" s="328">
        <f t="shared" si="303"/>
        <v>0</v>
      </c>
    </row>
    <row r="950" spans="1:29">
      <c r="A950" s="318"/>
      <c r="B950" s="319"/>
      <c r="C950" s="318"/>
      <c r="D950" s="318"/>
      <c r="E950" s="319"/>
      <c r="F950" s="336"/>
      <c r="G950" s="318" t="s">
        <v>1361</v>
      </c>
      <c r="H950" s="318">
        <v>4.3499999999999996</v>
      </c>
      <c r="I950" s="318">
        <v>1</v>
      </c>
      <c r="J950" s="318">
        <f t="shared" si="304"/>
        <v>1</v>
      </c>
      <c r="K950" s="318">
        <f t="shared" si="298"/>
        <v>4.3499999999999996</v>
      </c>
      <c r="L950" s="318">
        <v>1942</v>
      </c>
      <c r="M950" s="318">
        <v>176</v>
      </c>
      <c r="N950" s="318">
        <v>1</v>
      </c>
      <c r="O950" s="619">
        <f t="shared" si="299"/>
        <v>4.3499999999999996</v>
      </c>
      <c r="P950" s="750"/>
      <c r="Q950" s="750"/>
      <c r="R950" s="337"/>
      <c r="S950" s="348">
        <f t="shared" si="297"/>
        <v>0</v>
      </c>
      <c r="T950" s="319" t="s">
        <v>3345</v>
      </c>
      <c r="V950" s="328">
        <v>4.34</v>
      </c>
      <c r="W950" s="320">
        <v>1</v>
      </c>
      <c r="X950" s="348">
        <f t="shared" si="300"/>
        <v>4.34</v>
      </c>
      <c r="Y950" s="330"/>
      <c r="Z950" s="348">
        <f t="shared" si="301"/>
        <v>0</v>
      </c>
      <c r="AB950" s="328">
        <f t="shared" si="302"/>
        <v>-9.9999999999997868E-3</v>
      </c>
      <c r="AC950" s="328">
        <f t="shared" si="303"/>
        <v>0</v>
      </c>
    </row>
    <row r="951" spans="1:29">
      <c r="A951" s="318"/>
      <c r="B951" s="319"/>
      <c r="C951" s="318"/>
      <c r="D951" s="318"/>
      <c r="E951" s="319"/>
      <c r="F951" s="336"/>
      <c r="G951" s="318" t="s">
        <v>1362</v>
      </c>
      <c r="H951" s="318">
        <v>1.85</v>
      </c>
      <c r="I951" s="318">
        <v>1</v>
      </c>
      <c r="J951" s="318">
        <v>1</v>
      </c>
      <c r="K951" s="318">
        <f t="shared" si="298"/>
        <v>1.85</v>
      </c>
      <c r="L951" s="350" t="s">
        <v>3278</v>
      </c>
      <c r="M951" s="350" t="s">
        <v>3302</v>
      </c>
      <c r="N951" s="318">
        <v>1</v>
      </c>
      <c r="O951" s="619">
        <f t="shared" si="299"/>
        <v>1.85</v>
      </c>
      <c r="P951" s="750"/>
      <c r="Q951" s="750"/>
      <c r="R951" s="337"/>
      <c r="S951" s="348">
        <f t="shared" si="297"/>
        <v>0</v>
      </c>
      <c r="T951" s="319" t="s">
        <v>3345</v>
      </c>
      <c r="V951" s="328">
        <v>1.84</v>
      </c>
      <c r="W951" s="320"/>
      <c r="X951" s="348">
        <f t="shared" si="300"/>
        <v>0</v>
      </c>
      <c r="Y951" s="330"/>
      <c r="Z951" s="348">
        <f t="shared" si="301"/>
        <v>0</v>
      </c>
      <c r="AB951" s="328">
        <f t="shared" si="302"/>
        <v>-1.85</v>
      </c>
      <c r="AC951" s="328">
        <f t="shared" si="303"/>
        <v>0</v>
      </c>
    </row>
    <row r="952" spans="1:29">
      <c r="A952" s="318"/>
      <c r="B952" s="319"/>
      <c r="C952" s="318"/>
      <c r="D952" s="318"/>
      <c r="E952" s="319"/>
      <c r="F952" s="319"/>
      <c r="G952" s="318"/>
      <c r="H952" s="318"/>
      <c r="I952" s="318"/>
      <c r="J952" s="382" t="s">
        <v>389</v>
      </c>
      <c r="K952" s="321">
        <f>SUM(K924:K951)</f>
        <v>88.719999999999985</v>
      </c>
      <c r="L952" s="318"/>
      <c r="M952" s="318"/>
      <c r="N952" s="382" t="s">
        <v>389</v>
      </c>
      <c r="O952" s="748">
        <f>SUM(O924:O951)</f>
        <v>88.719999999999985</v>
      </c>
      <c r="P952" s="751"/>
      <c r="Q952" s="751"/>
      <c r="R952" s="382"/>
      <c r="S952" s="321">
        <f>SUM(S924:S951)</f>
        <v>55.610000000000014</v>
      </c>
      <c r="T952" s="319"/>
      <c r="V952" s="328"/>
      <c r="W952" s="321" t="s">
        <v>389</v>
      </c>
      <c r="X952" s="338">
        <f>SUM(X924:X951)</f>
        <v>44.652999999999992</v>
      </c>
      <c r="Y952" s="321" t="s">
        <v>389</v>
      </c>
      <c r="Z952" s="338">
        <f>SUM(Z924:Z951)</f>
        <v>20.024000000000001</v>
      </c>
      <c r="AB952" s="328"/>
      <c r="AC952" s="328"/>
    </row>
    <row r="953" spans="1:29" ht="6.75" customHeight="1">
      <c r="A953" s="316"/>
      <c r="B953" s="317"/>
      <c r="C953" s="316"/>
      <c r="D953" s="316"/>
      <c r="E953" s="317"/>
      <c r="F953" s="317"/>
      <c r="G953" s="316"/>
      <c r="H953" s="316"/>
      <c r="I953" s="316"/>
      <c r="J953" s="316"/>
      <c r="K953" s="316"/>
      <c r="L953" s="949"/>
      <c r="M953" s="949"/>
      <c r="N953" s="949"/>
      <c r="O953" s="749"/>
      <c r="P953" s="633"/>
      <c r="Q953" s="633"/>
      <c r="R953" s="949"/>
      <c r="S953" s="339"/>
      <c r="T953" s="317"/>
      <c r="V953" s="332"/>
      <c r="W953" s="316"/>
      <c r="X953" s="339"/>
      <c r="Y953" s="316"/>
      <c r="Z953" s="339"/>
      <c r="AB953" s="332"/>
      <c r="AC953" s="332"/>
    </row>
    <row r="954" spans="1:29">
      <c r="A954" s="318">
        <v>24</v>
      </c>
      <c r="B954" s="319" t="s">
        <v>383</v>
      </c>
      <c r="C954" s="318">
        <v>600</v>
      </c>
      <c r="D954" s="318">
        <v>29</v>
      </c>
      <c r="E954" s="319">
        <v>1</v>
      </c>
      <c r="F954" s="336"/>
      <c r="G954" s="318" t="s">
        <v>1363</v>
      </c>
      <c r="H954" s="318">
        <v>4.49</v>
      </c>
      <c r="I954" s="318">
        <v>1</v>
      </c>
      <c r="J954" s="318">
        <f t="shared" ref="J954:J969" si="305">IF(N954&gt;0,1,0)</f>
        <v>1</v>
      </c>
      <c r="K954" s="318">
        <f t="shared" ref="K954:K969" si="306">H954*J954</f>
        <v>4.49</v>
      </c>
      <c r="L954" s="482" t="s">
        <v>3058</v>
      </c>
      <c r="M954" s="482" t="s">
        <v>3059</v>
      </c>
      <c r="N954" s="318">
        <v>1</v>
      </c>
      <c r="O954" s="619">
        <f t="shared" ref="O954:O989" si="307">H954*N954</f>
        <v>4.49</v>
      </c>
      <c r="P954" s="750"/>
      <c r="Q954" s="750"/>
      <c r="R954" s="337"/>
      <c r="S954" s="348">
        <f>H954*R954</f>
        <v>0</v>
      </c>
      <c r="T954" s="319"/>
      <c r="V954" s="328">
        <v>4.49</v>
      </c>
      <c r="W954" s="320">
        <v>1</v>
      </c>
      <c r="X954" s="348">
        <f t="shared" ref="X954:X989" si="308">V954*W954</f>
        <v>4.49</v>
      </c>
      <c r="Y954" s="458"/>
      <c r="Z954" s="348">
        <f t="shared" ref="Z954:Z989" si="309">V954*Y954</f>
        <v>0</v>
      </c>
      <c r="AB954" s="328">
        <f t="shared" ref="AB954:AB989" si="310">X954-O954</f>
        <v>0</v>
      </c>
      <c r="AC954" s="328">
        <f t="shared" ref="AC954:AC989" si="311">Z954-S954</f>
        <v>0</v>
      </c>
    </row>
    <row r="955" spans="1:29">
      <c r="A955" s="318"/>
      <c r="B955" s="319"/>
      <c r="C955" s="318"/>
      <c r="D955" s="318"/>
      <c r="E955" s="319"/>
      <c r="F955" s="319"/>
      <c r="G955" s="318" t="s">
        <v>1364</v>
      </c>
      <c r="H955" s="318">
        <v>4.49</v>
      </c>
      <c r="I955" s="318">
        <v>1</v>
      </c>
      <c r="J955" s="318">
        <f t="shared" si="305"/>
        <v>1</v>
      </c>
      <c r="K955" s="318">
        <f t="shared" si="306"/>
        <v>4.49</v>
      </c>
      <c r="L955" s="350" t="s">
        <v>3099</v>
      </c>
      <c r="M955" s="350" t="s">
        <v>3043</v>
      </c>
      <c r="N955" s="318">
        <v>1</v>
      </c>
      <c r="O955" s="619">
        <f t="shared" si="307"/>
        <v>4.49</v>
      </c>
      <c r="P955" s="750"/>
      <c r="Q955" s="750"/>
      <c r="R955" s="337"/>
      <c r="S955" s="348">
        <f t="shared" ref="S955:S989" si="312">H955*R955</f>
        <v>0</v>
      </c>
      <c r="T955" s="319"/>
      <c r="V955" s="328">
        <v>4.49</v>
      </c>
      <c r="W955" s="320">
        <v>1</v>
      </c>
      <c r="X955" s="348">
        <f t="shared" si="308"/>
        <v>4.49</v>
      </c>
      <c r="Y955" s="320"/>
      <c r="Z955" s="348">
        <f t="shared" si="309"/>
        <v>0</v>
      </c>
      <c r="AB955" s="328">
        <f t="shared" si="310"/>
        <v>0</v>
      </c>
      <c r="AC955" s="328">
        <f t="shared" si="311"/>
        <v>0</v>
      </c>
    </row>
    <row r="956" spans="1:29">
      <c r="A956" s="318"/>
      <c r="B956" s="319"/>
      <c r="C956" s="318"/>
      <c r="D956" s="318"/>
      <c r="E956" s="319"/>
      <c r="F956" s="319"/>
      <c r="G956" s="318" t="s">
        <v>1365</v>
      </c>
      <c r="H956" s="318">
        <v>4.49</v>
      </c>
      <c r="I956" s="318">
        <v>1</v>
      </c>
      <c r="J956" s="318">
        <f t="shared" si="305"/>
        <v>1</v>
      </c>
      <c r="K956" s="318">
        <f t="shared" si="306"/>
        <v>4.49</v>
      </c>
      <c r="L956" s="318">
        <v>1765</v>
      </c>
      <c r="M956" s="318">
        <v>162</v>
      </c>
      <c r="N956" s="318">
        <v>1</v>
      </c>
      <c r="O956" s="619">
        <f t="shared" si="307"/>
        <v>4.49</v>
      </c>
      <c r="P956" s="750"/>
      <c r="Q956" s="750"/>
      <c r="R956" s="337"/>
      <c r="S956" s="348">
        <f t="shared" si="312"/>
        <v>0</v>
      </c>
      <c r="T956" s="319"/>
      <c r="V956" s="328">
        <v>4.49</v>
      </c>
      <c r="W956" s="320">
        <v>1</v>
      </c>
      <c r="X956" s="348">
        <f t="shared" si="308"/>
        <v>4.49</v>
      </c>
      <c r="Y956" s="330"/>
      <c r="Z956" s="348">
        <f t="shared" si="309"/>
        <v>0</v>
      </c>
      <c r="AB956" s="328">
        <f t="shared" si="310"/>
        <v>0</v>
      </c>
      <c r="AC956" s="328">
        <f t="shared" si="311"/>
        <v>0</v>
      </c>
    </row>
    <row r="957" spans="1:29">
      <c r="A957" s="318"/>
      <c r="B957" s="319"/>
      <c r="C957" s="318"/>
      <c r="D957" s="318"/>
      <c r="E957" s="319"/>
      <c r="F957" s="336"/>
      <c r="G957" s="318" t="s">
        <v>1366</v>
      </c>
      <c r="H957" s="318">
        <v>4.49</v>
      </c>
      <c r="I957" s="318">
        <v>1</v>
      </c>
      <c r="J957" s="318">
        <f t="shared" si="305"/>
        <v>1</v>
      </c>
      <c r="K957" s="318">
        <f t="shared" si="306"/>
        <v>4.49</v>
      </c>
      <c r="L957" s="318">
        <v>1765</v>
      </c>
      <c r="M957" s="318">
        <v>162</v>
      </c>
      <c r="N957" s="318">
        <v>1</v>
      </c>
      <c r="O957" s="619">
        <f t="shared" si="307"/>
        <v>4.49</v>
      </c>
      <c r="P957" s="750"/>
      <c r="Q957" s="750"/>
      <c r="R957" s="337"/>
      <c r="S957" s="348">
        <f t="shared" si="312"/>
        <v>0</v>
      </c>
      <c r="T957" s="319"/>
      <c r="V957" s="328">
        <v>4.49</v>
      </c>
      <c r="W957" s="320">
        <v>1</v>
      </c>
      <c r="X957" s="348">
        <f t="shared" si="308"/>
        <v>4.49</v>
      </c>
      <c r="Y957" s="330"/>
      <c r="Z957" s="348">
        <f t="shared" si="309"/>
        <v>0</v>
      </c>
      <c r="AB957" s="328">
        <f t="shared" si="310"/>
        <v>0</v>
      </c>
      <c r="AC957" s="328">
        <f t="shared" si="311"/>
        <v>0</v>
      </c>
    </row>
    <row r="958" spans="1:29">
      <c r="A958" s="318"/>
      <c r="B958" s="319"/>
      <c r="C958" s="318"/>
      <c r="D958" s="318"/>
      <c r="E958" s="319"/>
      <c r="F958" s="319"/>
      <c r="G958" s="318" t="s">
        <v>1367</v>
      </c>
      <c r="H958" s="318">
        <v>4.49</v>
      </c>
      <c r="I958" s="318">
        <v>1</v>
      </c>
      <c r="J958" s="318">
        <f t="shared" si="305"/>
        <v>1</v>
      </c>
      <c r="K958" s="318">
        <f t="shared" si="306"/>
        <v>4.49</v>
      </c>
      <c r="L958" s="318">
        <v>1758</v>
      </c>
      <c r="M958" s="318">
        <v>161</v>
      </c>
      <c r="N958" s="318">
        <v>1</v>
      </c>
      <c r="O958" s="619">
        <f t="shared" si="307"/>
        <v>4.49</v>
      </c>
      <c r="P958" s="750"/>
      <c r="Q958" s="750"/>
      <c r="R958" s="337"/>
      <c r="S958" s="348">
        <f t="shared" si="312"/>
        <v>0</v>
      </c>
      <c r="T958" s="319"/>
      <c r="V958" s="328">
        <v>4.49</v>
      </c>
      <c r="W958" s="320">
        <v>1</v>
      </c>
      <c r="X958" s="348">
        <f t="shared" si="308"/>
        <v>4.49</v>
      </c>
      <c r="Y958" s="330">
        <v>1</v>
      </c>
      <c r="Z958" s="348">
        <f t="shared" si="309"/>
        <v>4.49</v>
      </c>
      <c r="AB958" s="328">
        <f t="shared" si="310"/>
        <v>0</v>
      </c>
      <c r="AC958" s="328">
        <f t="shared" si="311"/>
        <v>4.49</v>
      </c>
    </row>
    <row r="959" spans="1:29">
      <c r="A959" s="318"/>
      <c r="B959" s="319"/>
      <c r="C959" s="318"/>
      <c r="D959" s="318"/>
      <c r="E959" s="319"/>
      <c r="F959" s="319"/>
      <c r="G959" s="318" t="s">
        <v>1368</v>
      </c>
      <c r="H959" s="318">
        <v>4.49</v>
      </c>
      <c r="I959" s="318">
        <v>1</v>
      </c>
      <c r="J959" s="318">
        <f t="shared" si="305"/>
        <v>1</v>
      </c>
      <c r="K959" s="318">
        <f t="shared" si="306"/>
        <v>4.49</v>
      </c>
      <c r="L959" s="318">
        <v>1758</v>
      </c>
      <c r="M959" s="318">
        <v>161</v>
      </c>
      <c r="N959" s="318">
        <v>1</v>
      </c>
      <c r="O959" s="619">
        <f t="shared" si="307"/>
        <v>4.49</v>
      </c>
      <c r="P959" s="750"/>
      <c r="Q959" s="750"/>
      <c r="R959" s="337"/>
      <c r="S959" s="348">
        <f t="shared" si="312"/>
        <v>0</v>
      </c>
      <c r="T959" s="319"/>
      <c r="V959" s="328">
        <v>4.49</v>
      </c>
      <c r="W959" s="320">
        <v>1</v>
      </c>
      <c r="X959" s="348">
        <f t="shared" si="308"/>
        <v>4.49</v>
      </c>
      <c r="Y959" s="330">
        <v>1</v>
      </c>
      <c r="Z959" s="348">
        <f t="shared" si="309"/>
        <v>4.49</v>
      </c>
      <c r="AB959" s="328">
        <f t="shared" si="310"/>
        <v>0</v>
      </c>
      <c r="AC959" s="328">
        <f t="shared" si="311"/>
        <v>4.49</v>
      </c>
    </row>
    <row r="960" spans="1:29">
      <c r="A960" s="318"/>
      <c r="B960" s="319"/>
      <c r="C960" s="318"/>
      <c r="D960" s="318"/>
      <c r="E960" s="319"/>
      <c r="F960" s="319"/>
      <c r="G960" s="318" t="s">
        <v>1369</v>
      </c>
      <c r="H960" s="318">
        <v>4.49</v>
      </c>
      <c r="I960" s="318">
        <v>1</v>
      </c>
      <c r="J960" s="318">
        <f t="shared" si="305"/>
        <v>1</v>
      </c>
      <c r="K960" s="318">
        <f t="shared" si="306"/>
        <v>4.49</v>
      </c>
      <c r="L960" s="318">
        <v>1758</v>
      </c>
      <c r="M960" s="318">
        <v>161</v>
      </c>
      <c r="N960" s="318">
        <v>1</v>
      </c>
      <c r="O960" s="619">
        <f t="shared" si="307"/>
        <v>4.49</v>
      </c>
      <c r="P960" s="750"/>
      <c r="Q960" s="750"/>
      <c r="R960" s="337"/>
      <c r="S960" s="348">
        <f t="shared" si="312"/>
        <v>0</v>
      </c>
      <c r="T960" s="319"/>
      <c r="V960" s="328">
        <v>4.49</v>
      </c>
      <c r="W960" s="320">
        <v>1</v>
      </c>
      <c r="X960" s="348">
        <f t="shared" si="308"/>
        <v>4.49</v>
      </c>
      <c r="Y960" s="330">
        <v>1</v>
      </c>
      <c r="Z960" s="348">
        <f t="shared" si="309"/>
        <v>4.49</v>
      </c>
      <c r="AB960" s="328">
        <f t="shared" si="310"/>
        <v>0</v>
      </c>
      <c r="AC960" s="328">
        <f t="shared" si="311"/>
        <v>4.49</v>
      </c>
    </row>
    <row r="961" spans="1:29">
      <c r="A961" s="318"/>
      <c r="B961" s="319"/>
      <c r="C961" s="318"/>
      <c r="D961" s="318"/>
      <c r="E961" s="319"/>
      <c r="F961" s="319"/>
      <c r="G961" s="318" t="s">
        <v>1370</v>
      </c>
      <c r="H961" s="318">
        <v>4.49</v>
      </c>
      <c r="I961" s="318">
        <v>1</v>
      </c>
      <c r="J961" s="318">
        <f t="shared" si="305"/>
        <v>1</v>
      </c>
      <c r="K961" s="318">
        <f t="shared" si="306"/>
        <v>4.49</v>
      </c>
      <c r="L961" s="318">
        <v>1765</v>
      </c>
      <c r="M961" s="318">
        <v>162</v>
      </c>
      <c r="N961" s="318">
        <v>1</v>
      </c>
      <c r="O961" s="619">
        <f t="shared" si="307"/>
        <v>4.49</v>
      </c>
      <c r="P961" s="750"/>
      <c r="Q961" s="750"/>
      <c r="R961" s="337"/>
      <c r="S961" s="348">
        <f t="shared" si="312"/>
        <v>0</v>
      </c>
      <c r="T961" s="319"/>
      <c r="V961" s="328">
        <v>4.49</v>
      </c>
      <c r="W961" s="320">
        <v>1</v>
      </c>
      <c r="X961" s="348">
        <f t="shared" si="308"/>
        <v>4.49</v>
      </c>
      <c r="Y961" s="330">
        <v>1</v>
      </c>
      <c r="Z961" s="348">
        <f t="shared" si="309"/>
        <v>4.49</v>
      </c>
      <c r="AB961" s="328">
        <f t="shared" si="310"/>
        <v>0</v>
      </c>
      <c r="AC961" s="328">
        <f t="shared" si="311"/>
        <v>4.49</v>
      </c>
    </row>
    <row r="962" spans="1:29" ht="14.4" customHeight="1">
      <c r="A962" s="318"/>
      <c r="B962" s="319"/>
      <c r="C962" s="318"/>
      <c r="D962" s="318"/>
      <c r="E962" s="319"/>
      <c r="F962" s="336"/>
      <c r="G962" s="318" t="s">
        <v>1371</v>
      </c>
      <c r="H962" s="318">
        <v>3.28</v>
      </c>
      <c r="I962" s="318">
        <v>1</v>
      </c>
      <c r="J962" s="318">
        <f t="shared" si="305"/>
        <v>1</v>
      </c>
      <c r="K962" s="318">
        <f t="shared" si="306"/>
        <v>3.28</v>
      </c>
      <c r="L962" s="318">
        <v>1765</v>
      </c>
      <c r="M962" s="318">
        <v>162</v>
      </c>
      <c r="N962" s="318">
        <v>1</v>
      </c>
      <c r="O962" s="619">
        <f t="shared" si="307"/>
        <v>3.28</v>
      </c>
      <c r="P962" s="750"/>
      <c r="Q962" s="750"/>
      <c r="R962" s="337"/>
      <c r="S962" s="348">
        <f t="shared" si="312"/>
        <v>0</v>
      </c>
      <c r="T962" s="319"/>
      <c r="V962" s="328">
        <v>3.2770000000000001</v>
      </c>
      <c r="W962" s="320">
        <v>1</v>
      </c>
      <c r="X962" s="348">
        <f t="shared" si="308"/>
        <v>3.2770000000000001</v>
      </c>
      <c r="Y962" s="330">
        <v>1</v>
      </c>
      <c r="Z962" s="348">
        <f t="shared" si="309"/>
        <v>3.2770000000000001</v>
      </c>
      <c r="AB962" s="328">
        <f t="shared" si="310"/>
        <v>-2.9999999999996696E-3</v>
      </c>
      <c r="AC962" s="328">
        <f t="shared" si="311"/>
        <v>3.2770000000000001</v>
      </c>
    </row>
    <row r="963" spans="1:29">
      <c r="A963" s="318"/>
      <c r="B963" s="319"/>
      <c r="C963" s="318"/>
      <c r="D963" s="318"/>
      <c r="E963" s="319"/>
      <c r="F963" s="319"/>
      <c r="G963" s="318" t="s">
        <v>1372</v>
      </c>
      <c r="H963" s="318">
        <v>3.28</v>
      </c>
      <c r="I963" s="318">
        <v>1</v>
      </c>
      <c r="J963" s="318">
        <f t="shared" si="305"/>
        <v>1</v>
      </c>
      <c r="K963" s="318">
        <f t="shared" si="306"/>
        <v>3.28</v>
      </c>
      <c r="L963" s="318">
        <v>1795</v>
      </c>
      <c r="M963" s="318">
        <v>164</v>
      </c>
      <c r="N963" s="318">
        <v>1</v>
      </c>
      <c r="O963" s="619">
        <f t="shared" si="307"/>
        <v>3.28</v>
      </c>
      <c r="P963" s="750"/>
      <c r="Q963" s="750"/>
      <c r="R963" s="337"/>
      <c r="S963" s="348">
        <f t="shared" si="312"/>
        <v>0</v>
      </c>
      <c r="T963" s="319"/>
      <c r="V963" s="328">
        <v>3.2770000000000001</v>
      </c>
      <c r="W963" s="320">
        <v>1</v>
      </c>
      <c r="X963" s="348">
        <f t="shared" si="308"/>
        <v>3.2770000000000001</v>
      </c>
      <c r="Y963" s="330">
        <v>1</v>
      </c>
      <c r="Z963" s="348">
        <f t="shared" si="309"/>
        <v>3.2770000000000001</v>
      </c>
      <c r="AB963" s="328">
        <f t="shared" si="310"/>
        <v>-2.9999999999996696E-3</v>
      </c>
      <c r="AC963" s="328">
        <f t="shared" si="311"/>
        <v>3.2770000000000001</v>
      </c>
    </row>
    <row r="964" spans="1:29">
      <c r="A964" s="318"/>
      <c r="B964" s="319"/>
      <c r="C964" s="318"/>
      <c r="D964" s="318"/>
      <c r="E964" s="319"/>
      <c r="F964" s="319"/>
      <c r="G964" s="318" t="s">
        <v>1373</v>
      </c>
      <c r="H964" s="318">
        <v>3.28</v>
      </c>
      <c r="I964" s="318">
        <v>1</v>
      </c>
      <c r="J964" s="318">
        <f t="shared" si="305"/>
        <v>1</v>
      </c>
      <c r="K964" s="318">
        <f t="shared" si="306"/>
        <v>3.28</v>
      </c>
      <c r="L964" s="602" t="s">
        <v>3267</v>
      </c>
      <c r="M964" s="350" t="s">
        <v>3057</v>
      </c>
      <c r="N964" s="318">
        <v>1</v>
      </c>
      <c r="O964" s="619">
        <f t="shared" si="307"/>
        <v>3.28</v>
      </c>
      <c r="P964" s="750"/>
      <c r="Q964" s="750"/>
      <c r="R964" s="337"/>
      <c r="S964" s="348">
        <f t="shared" si="312"/>
        <v>0</v>
      </c>
      <c r="T964" s="319"/>
      <c r="V964" s="328">
        <v>3.258</v>
      </c>
      <c r="W964" s="320"/>
      <c r="X964" s="348">
        <f t="shared" si="308"/>
        <v>0</v>
      </c>
      <c r="Y964" s="330"/>
      <c r="Z964" s="348">
        <f t="shared" si="309"/>
        <v>0</v>
      </c>
      <c r="AB964" s="328">
        <f t="shared" si="310"/>
        <v>-3.28</v>
      </c>
      <c r="AC964" s="328">
        <f t="shared" si="311"/>
        <v>0</v>
      </c>
    </row>
    <row r="965" spans="1:29">
      <c r="A965" s="318"/>
      <c r="B965" s="319"/>
      <c r="C965" s="318"/>
      <c r="D965" s="318"/>
      <c r="E965" s="319"/>
      <c r="F965" s="319"/>
      <c r="G965" s="318" t="s">
        <v>1374</v>
      </c>
      <c r="H965" s="318">
        <v>4.09</v>
      </c>
      <c r="I965" s="318">
        <v>1</v>
      </c>
      <c r="J965" s="318">
        <f t="shared" si="305"/>
        <v>1</v>
      </c>
      <c r="K965" s="318">
        <f t="shared" si="306"/>
        <v>4.09</v>
      </c>
      <c r="L965" s="352" t="s">
        <v>3268</v>
      </c>
      <c r="M965" s="350" t="s">
        <v>2931</v>
      </c>
      <c r="N965" s="318">
        <v>1</v>
      </c>
      <c r="O965" s="619">
        <f t="shared" si="307"/>
        <v>4.09</v>
      </c>
      <c r="P965" s="750"/>
      <c r="Q965" s="750"/>
      <c r="R965" s="337"/>
      <c r="S965" s="348">
        <f t="shared" si="312"/>
        <v>0</v>
      </c>
      <c r="T965" s="319"/>
      <c r="V965" s="328">
        <f>3.258+0.821</f>
        <v>4.0789999999999997</v>
      </c>
      <c r="W965" s="320"/>
      <c r="X965" s="348">
        <f t="shared" si="308"/>
        <v>0</v>
      </c>
      <c r="Y965" s="330"/>
      <c r="Z965" s="348">
        <f t="shared" si="309"/>
        <v>0</v>
      </c>
      <c r="AB965" s="328">
        <f t="shared" si="310"/>
        <v>-4.09</v>
      </c>
      <c r="AC965" s="328">
        <f t="shared" si="311"/>
        <v>0</v>
      </c>
    </row>
    <row r="966" spans="1:29">
      <c r="A966" s="318"/>
      <c r="B966" s="319"/>
      <c r="C966" s="318"/>
      <c r="D966" s="318"/>
      <c r="E966" s="319"/>
      <c r="F966" s="319"/>
      <c r="G966" s="318" t="s">
        <v>1375</v>
      </c>
      <c r="H966" s="318">
        <v>3.81</v>
      </c>
      <c r="I966" s="318">
        <v>1</v>
      </c>
      <c r="J966" s="318">
        <f t="shared" si="305"/>
        <v>1</v>
      </c>
      <c r="K966" s="318">
        <f t="shared" si="306"/>
        <v>3.81</v>
      </c>
      <c r="L966" s="350" t="s">
        <v>2698</v>
      </c>
      <c r="M966" s="318">
        <v>170</v>
      </c>
      <c r="N966" s="318">
        <v>1</v>
      </c>
      <c r="O966" s="619">
        <f t="shared" si="307"/>
        <v>3.81</v>
      </c>
      <c r="P966" s="750"/>
      <c r="Q966" s="750"/>
      <c r="R966" s="337"/>
      <c r="S966" s="348">
        <f t="shared" si="312"/>
        <v>0</v>
      </c>
      <c r="T966" s="319"/>
      <c r="V966" s="328">
        <v>3.802</v>
      </c>
      <c r="W966" s="320">
        <v>1</v>
      </c>
      <c r="X966" s="348">
        <f t="shared" si="308"/>
        <v>3.802</v>
      </c>
      <c r="Y966" s="330"/>
      <c r="Z966" s="348">
        <f t="shared" si="309"/>
        <v>0</v>
      </c>
      <c r="AB966" s="328">
        <f t="shared" si="310"/>
        <v>-8.0000000000000071E-3</v>
      </c>
      <c r="AC966" s="328">
        <f t="shared" si="311"/>
        <v>0</v>
      </c>
    </row>
    <row r="967" spans="1:29">
      <c r="A967" s="318"/>
      <c r="B967" s="319"/>
      <c r="C967" s="318"/>
      <c r="D967" s="318"/>
      <c r="E967" s="319"/>
      <c r="F967" s="319"/>
      <c r="G967" s="318" t="s">
        <v>1376</v>
      </c>
      <c r="H967" s="318">
        <v>3.81</v>
      </c>
      <c r="I967" s="318">
        <v>1</v>
      </c>
      <c r="J967" s="318">
        <f t="shared" si="305"/>
        <v>1</v>
      </c>
      <c r="K967" s="318">
        <f t="shared" si="306"/>
        <v>3.81</v>
      </c>
      <c r="L967" s="350" t="s">
        <v>2694</v>
      </c>
      <c r="M967" s="318">
        <v>169</v>
      </c>
      <c r="N967" s="318">
        <v>1</v>
      </c>
      <c r="O967" s="619">
        <f t="shared" si="307"/>
        <v>3.81</v>
      </c>
      <c r="P967" s="750"/>
      <c r="Q967" s="750"/>
      <c r="R967" s="337"/>
      <c r="S967" s="348">
        <f t="shared" si="312"/>
        <v>0</v>
      </c>
      <c r="T967" s="319"/>
      <c r="V967" s="328">
        <v>3.802</v>
      </c>
      <c r="W967" s="320">
        <v>1</v>
      </c>
      <c r="X967" s="348">
        <f t="shared" si="308"/>
        <v>3.802</v>
      </c>
      <c r="Y967" s="330"/>
      <c r="Z967" s="348">
        <f t="shared" si="309"/>
        <v>0</v>
      </c>
      <c r="AB967" s="328">
        <f t="shared" si="310"/>
        <v>-8.0000000000000071E-3</v>
      </c>
      <c r="AC967" s="328">
        <f t="shared" si="311"/>
        <v>0</v>
      </c>
    </row>
    <row r="968" spans="1:29">
      <c r="A968" s="318"/>
      <c r="B968" s="319"/>
      <c r="C968" s="318"/>
      <c r="D968" s="318"/>
      <c r="E968" s="319"/>
      <c r="F968" s="336"/>
      <c r="G968" s="318" t="s">
        <v>1377</v>
      </c>
      <c r="H968" s="318">
        <v>3.81</v>
      </c>
      <c r="I968" s="318">
        <v>1</v>
      </c>
      <c r="J968" s="318">
        <f t="shared" si="305"/>
        <v>1</v>
      </c>
      <c r="K968" s="318">
        <f t="shared" si="306"/>
        <v>3.81</v>
      </c>
      <c r="L968" s="350" t="s">
        <v>2694</v>
      </c>
      <c r="M968" s="318">
        <v>169</v>
      </c>
      <c r="N968" s="318">
        <v>1</v>
      </c>
      <c r="O968" s="619">
        <f t="shared" si="307"/>
        <v>3.81</v>
      </c>
      <c r="P968" s="750"/>
      <c r="Q968" s="750"/>
      <c r="R968" s="337"/>
      <c r="S968" s="348">
        <f t="shared" si="312"/>
        <v>0</v>
      </c>
      <c r="T968" s="319"/>
      <c r="V968" s="328">
        <v>3.802</v>
      </c>
      <c r="W968" s="320">
        <v>1</v>
      </c>
      <c r="X968" s="348">
        <f t="shared" si="308"/>
        <v>3.802</v>
      </c>
      <c r="Y968" s="330"/>
      <c r="Z968" s="348">
        <f t="shared" si="309"/>
        <v>0</v>
      </c>
      <c r="AB968" s="328">
        <f t="shared" si="310"/>
        <v>-8.0000000000000071E-3</v>
      </c>
      <c r="AC968" s="328">
        <f t="shared" si="311"/>
        <v>0</v>
      </c>
    </row>
    <row r="969" spans="1:29">
      <c r="A969" s="318"/>
      <c r="B969" s="319"/>
      <c r="C969" s="318"/>
      <c r="D969" s="318"/>
      <c r="E969" s="319"/>
      <c r="F969" s="319"/>
      <c r="G969" s="318" t="s">
        <v>1378</v>
      </c>
      <c r="H969" s="318">
        <v>3.81</v>
      </c>
      <c r="I969" s="318">
        <v>1</v>
      </c>
      <c r="J969" s="318">
        <f t="shared" si="305"/>
        <v>1</v>
      </c>
      <c r="K969" s="318">
        <f t="shared" si="306"/>
        <v>3.81</v>
      </c>
      <c r="L969" s="350" t="s">
        <v>2694</v>
      </c>
      <c r="M969" s="318">
        <v>169</v>
      </c>
      <c r="N969" s="318">
        <v>1</v>
      </c>
      <c r="O969" s="619">
        <f t="shared" si="307"/>
        <v>3.81</v>
      </c>
      <c r="P969" s="750"/>
      <c r="Q969" s="750"/>
      <c r="R969" s="337"/>
      <c r="S969" s="348">
        <f t="shared" si="312"/>
        <v>0</v>
      </c>
      <c r="T969" s="319"/>
      <c r="V969" s="328">
        <v>3.802</v>
      </c>
      <c r="W969" s="320">
        <v>1</v>
      </c>
      <c r="X969" s="348">
        <f t="shared" si="308"/>
        <v>3.802</v>
      </c>
      <c r="Y969" s="330"/>
      <c r="Z969" s="348">
        <f t="shared" si="309"/>
        <v>0</v>
      </c>
      <c r="AB969" s="328">
        <f t="shared" si="310"/>
        <v>-8.0000000000000071E-3</v>
      </c>
      <c r="AC969" s="328">
        <f t="shared" si="311"/>
        <v>0</v>
      </c>
    </row>
    <row r="970" spans="1:29" ht="15" thickBot="1">
      <c r="A970" s="318"/>
      <c r="B970" s="319"/>
      <c r="C970" s="318"/>
      <c r="D970" s="318"/>
      <c r="E970" s="319"/>
      <c r="F970" s="319"/>
      <c r="G970" s="318" t="s">
        <v>1379</v>
      </c>
      <c r="H970" s="318">
        <v>3.81</v>
      </c>
      <c r="I970" s="318">
        <v>1</v>
      </c>
      <c r="J970" s="318">
        <v>1</v>
      </c>
      <c r="K970" s="318">
        <f>H970*J970</f>
        <v>3.81</v>
      </c>
      <c r="L970" s="318"/>
      <c r="M970" s="318"/>
      <c r="N970" s="318">
        <v>1</v>
      </c>
      <c r="O970" s="619">
        <f t="shared" si="307"/>
        <v>3.81</v>
      </c>
      <c r="P970" s="750"/>
      <c r="Q970" s="750"/>
      <c r="R970" s="592"/>
      <c r="S970" s="348">
        <f t="shared" si="312"/>
        <v>0</v>
      </c>
      <c r="T970" s="319"/>
      <c r="V970" s="328">
        <v>3.802</v>
      </c>
      <c r="W970" s="320">
        <v>1</v>
      </c>
      <c r="X970" s="348">
        <f t="shared" si="308"/>
        <v>3.802</v>
      </c>
      <c r="Y970" s="330"/>
      <c r="Z970" s="348">
        <f t="shared" si="309"/>
        <v>0</v>
      </c>
      <c r="AB970" s="328">
        <f t="shared" si="310"/>
        <v>-8.0000000000000071E-3</v>
      </c>
      <c r="AC970" s="328">
        <f t="shared" si="311"/>
        <v>0</v>
      </c>
    </row>
    <row r="971" spans="1:29" ht="15.6" thickTop="1" thickBot="1">
      <c r="A971" s="318"/>
      <c r="B971" s="319"/>
      <c r="C971" s="318"/>
      <c r="D971" s="318"/>
      <c r="E971" s="319"/>
      <c r="F971" s="319"/>
      <c r="G971" s="649" t="s">
        <v>1380</v>
      </c>
      <c r="H971" s="318">
        <v>2.27</v>
      </c>
      <c r="I971" s="318">
        <v>1</v>
      </c>
      <c r="J971" s="318">
        <v>1</v>
      </c>
      <c r="K971" s="318">
        <f>H971*J971</f>
        <v>2.27</v>
      </c>
      <c r="L971" s="350" t="s">
        <v>2930</v>
      </c>
      <c r="M971" s="350" t="s">
        <v>2931</v>
      </c>
      <c r="N971" s="318">
        <v>1</v>
      </c>
      <c r="O971" s="619">
        <f t="shared" si="307"/>
        <v>2.27</v>
      </c>
      <c r="P971" s="750"/>
      <c r="Q971" s="747"/>
      <c r="R971" s="624"/>
      <c r="S971" s="348">
        <f t="shared" si="312"/>
        <v>0</v>
      </c>
      <c r="T971" s="319"/>
      <c r="V971" s="328">
        <f>1.164+1.727</f>
        <v>2.891</v>
      </c>
      <c r="W971" s="320"/>
      <c r="X971" s="348">
        <f t="shared" si="308"/>
        <v>0</v>
      </c>
      <c r="Y971" s="330"/>
      <c r="Z971" s="348">
        <f t="shared" si="309"/>
        <v>0</v>
      </c>
      <c r="AB971" s="328">
        <f t="shared" si="310"/>
        <v>-2.27</v>
      </c>
      <c r="AC971" s="328">
        <f t="shared" si="311"/>
        <v>0</v>
      </c>
    </row>
    <row r="972" spans="1:29" ht="15.6" thickTop="1" thickBot="1">
      <c r="A972" s="318"/>
      <c r="B972" s="319"/>
      <c r="C972" s="318"/>
      <c r="D972" s="318"/>
      <c r="E972" s="319"/>
      <c r="F972" s="336"/>
      <c r="G972" s="652" t="s">
        <v>1381</v>
      </c>
      <c r="H972" s="318">
        <v>4.49</v>
      </c>
      <c r="I972" s="318">
        <v>1</v>
      </c>
      <c r="J972" s="318">
        <v>1</v>
      </c>
      <c r="K972" s="318">
        <f t="shared" ref="K972:K989" si="313">H972*J972</f>
        <v>4.49</v>
      </c>
      <c r="L972" s="318"/>
      <c r="M972" s="318"/>
      <c r="N972" s="318">
        <v>0.3</v>
      </c>
      <c r="O972" s="619">
        <f t="shared" si="307"/>
        <v>1.347</v>
      </c>
      <c r="P972" s="750">
        <v>0.3</v>
      </c>
      <c r="Q972" s="772">
        <f t="shared" ref="Q972:Q977" si="314">R972-P972</f>
        <v>0</v>
      </c>
      <c r="R972" s="624">
        <v>0.3</v>
      </c>
      <c r="S972" s="348">
        <f t="shared" si="312"/>
        <v>1.347</v>
      </c>
      <c r="T972" s="319" t="s">
        <v>3351</v>
      </c>
      <c r="V972" s="328">
        <v>4.49</v>
      </c>
      <c r="W972" s="320"/>
      <c r="X972" s="348">
        <f t="shared" si="308"/>
        <v>0</v>
      </c>
      <c r="Y972" s="330"/>
      <c r="Z972" s="348">
        <f t="shared" si="309"/>
        <v>0</v>
      </c>
      <c r="AB972" s="328">
        <f t="shared" si="310"/>
        <v>-1.347</v>
      </c>
      <c r="AC972" s="328">
        <f t="shared" si="311"/>
        <v>-1.347</v>
      </c>
    </row>
    <row r="973" spans="1:29" ht="15.6" thickTop="1" thickBot="1">
      <c r="A973" s="318"/>
      <c r="B973" s="319"/>
      <c r="C973" s="318"/>
      <c r="D973" s="318"/>
      <c r="E973" s="319"/>
      <c r="F973" s="319"/>
      <c r="G973" s="652" t="s">
        <v>1382</v>
      </c>
      <c r="H973" s="318">
        <v>4.49</v>
      </c>
      <c r="I973" s="318">
        <v>1</v>
      </c>
      <c r="J973" s="318">
        <v>1</v>
      </c>
      <c r="K973" s="318">
        <f t="shared" si="313"/>
        <v>4.49</v>
      </c>
      <c r="L973" s="349">
        <v>30943123</v>
      </c>
      <c r="M973" s="349">
        <v>322328</v>
      </c>
      <c r="N973" s="318">
        <v>1</v>
      </c>
      <c r="O973" s="619">
        <f t="shared" si="307"/>
        <v>4.49</v>
      </c>
      <c r="P973" s="750">
        <v>1</v>
      </c>
      <c r="Q973" s="772">
        <f t="shared" si="314"/>
        <v>0</v>
      </c>
      <c r="R973" s="624">
        <v>1</v>
      </c>
      <c r="S973" s="348">
        <f t="shared" si="312"/>
        <v>4.49</v>
      </c>
      <c r="T973" s="319" t="s">
        <v>3351</v>
      </c>
      <c r="V973" s="328">
        <v>4.49</v>
      </c>
      <c r="W973" s="320"/>
      <c r="X973" s="348">
        <f t="shared" si="308"/>
        <v>0</v>
      </c>
      <c r="Y973" s="330"/>
      <c r="Z973" s="348">
        <f t="shared" si="309"/>
        <v>0</v>
      </c>
      <c r="AB973" s="328">
        <f t="shared" si="310"/>
        <v>-4.49</v>
      </c>
      <c r="AC973" s="328">
        <f t="shared" si="311"/>
        <v>-4.49</v>
      </c>
    </row>
    <row r="974" spans="1:29" ht="15.6" thickTop="1" thickBot="1">
      <c r="A974" s="318"/>
      <c r="B974" s="319"/>
      <c r="C974" s="318"/>
      <c r="D974" s="318"/>
      <c r="E974" s="319"/>
      <c r="F974" s="319"/>
      <c r="G974" s="652" t="s">
        <v>1383</v>
      </c>
      <c r="H974" s="318">
        <v>4.49</v>
      </c>
      <c r="I974" s="318">
        <v>1</v>
      </c>
      <c r="J974" s="318">
        <v>1</v>
      </c>
      <c r="K974" s="318">
        <f t="shared" si="313"/>
        <v>4.49</v>
      </c>
      <c r="L974" s="349">
        <v>31233143</v>
      </c>
      <c r="M974" s="349">
        <v>328331</v>
      </c>
      <c r="N974" s="318">
        <v>1</v>
      </c>
      <c r="O974" s="619">
        <f t="shared" si="307"/>
        <v>4.49</v>
      </c>
      <c r="P974" s="750">
        <v>1</v>
      </c>
      <c r="Q974" s="772">
        <f t="shared" si="314"/>
        <v>0</v>
      </c>
      <c r="R974" s="624">
        <v>1</v>
      </c>
      <c r="S974" s="348">
        <f t="shared" si="312"/>
        <v>4.49</v>
      </c>
      <c r="T974" s="319" t="s">
        <v>3351</v>
      </c>
      <c r="V974" s="328">
        <v>4.49</v>
      </c>
      <c r="W974" s="320"/>
      <c r="X974" s="348">
        <f t="shared" si="308"/>
        <v>0</v>
      </c>
      <c r="Y974" s="330"/>
      <c r="Z974" s="348">
        <f t="shared" si="309"/>
        <v>0</v>
      </c>
      <c r="AB974" s="328">
        <f t="shared" si="310"/>
        <v>-4.49</v>
      </c>
      <c r="AC974" s="328">
        <f t="shared" si="311"/>
        <v>-4.49</v>
      </c>
    </row>
    <row r="975" spans="1:29" ht="15.6" thickTop="1" thickBot="1">
      <c r="A975" s="318"/>
      <c r="B975" s="319"/>
      <c r="C975" s="318"/>
      <c r="D975" s="318"/>
      <c r="E975" s="319"/>
      <c r="F975" s="319"/>
      <c r="G975" s="652" t="s">
        <v>1384</v>
      </c>
      <c r="H975" s="318">
        <v>4.49</v>
      </c>
      <c r="I975" s="318">
        <v>1</v>
      </c>
      <c r="J975" s="318">
        <v>1</v>
      </c>
      <c r="K975" s="318">
        <f t="shared" si="313"/>
        <v>4.49</v>
      </c>
      <c r="L975" s="318">
        <v>3123</v>
      </c>
      <c r="M975" s="318">
        <v>328</v>
      </c>
      <c r="N975" s="318">
        <v>0.33</v>
      </c>
      <c r="O975" s="619">
        <f t="shared" si="307"/>
        <v>1.4817000000000002</v>
      </c>
      <c r="P975" s="750">
        <v>1</v>
      </c>
      <c r="Q975" s="772">
        <f t="shared" si="314"/>
        <v>0</v>
      </c>
      <c r="R975" s="624">
        <v>1</v>
      </c>
      <c r="S975" s="348">
        <f t="shared" si="312"/>
        <v>4.49</v>
      </c>
      <c r="T975" s="319" t="s">
        <v>3351</v>
      </c>
      <c r="V975" s="328">
        <v>4.49</v>
      </c>
      <c r="W975" s="320"/>
      <c r="X975" s="348">
        <f t="shared" si="308"/>
        <v>0</v>
      </c>
      <c r="Y975" s="330"/>
      <c r="Z975" s="348">
        <f t="shared" si="309"/>
        <v>0</v>
      </c>
      <c r="AB975" s="328">
        <f t="shared" si="310"/>
        <v>-1.4817000000000002</v>
      </c>
      <c r="AC975" s="328">
        <f t="shared" si="311"/>
        <v>-4.49</v>
      </c>
    </row>
    <row r="976" spans="1:29" ht="15.6" thickTop="1" thickBot="1">
      <c r="A976" s="318"/>
      <c r="B976" s="319"/>
      <c r="C976" s="318"/>
      <c r="D976" s="318"/>
      <c r="E976" s="319"/>
      <c r="F976" s="319"/>
      <c r="G976" s="652" t="s">
        <v>1385</v>
      </c>
      <c r="H976" s="318">
        <v>4.49</v>
      </c>
      <c r="I976" s="318">
        <v>1</v>
      </c>
      <c r="J976" s="318">
        <v>1</v>
      </c>
      <c r="K976" s="318">
        <f t="shared" si="313"/>
        <v>4.49</v>
      </c>
      <c r="L976" s="318">
        <v>3123</v>
      </c>
      <c r="M976" s="318">
        <v>328</v>
      </c>
      <c r="N976" s="318">
        <v>1</v>
      </c>
      <c r="O976" s="619">
        <f t="shared" si="307"/>
        <v>4.49</v>
      </c>
      <c r="P976" s="750">
        <v>1</v>
      </c>
      <c r="Q976" s="772">
        <f t="shared" si="314"/>
        <v>0</v>
      </c>
      <c r="R976" s="624">
        <v>1</v>
      </c>
      <c r="S976" s="348">
        <f t="shared" si="312"/>
        <v>4.49</v>
      </c>
      <c r="T976" s="319" t="s">
        <v>3351</v>
      </c>
      <c r="V976" s="328">
        <v>4.49</v>
      </c>
      <c r="W976" s="320"/>
      <c r="X976" s="348">
        <f t="shared" si="308"/>
        <v>0</v>
      </c>
      <c r="Y976" s="330"/>
      <c r="Z976" s="348">
        <f t="shared" si="309"/>
        <v>0</v>
      </c>
      <c r="AB976" s="328">
        <f t="shared" si="310"/>
        <v>-4.49</v>
      </c>
      <c r="AC976" s="328">
        <f t="shared" si="311"/>
        <v>-4.49</v>
      </c>
    </row>
    <row r="977" spans="1:29" ht="14.4" customHeight="1" thickTop="1" thickBot="1">
      <c r="A977" s="318"/>
      <c r="B977" s="319"/>
      <c r="C977" s="318"/>
      <c r="D977" s="318"/>
      <c r="E977" s="319"/>
      <c r="F977" s="336"/>
      <c r="G977" s="652" t="s">
        <v>1386</v>
      </c>
      <c r="H977" s="318">
        <v>4.49</v>
      </c>
      <c r="I977" s="318">
        <v>1</v>
      </c>
      <c r="J977" s="318">
        <v>1</v>
      </c>
      <c r="K977" s="318">
        <f t="shared" si="313"/>
        <v>4.49</v>
      </c>
      <c r="L977" s="318"/>
      <c r="M977" s="318"/>
      <c r="N977" s="318">
        <v>0.3</v>
      </c>
      <c r="O977" s="619">
        <f t="shared" si="307"/>
        <v>1.347</v>
      </c>
      <c r="P977" s="750">
        <v>0.3</v>
      </c>
      <c r="Q977" s="772">
        <f t="shared" si="314"/>
        <v>0</v>
      </c>
      <c r="R977" s="624">
        <v>0.3</v>
      </c>
      <c r="S977" s="348">
        <f t="shared" si="312"/>
        <v>1.347</v>
      </c>
      <c r="T977" s="319" t="s">
        <v>3351</v>
      </c>
      <c r="V977" s="328">
        <v>4.49</v>
      </c>
      <c r="W977" s="320"/>
      <c r="X977" s="348">
        <f t="shared" si="308"/>
        <v>0</v>
      </c>
      <c r="Y977" s="330"/>
      <c r="Z977" s="348">
        <f t="shared" si="309"/>
        <v>0</v>
      </c>
      <c r="AB977" s="328">
        <f t="shared" si="310"/>
        <v>-1.347</v>
      </c>
      <c r="AC977" s="328">
        <f t="shared" si="311"/>
        <v>-1.347</v>
      </c>
    </row>
    <row r="978" spans="1:29" ht="15" thickTop="1">
      <c r="A978" s="318"/>
      <c r="B978" s="319"/>
      <c r="C978" s="318"/>
      <c r="D978" s="318"/>
      <c r="E978" s="319"/>
      <c r="F978" s="336"/>
      <c r="G978" s="318" t="s">
        <v>1387</v>
      </c>
      <c r="H978" s="318">
        <v>4.49</v>
      </c>
      <c r="I978" s="318">
        <v>1</v>
      </c>
      <c r="J978" s="318">
        <f t="shared" ref="J978:J989" si="315">IF(N978&gt;0,1,0)</f>
        <v>1</v>
      </c>
      <c r="K978" s="318">
        <f t="shared" si="313"/>
        <v>4.49</v>
      </c>
      <c r="L978" s="350" t="s">
        <v>2696</v>
      </c>
      <c r="M978" s="318">
        <v>173</v>
      </c>
      <c r="N978" s="318">
        <v>1</v>
      </c>
      <c r="O978" s="619">
        <f t="shared" si="307"/>
        <v>4.49</v>
      </c>
      <c r="P978" s="750">
        <v>1</v>
      </c>
      <c r="Q978" s="750"/>
      <c r="R978" s="337">
        <v>1</v>
      </c>
      <c r="S978" s="348">
        <f t="shared" si="312"/>
        <v>4.49</v>
      </c>
      <c r="T978" s="319"/>
      <c r="V978" s="328">
        <v>4.49</v>
      </c>
      <c r="W978" s="320">
        <v>1</v>
      </c>
      <c r="X978" s="348">
        <f t="shared" si="308"/>
        <v>4.49</v>
      </c>
      <c r="Y978" s="330"/>
      <c r="Z978" s="348">
        <f t="shared" si="309"/>
        <v>0</v>
      </c>
      <c r="AB978" s="328">
        <f t="shared" si="310"/>
        <v>0</v>
      </c>
      <c r="AC978" s="328">
        <f t="shared" si="311"/>
        <v>-4.49</v>
      </c>
    </row>
    <row r="979" spans="1:29">
      <c r="A979" s="318"/>
      <c r="B979" s="319"/>
      <c r="C979" s="318"/>
      <c r="D979" s="318"/>
      <c r="E979" s="319"/>
      <c r="F979" s="336"/>
      <c r="G979" s="318" t="s">
        <v>1388</v>
      </c>
      <c r="H979" s="318">
        <v>4.49</v>
      </c>
      <c r="I979" s="318">
        <v>1</v>
      </c>
      <c r="J979" s="318">
        <f t="shared" si="315"/>
        <v>1</v>
      </c>
      <c r="K979" s="318">
        <f t="shared" si="313"/>
        <v>4.49</v>
      </c>
      <c r="L979" s="350" t="s">
        <v>2694</v>
      </c>
      <c r="M979" s="318">
        <v>169</v>
      </c>
      <c r="N979" s="318">
        <v>1</v>
      </c>
      <c r="O979" s="619">
        <f t="shared" si="307"/>
        <v>4.49</v>
      </c>
      <c r="P979" s="750">
        <v>1</v>
      </c>
      <c r="Q979" s="750"/>
      <c r="R979" s="337">
        <v>1</v>
      </c>
      <c r="S979" s="348">
        <f t="shared" si="312"/>
        <v>4.49</v>
      </c>
      <c r="T979" s="319"/>
      <c r="V979" s="328">
        <v>4.49</v>
      </c>
      <c r="W979" s="320">
        <v>1</v>
      </c>
      <c r="X979" s="348">
        <f t="shared" si="308"/>
        <v>4.49</v>
      </c>
      <c r="Y979" s="330"/>
      <c r="Z979" s="348">
        <f t="shared" si="309"/>
        <v>0</v>
      </c>
      <c r="AB979" s="328">
        <f t="shared" si="310"/>
        <v>0</v>
      </c>
      <c r="AC979" s="328">
        <f t="shared" si="311"/>
        <v>-4.49</v>
      </c>
    </row>
    <row r="980" spans="1:29">
      <c r="A980" s="318"/>
      <c r="B980" s="319"/>
      <c r="C980" s="318"/>
      <c r="D980" s="318"/>
      <c r="E980" s="319"/>
      <c r="F980" s="336"/>
      <c r="G980" s="318" t="s">
        <v>1389</v>
      </c>
      <c r="H980" s="318">
        <v>3.32</v>
      </c>
      <c r="I980" s="318">
        <v>1</v>
      </c>
      <c r="J980" s="318">
        <f t="shared" si="315"/>
        <v>1</v>
      </c>
      <c r="K980" s="318">
        <f t="shared" si="313"/>
        <v>3.32</v>
      </c>
      <c r="L980" s="350" t="s">
        <v>3099</v>
      </c>
      <c r="M980" s="318">
        <v>169</v>
      </c>
      <c r="N980" s="318">
        <v>1</v>
      </c>
      <c r="O980" s="619">
        <f t="shared" si="307"/>
        <v>3.32</v>
      </c>
      <c r="P980" s="750">
        <v>1</v>
      </c>
      <c r="Q980" s="750"/>
      <c r="R980" s="337">
        <v>1</v>
      </c>
      <c r="S980" s="348">
        <f t="shared" si="312"/>
        <v>3.32</v>
      </c>
      <c r="T980" s="319"/>
      <c r="V980" s="328">
        <v>3.3119999999999998</v>
      </c>
      <c r="W980" s="458">
        <f>2/3</f>
        <v>0.66666666666666663</v>
      </c>
      <c r="X980" s="348">
        <f t="shared" si="308"/>
        <v>2.2079999999999997</v>
      </c>
      <c r="Y980" s="330"/>
      <c r="Z980" s="348">
        <f t="shared" si="309"/>
        <v>0</v>
      </c>
      <c r="AB980" s="328">
        <f t="shared" si="310"/>
        <v>-1.1120000000000001</v>
      </c>
      <c r="AC980" s="328">
        <f t="shared" si="311"/>
        <v>-3.32</v>
      </c>
    </row>
    <row r="981" spans="1:29">
      <c r="A981" s="318"/>
      <c r="B981" s="319"/>
      <c r="C981" s="318"/>
      <c r="D981" s="318"/>
      <c r="E981" s="319"/>
      <c r="F981" s="336"/>
      <c r="G981" s="318" t="s">
        <v>1390</v>
      </c>
      <c r="H981" s="318">
        <v>3.32</v>
      </c>
      <c r="I981" s="318">
        <v>1</v>
      </c>
      <c r="J981" s="318">
        <f t="shared" si="315"/>
        <v>1</v>
      </c>
      <c r="K981" s="318">
        <f t="shared" si="313"/>
        <v>3.32</v>
      </c>
      <c r="L981" s="352" t="s">
        <v>3045</v>
      </c>
      <c r="M981" s="349">
        <v>169224228</v>
      </c>
      <c r="N981" s="318">
        <v>1</v>
      </c>
      <c r="O981" s="619">
        <f t="shared" si="307"/>
        <v>3.32</v>
      </c>
      <c r="P981" s="750">
        <v>1</v>
      </c>
      <c r="Q981" s="750"/>
      <c r="R981" s="337">
        <v>1</v>
      </c>
      <c r="S981" s="348">
        <f t="shared" si="312"/>
        <v>3.32</v>
      </c>
      <c r="T981" s="319"/>
      <c r="V981" s="328">
        <v>3.3119999999999998</v>
      </c>
      <c r="W981" s="458">
        <f>2/3</f>
        <v>0.66666666666666663</v>
      </c>
      <c r="X981" s="348">
        <f t="shared" si="308"/>
        <v>2.2079999999999997</v>
      </c>
      <c r="Y981" s="330"/>
      <c r="Z981" s="348">
        <f t="shared" si="309"/>
        <v>0</v>
      </c>
      <c r="AB981" s="328">
        <f t="shared" si="310"/>
        <v>-1.1120000000000001</v>
      </c>
      <c r="AC981" s="328">
        <f t="shared" si="311"/>
        <v>-3.32</v>
      </c>
    </row>
    <row r="982" spans="1:29">
      <c r="A982" s="318"/>
      <c r="B982" s="319"/>
      <c r="C982" s="318"/>
      <c r="D982" s="318"/>
      <c r="E982" s="319"/>
      <c r="F982" s="319"/>
      <c r="G982" s="318" t="s">
        <v>1391</v>
      </c>
      <c r="H982" s="318">
        <v>3.27</v>
      </c>
      <c r="I982" s="318">
        <v>1</v>
      </c>
      <c r="J982" s="318">
        <f t="shared" si="315"/>
        <v>1</v>
      </c>
      <c r="K982" s="318">
        <f t="shared" si="313"/>
        <v>3.27</v>
      </c>
      <c r="L982" s="482" t="s">
        <v>3816</v>
      </c>
      <c r="M982" s="352" t="s">
        <v>3817</v>
      </c>
      <c r="N982" s="318">
        <v>1</v>
      </c>
      <c r="O982" s="619">
        <f t="shared" si="307"/>
        <v>3.27</v>
      </c>
      <c r="P982" s="750">
        <v>1</v>
      </c>
      <c r="Q982" s="750"/>
      <c r="R982" s="337">
        <v>1</v>
      </c>
      <c r="S982" s="348">
        <f t="shared" si="312"/>
        <v>3.27</v>
      </c>
      <c r="T982" s="319"/>
      <c r="V982" s="328">
        <v>3.2559999999999998</v>
      </c>
      <c r="W982" s="320"/>
      <c r="X982" s="348">
        <f t="shared" si="308"/>
        <v>0</v>
      </c>
      <c r="Y982" s="330"/>
      <c r="Z982" s="348">
        <f t="shared" si="309"/>
        <v>0</v>
      </c>
      <c r="AB982" s="328">
        <f t="shared" si="310"/>
        <v>-3.27</v>
      </c>
      <c r="AC982" s="328">
        <f t="shared" si="311"/>
        <v>-3.27</v>
      </c>
    </row>
    <row r="983" spans="1:29">
      <c r="A983" s="318"/>
      <c r="B983" s="319"/>
      <c r="C983" s="318"/>
      <c r="D983" s="318"/>
      <c r="E983" s="319"/>
      <c r="F983" s="319"/>
      <c r="G983" s="318" t="s">
        <v>1392</v>
      </c>
      <c r="H983" s="318">
        <v>3.27</v>
      </c>
      <c r="I983" s="318">
        <v>1</v>
      </c>
      <c r="J983" s="318">
        <f t="shared" si="315"/>
        <v>1</v>
      </c>
      <c r="K983" s="318">
        <f t="shared" si="313"/>
        <v>3.27</v>
      </c>
      <c r="L983" s="352" t="s">
        <v>3037</v>
      </c>
      <c r="M983" s="350" t="s">
        <v>3036</v>
      </c>
      <c r="N983" s="318">
        <v>1</v>
      </c>
      <c r="O983" s="619">
        <f t="shared" si="307"/>
        <v>3.27</v>
      </c>
      <c r="P983" s="750">
        <v>1</v>
      </c>
      <c r="Q983" s="750"/>
      <c r="R983" s="337">
        <v>1</v>
      </c>
      <c r="S983" s="348">
        <f t="shared" si="312"/>
        <v>3.27</v>
      </c>
      <c r="T983" s="319"/>
      <c r="V983" s="328">
        <v>3.2559999999999998</v>
      </c>
      <c r="W983" s="320"/>
      <c r="X983" s="348">
        <f t="shared" si="308"/>
        <v>0</v>
      </c>
      <c r="Y983" s="330"/>
      <c r="Z983" s="348">
        <f t="shared" si="309"/>
        <v>0</v>
      </c>
      <c r="AB983" s="328">
        <f t="shared" si="310"/>
        <v>-3.27</v>
      </c>
      <c r="AC983" s="328">
        <f t="shared" si="311"/>
        <v>-3.27</v>
      </c>
    </row>
    <row r="984" spans="1:29">
      <c r="A984" s="318"/>
      <c r="B984" s="319"/>
      <c r="C984" s="318"/>
      <c r="D984" s="318"/>
      <c r="E984" s="319"/>
      <c r="F984" s="336"/>
      <c r="G984" s="318" t="s">
        <v>1393</v>
      </c>
      <c r="H984" s="318">
        <v>4.01</v>
      </c>
      <c r="I984" s="318">
        <v>1</v>
      </c>
      <c r="J984" s="318">
        <f t="shared" si="315"/>
        <v>1</v>
      </c>
      <c r="K984" s="318">
        <f t="shared" si="313"/>
        <v>4.01</v>
      </c>
      <c r="L984" s="350" t="s">
        <v>3033</v>
      </c>
      <c r="M984" s="350" t="s">
        <v>3034</v>
      </c>
      <c r="N984" s="318">
        <v>1</v>
      </c>
      <c r="O984" s="619">
        <f t="shared" si="307"/>
        <v>4.01</v>
      </c>
      <c r="P984" s="750">
        <v>1</v>
      </c>
      <c r="Q984" s="750"/>
      <c r="R984" s="337">
        <v>1</v>
      </c>
      <c r="S984" s="348">
        <f t="shared" si="312"/>
        <v>4.01</v>
      </c>
      <c r="T984" s="319"/>
      <c r="V984" s="328">
        <v>3.9950000000000001</v>
      </c>
      <c r="W984" s="458">
        <f>2/3</f>
        <v>0.66666666666666663</v>
      </c>
      <c r="X984" s="348">
        <f t="shared" si="308"/>
        <v>2.6633333333333331</v>
      </c>
      <c r="Y984" s="330"/>
      <c r="Z984" s="348">
        <f t="shared" si="309"/>
        <v>0</v>
      </c>
      <c r="AB984" s="328">
        <f t="shared" si="310"/>
        <v>-1.3466666666666667</v>
      </c>
      <c r="AC984" s="328">
        <f t="shared" si="311"/>
        <v>-4.01</v>
      </c>
    </row>
    <row r="985" spans="1:29">
      <c r="A985" s="318"/>
      <c r="B985" s="319"/>
      <c r="C985" s="318"/>
      <c r="D985" s="318"/>
      <c r="E985" s="319"/>
      <c r="F985" s="336"/>
      <c r="G985" s="318" t="s">
        <v>1394</v>
      </c>
      <c r="H985" s="318">
        <v>4.3499999999999996</v>
      </c>
      <c r="I985" s="318">
        <v>1</v>
      </c>
      <c r="J985" s="318">
        <f t="shared" si="315"/>
        <v>1</v>
      </c>
      <c r="K985" s="318">
        <f t="shared" si="313"/>
        <v>4.3499999999999996</v>
      </c>
      <c r="L985" s="352" t="s">
        <v>3039</v>
      </c>
      <c r="M985" s="350" t="s">
        <v>3040</v>
      </c>
      <c r="N985" s="318">
        <v>1</v>
      </c>
      <c r="O985" s="619">
        <f t="shared" si="307"/>
        <v>4.3499999999999996</v>
      </c>
      <c r="P985" s="750">
        <v>1</v>
      </c>
      <c r="Q985" s="750"/>
      <c r="R985" s="337">
        <v>1</v>
      </c>
      <c r="S985" s="348">
        <f t="shared" si="312"/>
        <v>4.3499999999999996</v>
      </c>
      <c r="T985" s="319"/>
      <c r="V985" s="328">
        <v>4.34</v>
      </c>
      <c r="W985" s="458">
        <f>2/3</f>
        <v>0.66666666666666663</v>
      </c>
      <c r="X985" s="348">
        <f t="shared" si="308"/>
        <v>2.8933333333333331</v>
      </c>
      <c r="Y985" s="330"/>
      <c r="Z985" s="348">
        <f t="shared" si="309"/>
        <v>0</v>
      </c>
      <c r="AB985" s="328">
        <f t="shared" si="310"/>
        <v>-1.4566666666666666</v>
      </c>
      <c r="AC985" s="328">
        <f t="shared" si="311"/>
        <v>-4.3499999999999996</v>
      </c>
    </row>
    <row r="986" spans="1:29">
      <c r="A986" s="318"/>
      <c r="B986" s="319"/>
      <c r="C986" s="318"/>
      <c r="D986" s="318"/>
      <c r="E986" s="319"/>
      <c r="F986" s="336"/>
      <c r="G986" s="318" t="s">
        <v>1395</v>
      </c>
      <c r="H986" s="318">
        <v>4.3499999999999996</v>
      </c>
      <c r="I986" s="318">
        <v>1</v>
      </c>
      <c r="J986" s="318">
        <f t="shared" si="315"/>
        <v>1</v>
      </c>
      <c r="K986" s="318">
        <f t="shared" si="313"/>
        <v>4.3499999999999996</v>
      </c>
      <c r="L986" s="350" t="s">
        <v>3033</v>
      </c>
      <c r="M986" s="350" t="s">
        <v>3034</v>
      </c>
      <c r="N986" s="318">
        <v>1</v>
      </c>
      <c r="O986" s="619">
        <f t="shared" si="307"/>
        <v>4.3499999999999996</v>
      </c>
      <c r="P986" s="750">
        <v>1</v>
      </c>
      <c r="Q986" s="750"/>
      <c r="R986" s="337">
        <v>1</v>
      </c>
      <c r="S986" s="348">
        <f t="shared" si="312"/>
        <v>4.3499999999999996</v>
      </c>
      <c r="T986" s="319"/>
      <c r="V986" s="328">
        <v>4.34</v>
      </c>
      <c r="W986" s="458">
        <f>2/3</f>
        <v>0.66666666666666663</v>
      </c>
      <c r="X986" s="348">
        <f t="shared" si="308"/>
        <v>2.8933333333333331</v>
      </c>
      <c r="Y986" s="330"/>
      <c r="Z986" s="348">
        <f t="shared" si="309"/>
        <v>0</v>
      </c>
      <c r="AB986" s="328">
        <f t="shared" si="310"/>
        <v>-1.4566666666666666</v>
      </c>
      <c r="AC986" s="328">
        <f t="shared" si="311"/>
        <v>-4.3499999999999996</v>
      </c>
    </row>
    <row r="987" spans="1:29">
      <c r="A987" s="318"/>
      <c r="B987" s="319"/>
      <c r="C987" s="318"/>
      <c r="D987" s="318"/>
      <c r="E987" s="319"/>
      <c r="F987" s="336"/>
      <c r="G987" s="318" t="s">
        <v>1396</v>
      </c>
      <c r="H987" s="318">
        <v>4.3499999999999996</v>
      </c>
      <c r="I987" s="318">
        <v>1</v>
      </c>
      <c r="J987" s="318">
        <f t="shared" si="315"/>
        <v>1</v>
      </c>
      <c r="K987" s="318">
        <f t="shared" si="313"/>
        <v>4.3499999999999996</v>
      </c>
      <c r="L987" s="352" t="s">
        <v>3038</v>
      </c>
      <c r="M987" s="352" t="s">
        <v>3035</v>
      </c>
      <c r="N987" s="318">
        <v>1</v>
      </c>
      <c r="O987" s="619">
        <f t="shared" si="307"/>
        <v>4.3499999999999996</v>
      </c>
      <c r="P987" s="750">
        <v>1</v>
      </c>
      <c r="Q987" s="750"/>
      <c r="R987" s="337">
        <v>1</v>
      </c>
      <c r="S987" s="348">
        <f t="shared" si="312"/>
        <v>4.3499999999999996</v>
      </c>
      <c r="T987" s="319"/>
      <c r="V987" s="328">
        <v>4.34</v>
      </c>
      <c r="W987" s="458">
        <f>2/3</f>
        <v>0.66666666666666663</v>
      </c>
      <c r="X987" s="348">
        <f t="shared" si="308"/>
        <v>2.8933333333333331</v>
      </c>
      <c r="Y987" s="330"/>
      <c r="Z987" s="348">
        <f t="shared" si="309"/>
        <v>0</v>
      </c>
      <c r="AB987" s="328">
        <f t="shared" si="310"/>
        <v>-1.4566666666666666</v>
      </c>
      <c r="AC987" s="328">
        <f t="shared" si="311"/>
        <v>-4.3499999999999996</v>
      </c>
    </row>
    <row r="988" spans="1:29">
      <c r="A988" s="318"/>
      <c r="B988" s="319"/>
      <c r="C988" s="318"/>
      <c r="D988" s="318"/>
      <c r="E988" s="319"/>
      <c r="F988" s="336"/>
      <c r="G988" s="318" t="s">
        <v>1397</v>
      </c>
      <c r="H988" s="318">
        <v>3.68</v>
      </c>
      <c r="I988" s="318">
        <v>1</v>
      </c>
      <c r="J988" s="318">
        <f t="shared" si="315"/>
        <v>1</v>
      </c>
      <c r="K988" s="318">
        <f t="shared" si="313"/>
        <v>3.68</v>
      </c>
      <c r="L988" s="352" t="s">
        <v>3044</v>
      </c>
      <c r="M988" s="350" t="s">
        <v>3051</v>
      </c>
      <c r="N988" s="318">
        <v>1</v>
      </c>
      <c r="O988" s="619">
        <f t="shared" si="307"/>
        <v>3.68</v>
      </c>
      <c r="P988" s="750">
        <v>1</v>
      </c>
      <c r="Q988" s="750"/>
      <c r="R988" s="337">
        <v>1</v>
      </c>
      <c r="S988" s="348">
        <f t="shared" si="312"/>
        <v>3.68</v>
      </c>
      <c r="T988" s="319"/>
      <c r="V988" s="328">
        <v>3.9950000000000001</v>
      </c>
      <c r="W988" s="320"/>
      <c r="X988" s="348">
        <f t="shared" si="308"/>
        <v>0</v>
      </c>
      <c r="Y988" s="330"/>
      <c r="Z988" s="348">
        <f t="shared" si="309"/>
        <v>0</v>
      </c>
      <c r="AB988" s="328">
        <f t="shared" si="310"/>
        <v>-3.68</v>
      </c>
      <c r="AC988" s="328">
        <f t="shared" si="311"/>
        <v>-3.68</v>
      </c>
    </row>
    <row r="989" spans="1:29">
      <c r="A989" s="318"/>
      <c r="B989" s="319"/>
      <c r="C989" s="318"/>
      <c r="D989" s="318"/>
      <c r="E989" s="319"/>
      <c r="F989" s="336"/>
      <c r="G989" s="318" t="s">
        <v>1398</v>
      </c>
      <c r="H989" s="318">
        <v>1.49</v>
      </c>
      <c r="I989" s="318"/>
      <c r="J989" s="318">
        <f t="shared" si="315"/>
        <v>1</v>
      </c>
      <c r="K989" s="318">
        <f t="shared" si="313"/>
        <v>1.49</v>
      </c>
      <c r="L989" s="350" t="s">
        <v>2957</v>
      </c>
      <c r="M989" s="350" t="s">
        <v>2956</v>
      </c>
      <c r="N989" s="318">
        <v>1</v>
      </c>
      <c r="O989" s="619">
        <f t="shared" si="307"/>
        <v>1.49</v>
      </c>
      <c r="P989" s="750">
        <v>1</v>
      </c>
      <c r="Q989" s="750"/>
      <c r="R989" s="337">
        <v>1</v>
      </c>
      <c r="S989" s="348">
        <f t="shared" si="312"/>
        <v>1.49</v>
      </c>
      <c r="T989" s="319"/>
      <c r="V989" s="328">
        <v>1.8</v>
      </c>
      <c r="W989" s="320"/>
      <c r="X989" s="348">
        <f t="shared" si="308"/>
        <v>0</v>
      </c>
      <c r="Y989" s="330"/>
      <c r="Z989" s="348">
        <f t="shared" si="309"/>
        <v>0</v>
      </c>
      <c r="AB989" s="328">
        <f t="shared" si="310"/>
        <v>-1.49</v>
      </c>
      <c r="AC989" s="328">
        <f t="shared" si="311"/>
        <v>-1.49</v>
      </c>
    </row>
    <row r="990" spans="1:29">
      <c r="A990" s="318"/>
      <c r="B990" s="319"/>
      <c r="C990" s="318"/>
      <c r="D990" s="318"/>
      <c r="E990" s="319"/>
      <c r="F990" s="319"/>
      <c r="G990" s="318"/>
      <c r="H990" s="318"/>
      <c r="I990" s="318"/>
      <c r="J990" s="382" t="s">
        <v>389</v>
      </c>
      <c r="K990" s="321">
        <f>SUM(K954:K989)</f>
        <v>142.49999999999997</v>
      </c>
      <c r="L990" s="318"/>
      <c r="M990" s="318"/>
      <c r="N990" s="382" t="s">
        <v>389</v>
      </c>
      <c r="O990" s="748">
        <f>SUM(O954:O989)</f>
        <v>133.20569999999998</v>
      </c>
      <c r="P990" s="751" t="s">
        <v>389</v>
      </c>
      <c r="Q990" s="751"/>
      <c r="R990" s="382"/>
      <c r="S990" s="321">
        <f>SUM(S954:S989)</f>
        <v>65.044000000000011</v>
      </c>
      <c r="T990" s="319"/>
      <c r="V990" s="328"/>
      <c r="W990" s="321" t="s">
        <v>389</v>
      </c>
      <c r="X990" s="338">
        <f>SUM(X954:X989)</f>
        <v>86.223333333333315</v>
      </c>
      <c r="Y990" s="321" t="s">
        <v>389</v>
      </c>
      <c r="Z990" s="338">
        <f>SUM(Z954:Z989)</f>
        <v>24.514000000000003</v>
      </c>
      <c r="AB990" s="328"/>
      <c r="AC990" s="328"/>
    </row>
    <row r="991" spans="1:29" ht="6.75" customHeight="1">
      <c r="A991" s="316"/>
      <c r="B991" s="317"/>
      <c r="C991" s="316"/>
      <c r="D991" s="316"/>
      <c r="E991" s="317"/>
      <c r="F991" s="317"/>
      <c r="G991" s="316"/>
      <c r="H991" s="316"/>
      <c r="I991" s="316"/>
      <c r="J991" s="316"/>
      <c r="K991" s="316"/>
      <c r="L991" s="316"/>
      <c r="M991" s="316"/>
      <c r="N991" s="316"/>
      <c r="O991" s="749"/>
      <c r="P991" s="633"/>
      <c r="Q991" s="633"/>
      <c r="R991" s="949"/>
      <c r="S991" s="339"/>
      <c r="T991" s="317"/>
      <c r="V991" s="332"/>
      <c r="W991" s="316"/>
      <c r="X991" s="339"/>
      <c r="Y991" s="316"/>
      <c r="Z991" s="339"/>
      <c r="AB991" s="332"/>
      <c r="AC991" s="332"/>
    </row>
    <row r="992" spans="1:29">
      <c r="A992" s="318">
        <v>25</v>
      </c>
      <c r="B992" s="319" t="s">
        <v>383</v>
      </c>
      <c r="C992" s="318">
        <v>600</v>
      </c>
      <c r="D992" s="318">
        <v>30</v>
      </c>
      <c r="E992" s="319">
        <v>1</v>
      </c>
      <c r="F992" s="336"/>
      <c r="G992" s="318" t="s">
        <v>1399</v>
      </c>
      <c r="H992" s="318">
        <v>4.49</v>
      </c>
      <c r="I992" s="318">
        <v>1</v>
      </c>
      <c r="J992" s="318">
        <f t="shared" ref="J992:J1023" si="316">IF(N992&gt;0,1,0)</f>
        <v>1</v>
      </c>
      <c r="K992" s="318">
        <f t="shared" ref="K992:K1023" si="317">H992*J992</f>
        <v>4.49</v>
      </c>
      <c r="L992" s="318">
        <v>1795</v>
      </c>
      <c r="M992" s="318">
        <v>164</v>
      </c>
      <c r="N992" s="318">
        <v>1</v>
      </c>
      <c r="O992" s="619">
        <f t="shared" ref="O992:O1023" si="318">H992*N992</f>
        <v>4.49</v>
      </c>
      <c r="P992" s="750">
        <v>1</v>
      </c>
      <c r="Q992" s="750"/>
      <c r="R992" s="337">
        <v>1</v>
      </c>
      <c r="S992" s="348">
        <f>H992*R992</f>
        <v>4.49</v>
      </c>
      <c r="T992" s="319"/>
      <c r="V992" s="328">
        <v>4.49</v>
      </c>
      <c r="W992" s="320">
        <v>1</v>
      </c>
      <c r="X992" s="348">
        <f t="shared" ref="X992:X1023" si="319">V992*W992</f>
        <v>4.49</v>
      </c>
      <c r="Y992" s="330">
        <v>1</v>
      </c>
      <c r="Z992" s="348">
        <f t="shared" ref="Z992:Z1023" si="320">V992*Y992</f>
        <v>4.49</v>
      </c>
      <c r="AB992" s="328">
        <f t="shared" ref="AB992:AB1023" si="321">X992-O992</f>
        <v>0</v>
      </c>
      <c r="AC992" s="328">
        <f t="shared" ref="AC992:AC1023" si="322">Z992-S992</f>
        <v>0</v>
      </c>
    </row>
    <row r="993" spans="1:29">
      <c r="A993" s="318"/>
      <c r="B993" s="319"/>
      <c r="C993" s="318"/>
      <c r="D993" s="318"/>
      <c r="E993" s="319"/>
      <c r="F993" s="319"/>
      <c r="G993" s="318" t="s">
        <v>1400</v>
      </c>
      <c r="H993" s="318">
        <v>4.49</v>
      </c>
      <c r="I993" s="318">
        <v>1</v>
      </c>
      <c r="J993" s="318">
        <f t="shared" si="316"/>
        <v>1</v>
      </c>
      <c r="K993" s="318">
        <f t="shared" si="317"/>
        <v>4.49</v>
      </c>
      <c r="L993" s="318">
        <v>1802</v>
      </c>
      <c r="M993" s="318">
        <v>165</v>
      </c>
      <c r="N993" s="318">
        <v>1</v>
      </c>
      <c r="O993" s="619">
        <f t="shared" si="318"/>
        <v>4.49</v>
      </c>
      <c r="P993" s="750">
        <v>1</v>
      </c>
      <c r="Q993" s="750"/>
      <c r="R993" s="337">
        <v>1</v>
      </c>
      <c r="S993" s="348">
        <f>H993*R993</f>
        <v>4.49</v>
      </c>
      <c r="T993" s="319"/>
      <c r="V993" s="328">
        <v>4.49</v>
      </c>
      <c r="W993" s="320">
        <v>1</v>
      </c>
      <c r="X993" s="348">
        <f t="shared" si="319"/>
        <v>4.49</v>
      </c>
      <c r="Y993" s="330">
        <v>1</v>
      </c>
      <c r="Z993" s="348">
        <f t="shared" si="320"/>
        <v>4.49</v>
      </c>
      <c r="AB993" s="328">
        <f t="shared" si="321"/>
        <v>0</v>
      </c>
      <c r="AC993" s="328">
        <f t="shared" si="322"/>
        <v>0</v>
      </c>
    </row>
    <row r="994" spans="1:29">
      <c r="A994" s="318"/>
      <c r="B994" s="319"/>
      <c r="C994" s="318"/>
      <c r="D994" s="318"/>
      <c r="E994" s="319"/>
      <c r="F994" s="319"/>
      <c r="G994" s="318" t="s">
        <v>1401</v>
      </c>
      <c r="H994" s="318">
        <v>4.49</v>
      </c>
      <c r="I994" s="318">
        <v>1</v>
      </c>
      <c r="J994" s="318">
        <f t="shared" si="316"/>
        <v>1</v>
      </c>
      <c r="K994" s="318">
        <f t="shared" si="317"/>
        <v>4.49</v>
      </c>
      <c r="L994" s="318">
        <v>1802</v>
      </c>
      <c r="M994" s="318">
        <v>165</v>
      </c>
      <c r="N994" s="318">
        <v>1</v>
      </c>
      <c r="O994" s="619">
        <f t="shared" si="318"/>
        <v>4.49</v>
      </c>
      <c r="P994" s="750">
        <v>1</v>
      </c>
      <c r="Q994" s="750"/>
      <c r="R994" s="337">
        <v>1</v>
      </c>
      <c r="S994" s="348">
        <f t="shared" ref="S994:S1023" si="323">H994*R994</f>
        <v>4.49</v>
      </c>
      <c r="T994" s="319"/>
      <c r="V994" s="328">
        <v>4.49</v>
      </c>
      <c r="W994" s="320">
        <v>1</v>
      </c>
      <c r="X994" s="455">
        <f t="shared" si="319"/>
        <v>4.49</v>
      </c>
      <c r="Y994" s="330">
        <v>1</v>
      </c>
      <c r="Z994" s="348">
        <f t="shared" si="320"/>
        <v>4.49</v>
      </c>
      <c r="AB994" s="328">
        <f t="shared" si="321"/>
        <v>0</v>
      </c>
      <c r="AC994" s="328">
        <f t="shared" si="322"/>
        <v>0</v>
      </c>
    </row>
    <row r="995" spans="1:29">
      <c r="A995" s="318"/>
      <c r="B995" s="319"/>
      <c r="C995" s="318"/>
      <c r="D995" s="318"/>
      <c r="E995" s="319"/>
      <c r="F995" s="336"/>
      <c r="G995" s="318" t="s">
        <v>1402</v>
      </c>
      <c r="H995" s="318">
        <v>4.49</v>
      </c>
      <c r="I995" s="318">
        <v>1</v>
      </c>
      <c r="J995" s="318">
        <f t="shared" si="316"/>
        <v>1</v>
      </c>
      <c r="K995" s="318">
        <f t="shared" si="317"/>
        <v>4.49</v>
      </c>
      <c r="L995" s="318">
        <v>1802</v>
      </c>
      <c r="M995" s="318">
        <v>165</v>
      </c>
      <c r="N995" s="318">
        <v>1</v>
      </c>
      <c r="O995" s="619">
        <f t="shared" si="318"/>
        <v>4.49</v>
      </c>
      <c r="P995" s="750">
        <v>1</v>
      </c>
      <c r="Q995" s="750"/>
      <c r="R995" s="337">
        <v>1</v>
      </c>
      <c r="S995" s="348">
        <f t="shared" si="323"/>
        <v>4.49</v>
      </c>
      <c r="T995" s="319"/>
      <c r="V995" s="328">
        <v>4.49</v>
      </c>
      <c r="W995" s="320">
        <v>1</v>
      </c>
      <c r="X995" s="455">
        <f t="shared" si="319"/>
        <v>4.49</v>
      </c>
      <c r="Y995" s="330">
        <v>1</v>
      </c>
      <c r="Z995" s="348">
        <f t="shared" si="320"/>
        <v>4.49</v>
      </c>
      <c r="AB995" s="328">
        <f t="shared" si="321"/>
        <v>0</v>
      </c>
      <c r="AC995" s="328">
        <f t="shared" si="322"/>
        <v>0</v>
      </c>
    </row>
    <row r="996" spans="1:29">
      <c r="A996" s="318"/>
      <c r="B996" s="319"/>
      <c r="C996" s="318"/>
      <c r="D996" s="318"/>
      <c r="E996" s="319"/>
      <c r="F996" s="319"/>
      <c r="G996" s="318" t="s">
        <v>1403</v>
      </c>
      <c r="H996" s="318">
        <v>4.49</v>
      </c>
      <c r="I996" s="318">
        <v>1</v>
      </c>
      <c r="J996" s="318">
        <f t="shared" si="316"/>
        <v>1</v>
      </c>
      <c r="K996" s="318">
        <f t="shared" si="317"/>
        <v>4.49</v>
      </c>
      <c r="L996" s="318">
        <v>1802</v>
      </c>
      <c r="M996" s="318">
        <v>165</v>
      </c>
      <c r="N996" s="318">
        <v>1</v>
      </c>
      <c r="O996" s="619">
        <f t="shared" si="318"/>
        <v>4.49</v>
      </c>
      <c r="P996" s="750">
        <v>1</v>
      </c>
      <c r="Q996" s="750"/>
      <c r="R996" s="337">
        <v>1</v>
      </c>
      <c r="S996" s="348">
        <f t="shared" si="323"/>
        <v>4.49</v>
      </c>
      <c r="T996" s="319"/>
      <c r="V996" s="328">
        <v>4.49</v>
      </c>
      <c r="W996" s="320">
        <v>1</v>
      </c>
      <c r="X996" s="348">
        <f t="shared" si="319"/>
        <v>4.49</v>
      </c>
      <c r="Y996" s="330">
        <v>1</v>
      </c>
      <c r="Z996" s="454">
        <f t="shared" si="320"/>
        <v>4.49</v>
      </c>
      <c r="AB996" s="328">
        <f t="shared" si="321"/>
        <v>0</v>
      </c>
      <c r="AC996" s="328">
        <f t="shared" si="322"/>
        <v>0</v>
      </c>
    </row>
    <row r="997" spans="1:29">
      <c r="A997" s="318"/>
      <c r="B997" s="319"/>
      <c r="C997" s="318"/>
      <c r="D997" s="318"/>
      <c r="E997" s="319"/>
      <c r="F997" s="319"/>
      <c r="G997" s="318" t="s">
        <v>1404</v>
      </c>
      <c r="H997" s="318">
        <v>4.49</v>
      </c>
      <c r="I997" s="318">
        <v>1</v>
      </c>
      <c r="J997" s="318">
        <f t="shared" si="316"/>
        <v>1</v>
      </c>
      <c r="K997" s="318">
        <f t="shared" si="317"/>
        <v>4.49</v>
      </c>
      <c r="L997" s="318">
        <v>1795</v>
      </c>
      <c r="M997" s="318">
        <v>164</v>
      </c>
      <c r="N997" s="318">
        <v>1</v>
      </c>
      <c r="O997" s="619">
        <f t="shared" si="318"/>
        <v>4.49</v>
      </c>
      <c r="P997" s="750">
        <v>1</v>
      </c>
      <c r="Q997" s="750"/>
      <c r="R997" s="337">
        <v>1</v>
      </c>
      <c r="S997" s="348">
        <f t="shared" si="323"/>
        <v>4.49</v>
      </c>
      <c r="T997" s="319"/>
      <c r="V997" s="328">
        <v>4.49</v>
      </c>
      <c r="W997" s="320">
        <v>1</v>
      </c>
      <c r="X997" s="348">
        <f t="shared" si="319"/>
        <v>4.49</v>
      </c>
      <c r="Y997" s="330">
        <v>1</v>
      </c>
      <c r="Z997" s="454">
        <f t="shared" si="320"/>
        <v>4.49</v>
      </c>
      <c r="AB997" s="328">
        <f t="shared" si="321"/>
        <v>0</v>
      </c>
      <c r="AC997" s="328">
        <f t="shared" si="322"/>
        <v>0</v>
      </c>
    </row>
    <row r="998" spans="1:29">
      <c r="A998" s="318"/>
      <c r="B998" s="319"/>
      <c r="C998" s="318"/>
      <c r="D998" s="318"/>
      <c r="E998" s="319"/>
      <c r="F998" s="319"/>
      <c r="G998" s="318" t="s">
        <v>1405</v>
      </c>
      <c r="H998" s="318">
        <v>3.29</v>
      </c>
      <c r="I998" s="318">
        <v>1</v>
      </c>
      <c r="J998" s="318">
        <f t="shared" si="316"/>
        <v>1</v>
      </c>
      <c r="K998" s="318">
        <f t="shared" si="317"/>
        <v>3.29</v>
      </c>
      <c r="L998" s="318">
        <v>1795</v>
      </c>
      <c r="M998" s="318">
        <v>164</v>
      </c>
      <c r="N998" s="318">
        <v>1</v>
      </c>
      <c r="O998" s="619">
        <f t="shared" si="318"/>
        <v>3.29</v>
      </c>
      <c r="P998" s="750">
        <v>1</v>
      </c>
      <c r="Q998" s="750"/>
      <c r="R998" s="337">
        <v>1</v>
      </c>
      <c r="S998" s="348">
        <f t="shared" si="323"/>
        <v>3.29</v>
      </c>
      <c r="T998" s="319"/>
      <c r="V998" s="328">
        <v>3.2770000000000001</v>
      </c>
      <c r="W998" s="320">
        <v>1</v>
      </c>
      <c r="X998" s="348">
        <f t="shared" si="319"/>
        <v>3.2770000000000001</v>
      </c>
      <c r="Y998" s="330">
        <v>1</v>
      </c>
      <c r="Z998" s="454">
        <f t="shared" si="320"/>
        <v>3.2770000000000001</v>
      </c>
      <c r="AB998" s="328">
        <f t="shared" si="321"/>
        <v>-1.2999999999999901E-2</v>
      </c>
      <c r="AC998" s="328">
        <f t="shared" si="322"/>
        <v>-1.2999999999999901E-2</v>
      </c>
    </row>
    <row r="999" spans="1:29">
      <c r="A999" s="318"/>
      <c r="B999" s="319"/>
      <c r="C999" s="318"/>
      <c r="D999" s="318"/>
      <c r="E999" s="319"/>
      <c r="F999" s="319"/>
      <c r="G999" s="318" t="s">
        <v>1406</v>
      </c>
      <c r="H999" s="318">
        <v>3.29</v>
      </c>
      <c r="I999" s="318">
        <v>1</v>
      </c>
      <c r="J999" s="318">
        <f t="shared" si="316"/>
        <v>1</v>
      </c>
      <c r="K999" s="318">
        <f t="shared" si="317"/>
        <v>3.29</v>
      </c>
      <c r="L999" s="350" t="s">
        <v>2698</v>
      </c>
      <c r="M999" s="318">
        <v>170</v>
      </c>
      <c r="N999" s="318">
        <v>1</v>
      </c>
      <c r="O999" s="619">
        <f t="shared" si="318"/>
        <v>3.29</v>
      </c>
      <c r="P999" s="750">
        <v>1</v>
      </c>
      <c r="Q999" s="750"/>
      <c r="R999" s="337">
        <v>1</v>
      </c>
      <c r="S999" s="348">
        <f t="shared" si="323"/>
        <v>3.29</v>
      </c>
      <c r="T999" s="319"/>
      <c r="V999" s="328">
        <v>3.2770000000000001</v>
      </c>
      <c r="W999" s="320">
        <v>1</v>
      </c>
      <c r="X999" s="454">
        <f t="shared" si="319"/>
        <v>3.2770000000000001</v>
      </c>
      <c r="Y999" s="330">
        <v>1</v>
      </c>
      <c r="Z999" s="454">
        <f t="shared" si="320"/>
        <v>3.2770000000000001</v>
      </c>
      <c r="AB999" s="328">
        <f t="shared" si="321"/>
        <v>-1.2999999999999901E-2</v>
      </c>
      <c r="AC999" s="328">
        <f t="shared" si="322"/>
        <v>-1.2999999999999901E-2</v>
      </c>
    </row>
    <row r="1000" spans="1:29" ht="14.4" customHeight="1">
      <c r="A1000" s="318"/>
      <c r="B1000" s="319"/>
      <c r="C1000" s="318"/>
      <c r="D1000" s="318"/>
      <c r="E1000" s="319"/>
      <c r="F1000" s="336"/>
      <c r="G1000" s="318" t="s">
        <v>1407</v>
      </c>
      <c r="H1000" s="318">
        <v>3.58</v>
      </c>
      <c r="I1000" s="318">
        <v>1</v>
      </c>
      <c r="J1000" s="318">
        <f t="shared" si="316"/>
        <v>1</v>
      </c>
      <c r="K1000" s="318">
        <f t="shared" si="317"/>
        <v>3.58</v>
      </c>
      <c r="L1000" s="350" t="s">
        <v>2811</v>
      </c>
      <c r="M1000" s="350" t="s">
        <v>2809</v>
      </c>
      <c r="N1000" s="318">
        <v>1</v>
      </c>
      <c r="O1000" s="619">
        <f t="shared" si="318"/>
        <v>3.58</v>
      </c>
      <c r="P1000" s="750">
        <v>1</v>
      </c>
      <c r="Q1000" s="750"/>
      <c r="R1000" s="337">
        <v>1</v>
      </c>
      <c r="S1000" s="348">
        <f t="shared" si="323"/>
        <v>3.58</v>
      </c>
      <c r="T1000" s="319"/>
      <c r="V1000" s="328">
        <f>1.45+2.12</f>
        <v>3.5700000000000003</v>
      </c>
      <c r="W1000" s="320"/>
      <c r="X1000" s="454">
        <f t="shared" si="319"/>
        <v>0</v>
      </c>
      <c r="Y1000" s="330"/>
      <c r="Z1000" s="454">
        <f t="shared" si="320"/>
        <v>0</v>
      </c>
      <c r="AB1000" s="328">
        <f t="shared" si="321"/>
        <v>-3.58</v>
      </c>
      <c r="AC1000" s="328">
        <f t="shared" si="322"/>
        <v>-3.58</v>
      </c>
    </row>
    <row r="1001" spans="1:29" ht="15" thickBot="1">
      <c r="A1001" s="318"/>
      <c r="B1001" s="319"/>
      <c r="C1001" s="318"/>
      <c r="D1001" s="318"/>
      <c r="E1001" s="319"/>
      <c r="F1001" s="319"/>
      <c r="G1001" s="318" t="s">
        <v>1408</v>
      </c>
      <c r="H1001" s="318">
        <v>2.86</v>
      </c>
      <c r="I1001" s="318">
        <v>1</v>
      </c>
      <c r="J1001" s="318">
        <f t="shared" si="316"/>
        <v>1</v>
      </c>
      <c r="K1001" s="318">
        <f t="shared" si="317"/>
        <v>2.86</v>
      </c>
      <c r="L1001" s="350" t="s">
        <v>2800</v>
      </c>
      <c r="M1001" s="350">
        <v>206</v>
      </c>
      <c r="N1001" s="318">
        <v>1</v>
      </c>
      <c r="O1001" s="619">
        <f t="shared" si="318"/>
        <v>2.86</v>
      </c>
      <c r="P1001" s="750">
        <v>1</v>
      </c>
      <c r="Q1001" s="750"/>
      <c r="R1001" s="592">
        <v>1</v>
      </c>
      <c r="S1001" s="348">
        <f t="shared" si="323"/>
        <v>2.86</v>
      </c>
      <c r="T1001" s="319"/>
      <c r="V1001" s="328">
        <f>2.12+0.726</f>
        <v>2.8460000000000001</v>
      </c>
      <c r="W1001" s="320"/>
      <c r="X1001" s="454">
        <f t="shared" si="319"/>
        <v>0</v>
      </c>
      <c r="Y1001" s="330"/>
      <c r="Z1001" s="454">
        <f t="shared" si="320"/>
        <v>0</v>
      </c>
      <c r="AB1001" s="328">
        <f t="shared" si="321"/>
        <v>-2.86</v>
      </c>
      <c r="AC1001" s="328">
        <f t="shared" si="322"/>
        <v>-2.86</v>
      </c>
    </row>
    <row r="1002" spans="1:29" ht="15.6" thickTop="1" thickBot="1">
      <c r="A1002" s="318"/>
      <c r="B1002" s="319"/>
      <c r="C1002" s="318"/>
      <c r="D1002" s="318"/>
      <c r="E1002" s="319"/>
      <c r="F1002" s="319"/>
      <c r="G1002" s="649" t="s">
        <v>1409</v>
      </c>
      <c r="H1002" s="318">
        <v>3.81</v>
      </c>
      <c r="I1002" s="318">
        <v>1</v>
      </c>
      <c r="J1002" s="318">
        <f t="shared" si="316"/>
        <v>1</v>
      </c>
      <c r="K1002" s="318">
        <f t="shared" si="317"/>
        <v>3.81</v>
      </c>
      <c r="L1002" s="350" t="s">
        <v>2695</v>
      </c>
      <c r="M1002" s="318">
        <v>171</v>
      </c>
      <c r="N1002" s="318">
        <v>1</v>
      </c>
      <c r="O1002" s="619">
        <f t="shared" si="318"/>
        <v>3.81</v>
      </c>
      <c r="P1002" s="750"/>
      <c r="Q1002" s="747"/>
      <c r="R1002" s="624"/>
      <c r="S1002" s="348">
        <f t="shared" si="323"/>
        <v>0</v>
      </c>
      <c r="T1002" s="583" t="s">
        <v>3211</v>
      </c>
      <c r="V1002" s="328">
        <v>3.802</v>
      </c>
      <c r="W1002" s="320"/>
      <c r="X1002" s="348">
        <f t="shared" si="319"/>
        <v>0</v>
      </c>
      <c r="Y1002" s="330"/>
      <c r="Z1002" s="348">
        <f t="shared" si="320"/>
        <v>0</v>
      </c>
      <c r="AB1002" s="328">
        <f t="shared" si="321"/>
        <v>-3.81</v>
      </c>
      <c r="AC1002" s="328">
        <f t="shared" si="322"/>
        <v>0</v>
      </c>
    </row>
    <row r="1003" spans="1:29" ht="15.6" thickTop="1" thickBot="1">
      <c r="A1003" s="318"/>
      <c r="B1003" s="319"/>
      <c r="C1003" s="318"/>
      <c r="D1003" s="318"/>
      <c r="E1003" s="319"/>
      <c r="F1003" s="319"/>
      <c r="G1003" s="649" t="s">
        <v>1410</v>
      </c>
      <c r="H1003" s="318">
        <v>3.81</v>
      </c>
      <c r="I1003" s="318">
        <v>1</v>
      </c>
      <c r="J1003" s="318">
        <f t="shared" si="316"/>
        <v>1</v>
      </c>
      <c r="K1003" s="318">
        <f t="shared" si="317"/>
        <v>3.81</v>
      </c>
      <c r="L1003" s="350" t="s">
        <v>2695</v>
      </c>
      <c r="M1003" s="318">
        <v>171</v>
      </c>
      <c r="N1003" s="318">
        <v>1</v>
      </c>
      <c r="O1003" s="619">
        <f t="shared" si="318"/>
        <v>3.81</v>
      </c>
      <c r="P1003" s="750"/>
      <c r="Q1003" s="747"/>
      <c r="R1003" s="624"/>
      <c r="S1003" s="348">
        <f t="shared" si="323"/>
        <v>0</v>
      </c>
      <c r="T1003" s="583" t="s">
        <v>3211</v>
      </c>
      <c r="V1003" s="328">
        <v>3.802</v>
      </c>
      <c r="W1003" s="320"/>
      <c r="X1003" s="348">
        <f t="shared" si="319"/>
        <v>0</v>
      </c>
      <c r="Y1003" s="330"/>
      <c r="Z1003" s="348">
        <f t="shared" si="320"/>
        <v>0</v>
      </c>
      <c r="AB1003" s="328">
        <f t="shared" si="321"/>
        <v>-3.81</v>
      </c>
      <c r="AC1003" s="328">
        <f t="shared" si="322"/>
        <v>0</v>
      </c>
    </row>
    <row r="1004" spans="1:29" ht="15.6" thickTop="1" thickBot="1">
      <c r="A1004" s="318"/>
      <c r="B1004" s="319"/>
      <c r="C1004" s="318"/>
      <c r="D1004" s="318"/>
      <c r="E1004" s="319"/>
      <c r="F1004" s="319"/>
      <c r="G1004" s="649" t="s">
        <v>1411</v>
      </c>
      <c r="H1004" s="318">
        <v>3.81</v>
      </c>
      <c r="I1004" s="318">
        <v>1</v>
      </c>
      <c r="J1004" s="318">
        <f t="shared" si="316"/>
        <v>1</v>
      </c>
      <c r="K1004" s="318">
        <f t="shared" si="317"/>
        <v>3.81</v>
      </c>
      <c r="L1004" s="350" t="s">
        <v>2698</v>
      </c>
      <c r="M1004" s="318">
        <v>170</v>
      </c>
      <c r="N1004" s="318">
        <v>1</v>
      </c>
      <c r="O1004" s="619">
        <f t="shared" si="318"/>
        <v>3.81</v>
      </c>
      <c r="P1004" s="750"/>
      <c r="Q1004" s="747"/>
      <c r="R1004" s="624"/>
      <c r="S1004" s="348">
        <f t="shared" si="323"/>
        <v>0</v>
      </c>
      <c r="T1004" s="583" t="s">
        <v>3211</v>
      </c>
      <c r="V1004" s="328">
        <v>3.802</v>
      </c>
      <c r="W1004" s="320"/>
      <c r="X1004" s="348">
        <f t="shared" si="319"/>
        <v>0</v>
      </c>
      <c r="Y1004" s="330"/>
      <c r="Z1004" s="348">
        <f t="shared" si="320"/>
        <v>0</v>
      </c>
      <c r="AB1004" s="328">
        <f t="shared" si="321"/>
        <v>-3.81</v>
      </c>
      <c r="AC1004" s="328">
        <f t="shared" si="322"/>
        <v>0</v>
      </c>
    </row>
    <row r="1005" spans="1:29" ht="15.6" thickTop="1" thickBot="1">
      <c r="A1005" s="318"/>
      <c r="B1005" s="319"/>
      <c r="C1005" s="318"/>
      <c r="D1005" s="318"/>
      <c r="E1005" s="319"/>
      <c r="F1005" s="319"/>
      <c r="G1005" s="649" t="s">
        <v>1412</v>
      </c>
      <c r="H1005" s="318">
        <v>3.81</v>
      </c>
      <c r="I1005" s="318">
        <v>1</v>
      </c>
      <c r="J1005" s="318">
        <f t="shared" si="316"/>
        <v>1</v>
      </c>
      <c r="K1005" s="318">
        <f t="shared" si="317"/>
        <v>3.81</v>
      </c>
      <c r="L1005" s="350" t="s">
        <v>2695</v>
      </c>
      <c r="M1005" s="318">
        <v>171</v>
      </c>
      <c r="N1005" s="318">
        <v>1</v>
      </c>
      <c r="O1005" s="619">
        <f t="shared" si="318"/>
        <v>3.81</v>
      </c>
      <c r="P1005" s="750"/>
      <c r="Q1005" s="747"/>
      <c r="R1005" s="624"/>
      <c r="S1005" s="348">
        <f t="shared" si="323"/>
        <v>0</v>
      </c>
      <c r="T1005" s="583" t="s">
        <v>3211</v>
      </c>
      <c r="V1005" s="328">
        <v>3.802</v>
      </c>
      <c r="W1005" s="320"/>
      <c r="X1005" s="348">
        <f t="shared" si="319"/>
        <v>0</v>
      </c>
      <c r="Y1005" s="330"/>
      <c r="Z1005" s="348">
        <f t="shared" si="320"/>
        <v>0</v>
      </c>
      <c r="AB1005" s="328">
        <f t="shared" si="321"/>
        <v>-3.81</v>
      </c>
      <c r="AC1005" s="328">
        <f t="shared" si="322"/>
        <v>0</v>
      </c>
    </row>
    <row r="1006" spans="1:29" ht="15.6" thickTop="1" thickBot="1">
      <c r="A1006" s="318"/>
      <c r="B1006" s="319"/>
      <c r="C1006" s="318"/>
      <c r="D1006" s="318"/>
      <c r="E1006" s="319"/>
      <c r="F1006" s="336"/>
      <c r="G1006" s="649" t="s">
        <v>1413</v>
      </c>
      <c r="H1006" s="318">
        <v>3.11</v>
      </c>
      <c r="I1006" s="318">
        <v>1</v>
      </c>
      <c r="J1006" s="318">
        <f t="shared" si="316"/>
        <v>1</v>
      </c>
      <c r="K1006" s="318">
        <f t="shared" si="317"/>
        <v>3.11</v>
      </c>
      <c r="L1006" s="318">
        <v>2082</v>
      </c>
      <c r="M1006" s="318">
        <v>196</v>
      </c>
      <c r="N1006" s="318">
        <v>1</v>
      </c>
      <c r="O1006" s="619">
        <f t="shared" si="318"/>
        <v>3.11</v>
      </c>
      <c r="P1006" s="750"/>
      <c r="Q1006" s="747"/>
      <c r="R1006" s="624"/>
      <c r="S1006" s="348">
        <f t="shared" si="323"/>
        <v>0</v>
      </c>
      <c r="T1006" s="583" t="s">
        <v>3211</v>
      </c>
      <c r="V1006" s="328">
        <f>3.421</f>
        <v>3.4209999999999998</v>
      </c>
      <c r="W1006" s="320"/>
      <c r="X1006" s="348">
        <f t="shared" si="319"/>
        <v>0</v>
      </c>
      <c r="Y1006" s="330"/>
      <c r="Z1006" s="348">
        <f t="shared" si="320"/>
        <v>0</v>
      </c>
      <c r="AB1006" s="328">
        <f t="shared" si="321"/>
        <v>-3.11</v>
      </c>
      <c r="AC1006" s="328">
        <f t="shared" si="322"/>
        <v>0</v>
      </c>
    </row>
    <row r="1007" spans="1:29" ht="15.6" thickTop="1" thickBot="1">
      <c r="A1007" s="318"/>
      <c r="B1007" s="319"/>
      <c r="C1007" s="318"/>
      <c r="D1007" s="318"/>
      <c r="E1007" s="319"/>
      <c r="F1007" s="319"/>
      <c r="G1007" s="649" t="s">
        <v>1414</v>
      </c>
      <c r="H1007" s="318">
        <v>1.42</v>
      </c>
      <c r="I1007" s="318">
        <v>1</v>
      </c>
      <c r="J1007" s="318">
        <f t="shared" si="316"/>
        <v>1</v>
      </c>
      <c r="K1007" s="318">
        <f t="shared" si="317"/>
        <v>1.42</v>
      </c>
      <c r="L1007" s="318">
        <v>2082</v>
      </c>
      <c r="M1007" s="318">
        <v>196</v>
      </c>
      <c r="N1007" s="318">
        <v>1</v>
      </c>
      <c r="O1007" s="619">
        <f t="shared" si="318"/>
        <v>1.42</v>
      </c>
      <c r="P1007" s="750"/>
      <c r="Q1007" s="747"/>
      <c r="R1007" s="624"/>
      <c r="S1007" s="348">
        <f t="shared" si="323"/>
        <v>0</v>
      </c>
      <c r="T1007" s="583" t="s">
        <v>3211</v>
      </c>
      <c r="V1007" s="328">
        <f>1.729</f>
        <v>1.7290000000000001</v>
      </c>
      <c r="W1007" s="320"/>
      <c r="X1007" s="348">
        <f t="shared" si="319"/>
        <v>0</v>
      </c>
      <c r="Y1007" s="330"/>
      <c r="Z1007" s="348">
        <f t="shared" si="320"/>
        <v>0</v>
      </c>
      <c r="AB1007" s="328">
        <f t="shared" si="321"/>
        <v>-1.42</v>
      </c>
      <c r="AC1007" s="328">
        <f t="shared" si="322"/>
        <v>0</v>
      </c>
    </row>
    <row r="1008" spans="1:29" ht="15.6" thickTop="1" thickBot="1">
      <c r="A1008" s="318"/>
      <c r="B1008" s="319"/>
      <c r="C1008" s="318"/>
      <c r="D1008" s="318"/>
      <c r="E1008" s="319"/>
      <c r="F1008" s="319"/>
      <c r="G1008" s="649" t="s">
        <v>1415</v>
      </c>
      <c r="H1008" s="318">
        <v>4.49</v>
      </c>
      <c r="I1008" s="318">
        <v>1</v>
      </c>
      <c r="J1008" s="318">
        <v>1</v>
      </c>
      <c r="K1008" s="318">
        <f t="shared" si="317"/>
        <v>4.49</v>
      </c>
      <c r="L1008" s="350" t="s">
        <v>3363</v>
      </c>
      <c r="M1008" s="350" t="s">
        <v>3403</v>
      </c>
      <c r="N1008" s="318">
        <v>1</v>
      </c>
      <c r="O1008" s="619">
        <f t="shared" si="318"/>
        <v>4.49</v>
      </c>
      <c r="P1008" s="750"/>
      <c r="Q1008" s="747"/>
      <c r="R1008" s="624"/>
      <c r="S1008" s="348">
        <f t="shared" si="323"/>
        <v>0</v>
      </c>
      <c r="T1008" s="319"/>
      <c r="V1008" s="328">
        <v>4.49</v>
      </c>
      <c r="W1008" s="320"/>
      <c r="X1008" s="348">
        <f t="shared" si="319"/>
        <v>0</v>
      </c>
      <c r="Y1008" s="330"/>
      <c r="Z1008" s="348">
        <f t="shared" si="320"/>
        <v>0</v>
      </c>
      <c r="AB1008" s="328">
        <f t="shared" si="321"/>
        <v>-4.49</v>
      </c>
      <c r="AC1008" s="328">
        <f t="shared" si="322"/>
        <v>0</v>
      </c>
    </row>
    <row r="1009" spans="1:29" ht="15.6" thickTop="1" thickBot="1">
      <c r="A1009" s="318"/>
      <c r="B1009" s="319"/>
      <c r="C1009" s="318"/>
      <c r="D1009" s="318"/>
      <c r="E1009" s="319"/>
      <c r="F1009" s="319"/>
      <c r="G1009" s="649" t="s">
        <v>1416</v>
      </c>
      <c r="H1009" s="318">
        <v>4.49</v>
      </c>
      <c r="I1009" s="318">
        <v>1</v>
      </c>
      <c r="J1009" s="318">
        <v>1</v>
      </c>
      <c r="K1009" s="318">
        <f t="shared" si="317"/>
        <v>4.49</v>
      </c>
      <c r="L1009" s="350" t="s">
        <v>3363</v>
      </c>
      <c r="M1009" s="350" t="s">
        <v>3403</v>
      </c>
      <c r="N1009" s="318">
        <v>1</v>
      </c>
      <c r="O1009" s="619">
        <f t="shared" si="318"/>
        <v>4.49</v>
      </c>
      <c r="P1009" s="750"/>
      <c r="Q1009" s="747"/>
      <c r="R1009" s="624"/>
      <c r="S1009" s="348">
        <f t="shared" si="323"/>
        <v>0</v>
      </c>
      <c r="T1009" s="319"/>
      <c r="V1009" s="328">
        <v>4.49</v>
      </c>
      <c r="W1009" s="320"/>
      <c r="X1009" s="348">
        <f t="shared" si="319"/>
        <v>0</v>
      </c>
      <c r="Y1009" s="330"/>
      <c r="Z1009" s="348">
        <f t="shared" si="320"/>
        <v>0</v>
      </c>
      <c r="AB1009" s="328">
        <f t="shared" si="321"/>
        <v>-4.49</v>
      </c>
      <c r="AC1009" s="328">
        <f t="shared" si="322"/>
        <v>0</v>
      </c>
    </row>
    <row r="1010" spans="1:29" ht="15.6" thickTop="1" thickBot="1">
      <c r="A1010" s="318"/>
      <c r="B1010" s="319"/>
      <c r="C1010" s="318"/>
      <c r="D1010" s="318"/>
      <c r="E1010" s="319"/>
      <c r="F1010" s="336"/>
      <c r="G1010" s="649" t="s">
        <v>1417</v>
      </c>
      <c r="H1010" s="318">
        <v>4.49</v>
      </c>
      <c r="I1010" s="318">
        <v>1</v>
      </c>
      <c r="J1010" s="318">
        <v>1</v>
      </c>
      <c r="K1010" s="318">
        <f t="shared" si="317"/>
        <v>4.49</v>
      </c>
      <c r="L1010" s="350" t="s">
        <v>3363</v>
      </c>
      <c r="M1010" s="350" t="s">
        <v>3403</v>
      </c>
      <c r="N1010" s="318">
        <v>1</v>
      </c>
      <c r="O1010" s="619">
        <f t="shared" si="318"/>
        <v>4.49</v>
      </c>
      <c r="P1010" s="750"/>
      <c r="Q1010" s="747"/>
      <c r="R1010" s="624"/>
      <c r="S1010" s="348">
        <f t="shared" si="323"/>
        <v>0</v>
      </c>
      <c r="T1010" s="319"/>
      <c r="V1010" s="328">
        <v>4.49</v>
      </c>
      <c r="W1010" s="320"/>
      <c r="X1010" s="348">
        <f t="shared" si="319"/>
        <v>0</v>
      </c>
      <c r="Y1010" s="330"/>
      <c r="Z1010" s="348">
        <f t="shared" si="320"/>
        <v>0</v>
      </c>
      <c r="AB1010" s="328">
        <f t="shared" si="321"/>
        <v>-4.49</v>
      </c>
      <c r="AC1010" s="328">
        <f t="shared" si="322"/>
        <v>0</v>
      </c>
    </row>
    <row r="1011" spans="1:29" ht="15.6" thickTop="1" thickBot="1">
      <c r="A1011" s="318"/>
      <c r="B1011" s="319"/>
      <c r="C1011" s="318"/>
      <c r="D1011" s="318"/>
      <c r="E1011" s="319"/>
      <c r="F1011" s="319"/>
      <c r="G1011" s="649" t="s">
        <v>1418</v>
      </c>
      <c r="H1011" s="318">
        <v>4.49</v>
      </c>
      <c r="I1011" s="318">
        <v>1</v>
      </c>
      <c r="J1011" s="318">
        <v>1</v>
      </c>
      <c r="K1011" s="318">
        <f t="shared" si="317"/>
        <v>4.49</v>
      </c>
      <c r="L1011" s="350" t="s">
        <v>3366</v>
      </c>
      <c r="M1011" s="350" t="s">
        <v>3404</v>
      </c>
      <c r="N1011" s="318">
        <v>1</v>
      </c>
      <c r="O1011" s="619">
        <f t="shared" si="318"/>
        <v>4.49</v>
      </c>
      <c r="P1011" s="750"/>
      <c r="Q1011" s="747"/>
      <c r="R1011" s="624"/>
      <c r="S1011" s="348">
        <f t="shared" si="323"/>
        <v>0</v>
      </c>
      <c r="T1011" s="319"/>
      <c r="V1011" s="328">
        <v>4.49</v>
      </c>
      <c r="W1011" s="320"/>
      <c r="X1011" s="348">
        <f t="shared" si="319"/>
        <v>0</v>
      </c>
      <c r="Y1011" s="330"/>
      <c r="Z1011" s="348">
        <f t="shared" si="320"/>
        <v>0</v>
      </c>
      <c r="AB1011" s="328">
        <f t="shared" si="321"/>
        <v>-4.49</v>
      </c>
      <c r="AC1011" s="328">
        <f t="shared" si="322"/>
        <v>0</v>
      </c>
    </row>
    <row r="1012" spans="1:29" ht="15.6" thickTop="1" thickBot="1">
      <c r="A1012" s="318"/>
      <c r="B1012" s="319"/>
      <c r="C1012" s="318"/>
      <c r="D1012" s="318"/>
      <c r="E1012" s="319"/>
      <c r="F1012" s="319"/>
      <c r="G1012" s="649" t="s">
        <v>1419</v>
      </c>
      <c r="H1012" s="318">
        <v>4.49</v>
      </c>
      <c r="I1012" s="318">
        <v>1</v>
      </c>
      <c r="J1012" s="318">
        <v>1</v>
      </c>
      <c r="K1012" s="318">
        <f t="shared" si="317"/>
        <v>4.49</v>
      </c>
      <c r="L1012" s="350" t="s">
        <v>3366</v>
      </c>
      <c r="M1012" s="350" t="s">
        <v>3404</v>
      </c>
      <c r="N1012" s="318">
        <v>1</v>
      </c>
      <c r="O1012" s="619">
        <f t="shared" si="318"/>
        <v>4.49</v>
      </c>
      <c r="P1012" s="750"/>
      <c r="Q1012" s="747"/>
      <c r="R1012" s="624"/>
      <c r="S1012" s="348">
        <f t="shared" si="323"/>
        <v>0</v>
      </c>
      <c r="T1012" s="319"/>
      <c r="V1012" s="328">
        <v>4.49</v>
      </c>
      <c r="W1012" s="320"/>
      <c r="X1012" s="348">
        <f t="shared" si="319"/>
        <v>0</v>
      </c>
      <c r="Y1012" s="330"/>
      <c r="Z1012" s="348">
        <f t="shared" si="320"/>
        <v>0</v>
      </c>
      <c r="AB1012" s="328">
        <f t="shared" si="321"/>
        <v>-4.49</v>
      </c>
      <c r="AC1012" s="328">
        <f t="shared" si="322"/>
        <v>0</v>
      </c>
    </row>
    <row r="1013" spans="1:29" ht="15.6" thickTop="1" thickBot="1">
      <c r="A1013" s="318"/>
      <c r="B1013" s="319"/>
      <c r="C1013" s="318"/>
      <c r="D1013" s="318"/>
      <c r="E1013" s="319"/>
      <c r="F1013" s="319"/>
      <c r="G1013" s="649" t="s">
        <v>1420</v>
      </c>
      <c r="H1013" s="318">
        <v>4.49</v>
      </c>
      <c r="I1013" s="318">
        <v>1</v>
      </c>
      <c r="J1013" s="318">
        <v>1</v>
      </c>
      <c r="K1013" s="318">
        <f t="shared" si="317"/>
        <v>4.49</v>
      </c>
      <c r="L1013" s="350" t="s">
        <v>3366</v>
      </c>
      <c r="M1013" s="350" t="s">
        <v>3404</v>
      </c>
      <c r="N1013" s="318">
        <v>1</v>
      </c>
      <c r="O1013" s="619">
        <f t="shared" si="318"/>
        <v>4.49</v>
      </c>
      <c r="P1013" s="750"/>
      <c r="Q1013" s="747"/>
      <c r="R1013" s="624"/>
      <c r="S1013" s="348">
        <f t="shared" si="323"/>
        <v>0</v>
      </c>
      <c r="T1013" s="319"/>
      <c r="V1013" s="328">
        <v>4.49</v>
      </c>
      <c r="W1013" s="320"/>
      <c r="X1013" s="348">
        <f t="shared" si="319"/>
        <v>0</v>
      </c>
      <c r="Y1013" s="330"/>
      <c r="Z1013" s="348">
        <f t="shared" si="320"/>
        <v>0</v>
      </c>
      <c r="AB1013" s="328">
        <f t="shared" si="321"/>
        <v>-4.49</v>
      </c>
      <c r="AC1013" s="328">
        <f t="shared" si="322"/>
        <v>0</v>
      </c>
    </row>
    <row r="1014" spans="1:29" ht="15" thickTop="1">
      <c r="A1014" s="318"/>
      <c r="B1014" s="319"/>
      <c r="C1014" s="318"/>
      <c r="D1014" s="318"/>
      <c r="E1014" s="319"/>
      <c r="F1014" s="319"/>
      <c r="G1014" s="318" t="s">
        <v>1421</v>
      </c>
      <c r="H1014" s="318">
        <v>4.04</v>
      </c>
      <c r="I1014" s="318">
        <v>1</v>
      </c>
      <c r="J1014" s="318">
        <f t="shared" si="316"/>
        <v>1</v>
      </c>
      <c r="K1014" s="318">
        <f t="shared" si="317"/>
        <v>4.04</v>
      </c>
      <c r="L1014" s="350" t="s">
        <v>2695</v>
      </c>
      <c r="M1014" s="318">
        <v>171</v>
      </c>
      <c r="N1014" s="318">
        <v>1</v>
      </c>
      <c r="O1014" s="318">
        <f t="shared" si="318"/>
        <v>4.04</v>
      </c>
      <c r="P1014" s="337">
        <v>1</v>
      </c>
      <c r="Q1014" s="337"/>
      <c r="R1014" s="337">
        <v>1</v>
      </c>
      <c r="S1014" s="348">
        <f t="shared" si="323"/>
        <v>4.04</v>
      </c>
      <c r="T1014" s="319"/>
      <c r="V1014" s="328">
        <v>4.0270000000000001</v>
      </c>
      <c r="W1014" s="320"/>
      <c r="X1014" s="348">
        <f t="shared" si="319"/>
        <v>0</v>
      </c>
      <c r="Y1014" s="330"/>
      <c r="Z1014" s="348">
        <f t="shared" si="320"/>
        <v>0</v>
      </c>
      <c r="AB1014" s="328">
        <f t="shared" si="321"/>
        <v>-4.04</v>
      </c>
      <c r="AC1014" s="328">
        <f t="shared" si="322"/>
        <v>-4.04</v>
      </c>
    </row>
    <row r="1015" spans="1:29" ht="14.4" customHeight="1">
      <c r="A1015" s="318"/>
      <c r="B1015" s="319"/>
      <c r="C1015" s="318"/>
      <c r="D1015" s="318"/>
      <c r="E1015" s="319"/>
      <c r="F1015" s="336"/>
      <c r="G1015" s="318" t="s">
        <v>1422</v>
      </c>
      <c r="H1015" s="318">
        <v>4.04</v>
      </c>
      <c r="I1015" s="318">
        <v>1</v>
      </c>
      <c r="J1015" s="318">
        <f t="shared" si="316"/>
        <v>1</v>
      </c>
      <c r="K1015" s="318">
        <f t="shared" si="317"/>
        <v>4.04</v>
      </c>
      <c r="L1015" s="318">
        <v>1934</v>
      </c>
      <c r="M1015" s="318">
        <v>175</v>
      </c>
      <c r="N1015" s="318">
        <v>1</v>
      </c>
      <c r="O1015" s="318">
        <f t="shared" si="318"/>
        <v>4.04</v>
      </c>
      <c r="P1015" s="337">
        <v>1</v>
      </c>
      <c r="Q1015" s="337"/>
      <c r="R1015" s="337">
        <v>1</v>
      </c>
      <c r="S1015" s="348">
        <f t="shared" si="323"/>
        <v>4.04</v>
      </c>
      <c r="T1015" s="319"/>
      <c r="V1015" s="328">
        <v>4.0270000000000001</v>
      </c>
      <c r="W1015" s="320">
        <v>1</v>
      </c>
      <c r="X1015" s="348">
        <f t="shared" si="319"/>
        <v>4.0270000000000001</v>
      </c>
      <c r="Y1015" s="330"/>
      <c r="Z1015" s="348">
        <f t="shared" si="320"/>
        <v>0</v>
      </c>
      <c r="AB1015" s="328">
        <f t="shared" si="321"/>
        <v>-1.2999999999999901E-2</v>
      </c>
      <c r="AC1015" s="328">
        <f t="shared" si="322"/>
        <v>-4.04</v>
      </c>
    </row>
    <row r="1016" spans="1:29">
      <c r="A1016" s="318"/>
      <c r="B1016" s="319"/>
      <c r="C1016" s="318"/>
      <c r="D1016" s="318"/>
      <c r="E1016" s="319"/>
      <c r="F1016" s="336"/>
      <c r="G1016" s="318" t="s">
        <v>1423</v>
      </c>
      <c r="H1016" s="318">
        <v>2.4900000000000002</v>
      </c>
      <c r="I1016" s="318">
        <v>1</v>
      </c>
      <c r="J1016" s="318">
        <f t="shared" si="316"/>
        <v>1</v>
      </c>
      <c r="K1016" s="318">
        <f t="shared" si="317"/>
        <v>2.4900000000000002</v>
      </c>
      <c r="L1016" s="350" t="s">
        <v>2814</v>
      </c>
      <c r="M1016" s="350" t="s">
        <v>2815</v>
      </c>
      <c r="N1016" s="318">
        <v>1</v>
      </c>
      <c r="O1016" s="318">
        <f t="shared" si="318"/>
        <v>2.4900000000000002</v>
      </c>
      <c r="P1016" s="337">
        <v>1</v>
      </c>
      <c r="Q1016" s="337"/>
      <c r="R1016" s="337">
        <v>1</v>
      </c>
      <c r="S1016" s="348">
        <f t="shared" si="323"/>
        <v>2.4900000000000002</v>
      </c>
      <c r="T1016" s="319"/>
      <c r="V1016" s="328">
        <v>2.4769999999999999</v>
      </c>
      <c r="W1016" s="320"/>
      <c r="X1016" s="348">
        <f t="shared" si="319"/>
        <v>0</v>
      </c>
      <c r="Y1016" s="330"/>
      <c r="Z1016" s="348">
        <f t="shared" si="320"/>
        <v>0</v>
      </c>
      <c r="AB1016" s="328">
        <f t="shared" si="321"/>
        <v>-2.4900000000000002</v>
      </c>
      <c r="AC1016" s="328">
        <f t="shared" si="322"/>
        <v>-2.4900000000000002</v>
      </c>
    </row>
    <row r="1017" spans="1:29">
      <c r="A1017" s="318"/>
      <c r="B1017" s="319"/>
      <c r="C1017" s="318"/>
      <c r="D1017" s="318"/>
      <c r="E1017" s="319"/>
      <c r="F1017" s="336"/>
      <c r="G1017" s="318" t="s">
        <v>1424</v>
      </c>
      <c r="H1017" s="318">
        <v>2.4900000000000002</v>
      </c>
      <c r="I1017" s="318">
        <v>1</v>
      </c>
      <c r="J1017" s="318">
        <f t="shared" si="316"/>
        <v>1</v>
      </c>
      <c r="K1017" s="318">
        <f t="shared" si="317"/>
        <v>2.4900000000000002</v>
      </c>
      <c r="L1017" s="350" t="s">
        <v>2820</v>
      </c>
      <c r="M1017" s="350" t="s">
        <v>2815</v>
      </c>
      <c r="N1017" s="318">
        <v>1</v>
      </c>
      <c r="O1017" s="318">
        <f t="shared" si="318"/>
        <v>2.4900000000000002</v>
      </c>
      <c r="P1017" s="337">
        <v>1</v>
      </c>
      <c r="Q1017" s="337"/>
      <c r="R1017" s="337">
        <v>1</v>
      </c>
      <c r="S1017" s="348">
        <f t="shared" si="323"/>
        <v>2.4900000000000002</v>
      </c>
      <c r="T1017" s="319"/>
      <c r="V1017" s="328">
        <v>2.4769999999999999</v>
      </c>
      <c r="W1017" s="320"/>
      <c r="X1017" s="348">
        <f t="shared" si="319"/>
        <v>0</v>
      </c>
      <c r="Y1017" s="330"/>
      <c r="Z1017" s="348">
        <f t="shared" si="320"/>
        <v>0</v>
      </c>
      <c r="AB1017" s="328">
        <f t="shared" si="321"/>
        <v>-2.4900000000000002</v>
      </c>
      <c r="AC1017" s="328">
        <f t="shared" si="322"/>
        <v>-2.4900000000000002</v>
      </c>
    </row>
    <row r="1018" spans="1:29">
      <c r="A1018" s="318"/>
      <c r="B1018" s="319"/>
      <c r="C1018" s="318"/>
      <c r="D1018" s="318"/>
      <c r="E1018" s="319"/>
      <c r="F1018" s="336"/>
      <c r="G1018" s="318" t="s">
        <v>1425</v>
      </c>
      <c r="H1018" s="318">
        <v>3.43</v>
      </c>
      <c r="I1018" s="318">
        <v>1</v>
      </c>
      <c r="J1018" s="318">
        <f t="shared" si="316"/>
        <v>1</v>
      </c>
      <c r="K1018" s="318">
        <f t="shared" si="317"/>
        <v>3.43</v>
      </c>
      <c r="L1018" s="318">
        <v>1934</v>
      </c>
      <c r="M1018" s="318">
        <v>175</v>
      </c>
      <c r="N1018" s="318">
        <v>1</v>
      </c>
      <c r="O1018" s="318">
        <f t="shared" si="318"/>
        <v>3.43</v>
      </c>
      <c r="P1018" s="337">
        <v>1</v>
      </c>
      <c r="Q1018" s="337"/>
      <c r="R1018" s="337">
        <v>1</v>
      </c>
      <c r="S1018" s="348">
        <f t="shared" si="323"/>
        <v>3.43</v>
      </c>
      <c r="T1018" s="319"/>
      <c r="V1018" s="328">
        <v>3.4209999999999998</v>
      </c>
      <c r="W1018" s="320">
        <v>1</v>
      </c>
      <c r="X1018" s="348">
        <f t="shared" si="319"/>
        <v>3.4209999999999998</v>
      </c>
      <c r="Y1018" s="330">
        <v>1</v>
      </c>
      <c r="Z1018" s="348">
        <f t="shared" si="320"/>
        <v>3.4209999999999998</v>
      </c>
      <c r="AB1018" s="328">
        <f t="shared" si="321"/>
        <v>-9.0000000000003411E-3</v>
      </c>
      <c r="AC1018" s="328">
        <f t="shared" si="322"/>
        <v>-9.0000000000003411E-3</v>
      </c>
    </row>
    <row r="1019" spans="1:29">
      <c r="A1019" s="318"/>
      <c r="B1019" s="319"/>
      <c r="C1019" s="318"/>
      <c r="D1019" s="318"/>
      <c r="E1019" s="319"/>
      <c r="F1019" s="336"/>
      <c r="G1019" s="318" t="s">
        <v>1426</v>
      </c>
      <c r="H1019" s="318">
        <v>4.3499999999999996</v>
      </c>
      <c r="I1019" s="318">
        <v>1</v>
      </c>
      <c r="J1019" s="318">
        <f t="shared" si="316"/>
        <v>1</v>
      </c>
      <c r="K1019" s="318">
        <f t="shared" si="317"/>
        <v>4.3499999999999996</v>
      </c>
      <c r="L1019" s="318">
        <v>1934</v>
      </c>
      <c r="M1019" s="318">
        <v>175</v>
      </c>
      <c r="N1019" s="318">
        <v>1</v>
      </c>
      <c r="O1019" s="318">
        <f t="shared" si="318"/>
        <v>4.3499999999999996</v>
      </c>
      <c r="P1019" s="337">
        <v>1</v>
      </c>
      <c r="Q1019" s="337"/>
      <c r="R1019" s="337">
        <v>1</v>
      </c>
      <c r="S1019" s="348">
        <f t="shared" si="323"/>
        <v>4.3499999999999996</v>
      </c>
      <c r="T1019" s="319"/>
      <c r="V1019" s="328">
        <v>4.34</v>
      </c>
      <c r="W1019" s="320">
        <v>1</v>
      </c>
      <c r="X1019" s="348">
        <f t="shared" si="319"/>
        <v>4.34</v>
      </c>
      <c r="Y1019" s="330">
        <v>1</v>
      </c>
      <c r="Z1019" s="348">
        <f t="shared" si="320"/>
        <v>4.34</v>
      </c>
      <c r="AB1019" s="328">
        <f t="shared" si="321"/>
        <v>-9.9999999999997868E-3</v>
      </c>
      <c r="AC1019" s="328">
        <f t="shared" si="322"/>
        <v>-9.9999999999997868E-3</v>
      </c>
    </row>
    <row r="1020" spans="1:29">
      <c r="A1020" s="318"/>
      <c r="B1020" s="319"/>
      <c r="C1020" s="318"/>
      <c r="D1020" s="318"/>
      <c r="E1020" s="319"/>
      <c r="F1020" s="319"/>
      <c r="G1020" s="318" t="s">
        <v>1427</v>
      </c>
      <c r="H1020" s="318">
        <v>4.3499999999999996</v>
      </c>
      <c r="I1020" s="318">
        <v>1</v>
      </c>
      <c r="J1020" s="318">
        <f t="shared" si="316"/>
        <v>1</v>
      </c>
      <c r="K1020" s="318">
        <f t="shared" si="317"/>
        <v>4.3499999999999996</v>
      </c>
      <c r="L1020" s="350" t="s">
        <v>2698</v>
      </c>
      <c r="M1020" s="318">
        <v>170</v>
      </c>
      <c r="N1020" s="318">
        <v>1</v>
      </c>
      <c r="O1020" s="318">
        <f t="shared" si="318"/>
        <v>4.3499999999999996</v>
      </c>
      <c r="P1020" s="337">
        <v>1</v>
      </c>
      <c r="Q1020" s="337"/>
      <c r="R1020" s="337">
        <v>1</v>
      </c>
      <c r="S1020" s="348">
        <f t="shared" si="323"/>
        <v>4.3499999999999996</v>
      </c>
      <c r="T1020" s="319"/>
      <c r="V1020" s="328">
        <v>4.34</v>
      </c>
      <c r="W1020" s="320">
        <v>1</v>
      </c>
      <c r="X1020" s="348">
        <f t="shared" si="319"/>
        <v>4.34</v>
      </c>
      <c r="Y1020" s="330">
        <v>1</v>
      </c>
      <c r="Z1020" s="348">
        <f t="shared" si="320"/>
        <v>4.34</v>
      </c>
      <c r="AB1020" s="328">
        <f t="shared" si="321"/>
        <v>-9.9999999999997868E-3</v>
      </c>
      <c r="AC1020" s="328">
        <f t="shared" si="322"/>
        <v>-9.9999999999997868E-3</v>
      </c>
    </row>
    <row r="1021" spans="1:29">
      <c r="A1021" s="318"/>
      <c r="B1021" s="319"/>
      <c r="C1021" s="318"/>
      <c r="D1021" s="318"/>
      <c r="E1021" s="319"/>
      <c r="F1021" s="319"/>
      <c r="G1021" s="318" t="s">
        <v>1428</v>
      </c>
      <c r="H1021" s="318">
        <v>4.3499999999999996</v>
      </c>
      <c r="I1021" s="318">
        <v>1</v>
      </c>
      <c r="J1021" s="318">
        <f t="shared" si="316"/>
        <v>1</v>
      </c>
      <c r="K1021" s="318">
        <f t="shared" si="317"/>
        <v>4.3499999999999996</v>
      </c>
      <c r="L1021" s="318">
        <v>1934</v>
      </c>
      <c r="M1021" s="318">
        <v>175</v>
      </c>
      <c r="N1021" s="318">
        <v>1</v>
      </c>
      <c r="O1021" s="318">
        <f t="shared" si="318"/>
        <v>4.3499999999999996</v>
      </c>
      <c r="P1021" s="337">
        <v>1</v>
      </c>
      <c r="Q1021" s="337"/>
      <c r="R1021" s="337">
        <v>1</v>
      </c>
      <c r="S1021" s="348">
        <f t="shared" si="323"/>
        <v>4.3499999999999996</v>
      </c>
      <c r="T1021" s="319"/>
      <c r="V1021" s="328">
        <v>4.34</v>
      </c>
      <c r="W1021" s="320">
        <v>1</v>
      </c>
      <c r="X1021" s="348">
        <f t="shared" si="319"/>
        <v>4.34</v>
      </c>
      <c r="Y1021" s="330">
        <v>1</v>
      </c>
      <c r="Z1021" s="348">
        <f t="shared" si="320"/>
        <v>4.34</v>
      </c>
      <c r="AB1021" s="328">
        <f t="shared" si="321"/>
        <v>-9.9999999999997868E-3</v>
      </c>
      <c r="AC1021" s="328">
        <f t="shared" si="322"/>
        <v>-9.9999999999997868E-3</v>
      </c>
    </row>
    <row r="1022" spans="1:29">
      <c r="A1022" s="318"/>
      <c r="B1022" s="319"/>
      <c r="C1022" s="318"/>
      <c r="D1022" s="318"/>
      <c r="E1022" s="319"/>
      <c r="F1022" s="336"/>
      <c r="G1022" s="318" t="s">
        <v>1429</v>
      </c>
      <c r="H1022" s="318">
        <v>2.14</v>
      </c>
      <c r="I1022" s="318">
        <v>1</v>
      </c>
      <c r="J1022" s="318">
        <f t="shared" si="316"/>
        <v>1</v>
      </c>
      <c r="K1022" s="318">
        <f t="shared" si="317"/>
        <v>2.14</v>
      </c>
      <c r="L1022" s="318">
        <v>2082</v>
      </c>
      <c r="M1022" s="318">
        <v>196</v>
      </c>
      <c r="N1022" s="318">
        <v>1</v>
      </c>
      <c r="O1022" s="318">
        <f t="shared" si="318"/>
        <v>2.14</v>
      </c>
      <c r="P1022" s="337">
        <v>1</v>
      </c>
      <c r="Q1022" s="337"/>
      <c r="R1022" s="337">
        <v>1</v>
      </c>
      <c r="S1022" s="348">
        <f t="shared" si="323"/>
        <v>2.14</v>
      </c>
      <c r="T1022" s="319"/>
      <c r="V1022" s="328">
        <v>2.4500000000000002</v>
      </c>
      <c r="W1022" s="320"/>
      <c r="X1022" s="348">
        <f t="shared" si="319"/>
        <v>0</v>
      </c>
      <c r="Y1022" s="330"/>
      <c r="Z1022" s="348">
        <f t="shared" si="320"/>
        <v>0</v>
      </c>
      <c r="AB1022" s="328">
        <f t="shared" si="321"/>
        <v>-2.14</v>
      </c>
      <c r="AC1022" s="328">
        <f t="shared" si="322"/>
        <v>-2.14</v>
      </c>
    </row>
    <row r="1023" spans="1:29">
      <c r="A1023" s="318"/>
      <c r="B1023" s="319"/>
      <c r="C1023" s="318"/>
      <c r="D1023" s="318"/>
      <c r="E1023" s="319"/>
      <c r="F1023" s="336"/>
      <c r="G1023" s="318" t="s">
        <v>1430</v>
      </c>
      <c r="H1023" s="318">
        <v>1.91</v>
      </c>
      <c r="I1023" s="318">
        <v>1</v>
      </c>
      <c r="J1023" s="318">
        <f t="shared" si="316"/>
        <v>1</v>
      </c>
      <c r="K1023" s="318">
        <f t="shared" si="317"/>
        <v>1.91</v>
      </c>
      <c r="L1023" s="318">
        <v>2082</v>
      </c>
      <c r="M1023" s="318">
        <v>196</v>
      </c>
      <c r="N1023" s="318">
        <v>1</v>
      </c>
      <c r="O1023" s="318">
        <f t="shared" si="318"/>
        <v>1.91</v>
      </c>
      <c r="P1023" s="337">
        <v>1</v>
      </c>
      <c r="Q1023" s="337"/>
      <c r="R1023" s="337">
        <v>1</v>
      </c>
      <c r="S1023" s="348">
        <f t="shared" si="323"/>
        <v>1.91</v>
      </c>
      <c r="T1023" s="319"/>
      <c r="V1023" s="328">
        <v>2.2250000000000001</v>
      </c>
      <c r="W1023" s="320"/>
      <c r="X1023" s="348">
        <f t="shared" si="319"/>
        <v>0</v>
      </c>
      <c r="Y1023" s="330"/>
      <c r="Z1023" s="348">
        <f t="shared" si="320"/>
        <v>0</v>
      </c>
      <c r="AB1023" s="328">
        <f t="shared" si="321"/>
        <v>-1.91</v>
      </c>
      <c r="AC1023" s="328">
        <f t="shared" si="322"/>
        <v>-1.91</v>
      </c>
    </row>
    <row r="1024" spans="1:29">
      <c r="A1024" s="318"/>
      <c r="B1024" s="319"/>
      <c r="C1024" s="318"/>
      <c r="D1024" s="318"/>
      <c r="E1024" s="319"/>
      <c r="F1024" s="319"/>
      <c r="G1024" s="318"/>
      <c r="H1024" s="318"/>
      <c r="I1024" s="318"/>
      <c r="J1024" s="382" t="s">
        <v>389</v>
      </c>
      <c r="K1024" s="321">
        <f>SUM(K992:K1023)</f>
        <v>120.25999999999998</v>
      </c>
      <c r="L1024" s="318"/>
      <c r="M1024" s="318"/>
      <c r="N1024" s="382" t="s">
        <v>389</v>
      </c>
      <c r="O1024" s="321">
        <f>SUM(O992:O1023)</f>
        <v>120.25999999999998</v>
      </c>
      <c r="P1024" s="382" t="s">
        <v>389</v>
      </c>
      <c r="Q1024" s="382"/>
      <c r="R1024" s="382"/>
      <c r="S1024" s="321">
        <f>SUM(S992:S1023)</f>
        <v>73.55</v>
      </c>
      <c r="T1024" s="319"/>
      <c r="V1024" s="328"/>
      <c r="W1024" s="321" t="s">
        <v>389</v>
      </c>
      <c r="X1024" s="338">
        <f>SUM(X992:X1023)</f>
        <v>53.962000000000018</v>
      </c>
      <c r="Y1024" s="321" t="s">
        <v>389</v>
      </c>
      <c r="Z1024" s="338">
        <f>SUM(Z992:Z1023)</f>
        <v>49.935000000000016</v>
      </c>
      <c r="AB1024" s="328"/>
      <c r="AC1024" s="328"/>
    </row>
    <row r="1025" spans="1:29" ht="6.75" customHeight="1">
      <c r="A1025" s="316"/>
      <c r="B1025" s="317"/>
      <c r="C1025" s="316"/>
      <c r="D1025" s="316"/>
      <c r="E1025" s="317"/>
      <c r="F1025" s="317"/>
      <c r="G1025" s="316"/>
      <c r="H1025" s="316"/>
      <c r="I1025" s="316"/>
      <c r="J1025" s="316"/>
      <c r="K1025" s="316"/>
      <c r="L1025" s="316"/>
      <c r="M1025" s="316"/>
      <c r="N1025" s="316"/>
      <c r="O1025" s="316"/>
      <c r="P1025" s="949"/>
      <c r="Q1025" s="949"/>
      <c r="R1025" s="949"/>
      <c r="S1025" s="339"/>
      <c r="T1025" s="317"/>
      <c r="V1025" s="316"/>
      <c r="W1025" s="316"/>
      <c r="X1025" s="339"/>
      <c r="Y1025" s="316"/>
      <c r="Z1025" s="339"/>
      <c r="AB1025" s="316"/>
      <c r="AC1025" s="316"/>
    </row>
    <row r="1026" spans="1:29">
      <c r="A1026" s="325"/>
      <c r="S1026" s="383"/>
      <c r="Z1026" s="383"/>
    </row>
    <row r="1027" spans="1:29" ht="27.6">
      <c r="A1027" s="313"/>
      <c r="B1027" s="313"/>
      <c r="C1027" s="313"/>
      <c r="D1027" s="314"/>
      <c r="E1027" s="314"/>
      <c r="F1027" s="314"/>
      <c r="G1027" s="314" t="s">
        <v>2291</v>
      </c>
      <c r="H1027" s="314" t="s">
        <v>60</v>
      </c>
      <c r="I1027" s="315" t="s">
        <v>380</v>
      </c>
      <c r="J1027" s="315"/>
      <c r="K1027" s="315" t="s">
        <v>3139</v>
      </c>
      <c r="L1027" s="315"/>
      <c r="M1027" s="315"/>
      <c r="N1027" s="315" t="s">
        <v>381</v>
      </c>
      <c r="O1027" s="315" t="s">
        <v>2289</v>
      </c>
      <c r="P1027" s="315" t="s">
        <v>382</v>
      </c>
      <c r="Q1027" s="315"/>
      <c r="R1027" s="315"/>
      <c r="S1027" s="315" t="s">
        <v>2290</v>
      </c>
      <c r="T1027" s="314"/>
      <c r="V1027" s="314" t="s">
        <v>60</v>
      </c>
      <c r="W1027" s="315" t="s">
        <v>381</v>
      </c>
      <c r="X1027" s="463" t="s">
        <v>2289</v>
      </c>
      <c r="Y1027" s="315" t="s">
        <v>382</v>
      </c>
      <c r="Z1027" s="315" t="s">
        <v>2290</v>
      </c>
      <c r="AB1027" s="314" t="s">
        <v>60</v>
      </c>
      <c r="AC1027" s="314" t="s">
        <v>60</v>
      </c>
    </row>
    <row r="1028" spans="1:29" s="345" customFormat="1" ht="28.2" customHeight="1">
      <c r="A1028" s="342"/>
      <c r="B1028" s="343" t="s">
        <v>2311</v>
      </c>
      <c r="C1028" s="343"/>
      <c r="D1028" s="343"/>
      <c r="E1028" s="343"/>
      <c r="F1028" s="343"/>
      <c r="G1028" s="342" t="s">
        <v>2292</v>
      </c>
      <c r="H1028" s="344">
        <f>SUM(H6:H56)</f>
        <v>199.50000000000006</v>
      </c>
      <c r="I1028" s="344">
        <f>SUM(I6:I56)</f>
        <v>46</v>
      </c>
      <c r="J1028" s="344"/>
      <c r="K1028" s="344">
        <f>SUM(K56)</f>
        <v>199.50000000000006</v>
      </c>
      <c r="L1028" s="343"/>
      <c r="M1028" s="343"/>
      <c r="N1028" s="346">
        <f>O1028/H1028</f>
        <v>1</v>
      </c>
      <c r="O1028" s="344">
        <f>SUM(O56)</f>
        <v>199.50000000000006</v>
      </c>
      <c r="P1028" s="1008">
        <f>S1028/H1028</f>
        <v>0.86496240601503738</v>
      </c>
      <c r="Q1028" s="1008"/>
      <c r="R1028" s="1008"/>
      <c r="S1028" s="344">
        <f>SUM(S56)</f>
        <v>172.56</v>
      </c>
      <c r="T1028" s="343"/>
      <c r="V1028" s="344">
        <f>SUM(V6:V56)</f>
        <v>199.36400000000006</v>
      </c>
      <c r="W1028" s="346">
        <f>X1028/V1028</f>
        <v>0.10134728436427837</v>
      </c>
      <c r="X1028" s="344">
        <f>SUM(X56)</f>
        <v>20.204999999999998</v>
      </c>
      <c r="Y1028" s="346">
        <f>Z1028/V1028</f>
        <v>0</v>
      </c>
      <c r="Z1028" s="344">
        <f>SUM(Z56)</f>
        <v>0</v>
      </c>
      <c r="AB1028" s="344">
        <f>SUM(AB6:AB56)</f>
        <v>-179.29499999999999</v>
      </c>
      <c r="AC1028" s="344">
        <f>SUM(AC6:AC56)</f>
        <v>-172.56</v>
      </c>
    </row>
    <row r="1029" spans="1:29" s="345" customFormat="1" ht="28.2" customHeight="1">
      <c r="A1029" s="342"/>
      <c r="B1029" s="343" t="s">
        <v>1431</v>
      </c>
      <c r="C1029" s="343"/>
      <c r="D1029" s="343"/>
      <c r="E1029" s="343"/>
      <c r="F1029" s="343"/>
      <c r="G1029" s="342" t="s">
        <v>2293</v>
      </c>
      <c r="H1029" s="344">
        <f>SUM(H59:H1024)</f>
        <v>3482.0959999999604</v>
      </c>
      <c r="I1029" s="344">
        <f>SUM(I59:I1024)</f>
        <v>838</v>
      </c>
      <c r="J1029" s="344"/>
      <c r="K1029" s="344">
        <f>SUM(K104,K149,K196,K241,K275,K308,K344,K377,K413,K446,K482,K529,K577,K624,K672,K719,K774,K815,K856,K884,K922,K952,K990,K1024)</f>
        <v>3482.0959999999991</v>
      </c>
      <c r="L1029" s="343"/>
      <c r="M1029" s="343"/>
      <c r="N1029" s="346">
        <f>O1029/H1029</f>
        <v>0.97518684148858559</v>
      </c>
      <c r="O1029" s="344">
        <f>SUM(O104,O149,O196,O241,O275,O308,O344,O377,O413,O446,O482,O529,O577,O624,O672,O719,O774,O815,O856,O884,O922,O952,O990,O1024)</f>
        <v>3395.6941999999995</v>
      </c>
      <c r="P1029" s="1008">
        <f>S1029/H1029</f>
        <v>0.8767336971755042</v>
      </c>
      <c r="Q1029" s="1008"/>
      <c r="R1029" s="1008"/>
      <c r="S1029" s="344">
        <f>SUM(S104,S149,S196,S241,S275,S308,S344,S377,S413,S446,S482,S529,S577,S624,S672,S719,S774,S815,S856,S884,S922,S952,S990,S1024)</f>
        <v>3052.8708999999999</v>
      </c>
      <c r="T1029" s="343"/>
      <c r="V1029" s="344">
        <f>SUM(V59:V1024)</f>
        <v>3479.1059999999661</v>
      </c>
      <c r="W1029" s="346">
        <f>X1029/V1029</f>
        <v>0.82139683777001726</v>
      </c>
      <c r="X1029" s="344">
        <f>SUM(X104,X149,X196,X241,X275,X308,X344,X377,X413,X446,X482,X529,X577,X624,X672,X719,X774,X815,X856,X884,X922,X952,X990,X1024)</f>
        <v>2857.726666666666</v>
      </c>
      <c r="Y1029" s="346">
        <f>Z1029/V1029</f>
        <v>0.74825640073437216</v>
      </c>
      <c r="Z1029" s="344">
        <f>SUM(Z104,Z149,Z196,Z241,Z275,Z308,Z344,Z377,Z413,Z446,Z482,Z529,Z577,Z624,Z672,Z719,Z774,Z815,Z856,Z884,Z922,Z952,Z990,Z1024)</f>
        <v>2603.2633333333333</v>
      </c>
      <c r="AB1029" s="344">
        <f>SUM(AB59:AB1024)</f>
        <v>-537.96753333333311</v>
      </c>
      <c r="AC1029" s="344">
        <f>SUM(AC59:AC1024)</f>
        <v>-449.60756666666686</v>
      </c>
    </row>
    <row r="1030" spans="1:29" ht="15" thickBot="1">
      <c r="A1030" s="799"/>
      <c r="B1030" s="800"/>
      <c r="C1030" s="800"/>
      <c r="D1030" s="800"/>
      <c r="E1030" s="800"/>
      <c r="F1030" s="800"/>
      <c r="G1030" s="800"/>
      <c r="H1030" s="800"/>
      <c r="I1030" s="799"/>
      <c r="J1030" s="799"/>
      <c r="K1030" s="799"/>
      <c r="L1030" s="799"/>
      <c r="M1030" s="799"/>
      <c r="N1030" s="800"/>
      <c r="O1030" s="800"/>
      <c r="P1030" s="800"/>
      <c r="Q1030" s="800"/>
      <c r="R1030" s="800"/>
      <c r="S1030" s="800"/>
      <c r="T1030" s="800"/>
    </row>
    <row r="1031" spans="1:29" ht="30" thickTop="1" thickBot="1">
      <c r="A1031" s="740"/>
      <c r="B1031" s="741"/>
      <c r="C1031" s="742"/>
      <c r="D1031" s="742"/>
      <c r="E1031" s="741"/>
      <c r="F1031" s="741"/>
      <c r="G1031" s="767" t="s">
        <v>3509</v>
      </c>
      <c r="H1031" s="739">
        <f>H40+H41+H42+H43+H44+H45</f>
        <v>26.940000000000005</v>
      </c>
      <c r="I1031" s="739">
        <f>I40+I41+I42+I43+I44+I45</f>
        <v>6</v>
      </c>
      <c r="J1031" s="739">
        <f>J40+J41+J42+J43+J44+J45</f>
        <v>6</v>
      </c>
      <c r="K1031" s="739">
        <f>K40+K41+K42+K43+K44+K45</f>
        <v>26.940000000000005</v>
      </c>
      <c r="L1031" s="739"/>
      <c r="M1031" s="739"/>
      <c r="N1031" s="739">
        <f>N40+N41+N42+N43+N44+N45</f>
        <v>6</v>
      </c>
      <c r="O1031" s="739">
        <f>O40+O41+O42+O43+O44+O45</f>
        <v>26.940000000000005</v>
      </c>
      <c r="P1031" s="745"/>
      <c r="Q1031" s="745"/>
      <c r="R1031" s="768">
        <f>S1031/H1031</f>
        <v>0</v>
      </c>
      <c r="S1031" s="739">
        <f>S40+S41+S42+S43+S44+S45</f>
        <v>0</v>
      </c>
      <c r="T1031" s="743"/>
      <c r="X1031" s="306"/>
    </row>
    <row r="1032" spans="1:29" ht="30" thickTop="1" thickBot="1">
      <c r="A1032" s="740"/>
      <c r="B1032" s="741"/>
      <c r="C1032" s="742"/>
      <c r="D1032" s="742"/>
      <c r="E1032" s="741"/>
      <c r="F1032" s="741"/>
      <c r="G1032" s="767" t="s">
        <v>3510</v>
      </c>
      <c r="H1032" s="739">
        <f>H145+H232+H237+H257+H262+H299+H304+H487+H488+H489+H490+H491+H492+H502+H503+H597+H598+H603+H604+H698+H699+H742+H754+H755+H756+H757+H758+H759+H798+H799+H800+H801+H802+H803+H839+H840+H841+H842+H843+H844+H876+H877+H939+H971+H972+H973+H974+H975+H976+H977+H1002+H1003+H1004+H1005+H1006+H1007+H1008+H1009+H1010+H1011+H1012+H1013</f>
        <v>286.48600000000033</v>
      </c>
      <c r="I1032" s="739">
        <f>I145+I232+I237+I257+I262+I299+I304+I487+I488+I489+I490+I491+I492+I502+I503+I597+I598+I603+I604+I698+I699+I742+I754+I755+I756+I757+I758+I759+I798+I799+I800+I801+I802+I803+I839+I840+I841+I842+I843+I844+I876+I877+I939+I971+I972+I973+I974+I975+I976+I977+I1002+I1003+I1004+I1005+I1006+I1007+I1008+I1009+I1010+I1011+I1012+I1013</f>
        <v>62</v>
      </c>
      <c r="J1032" s="739">
        <f>J145+J232+J237+J257+J262+J299+J304+J487+J488+J489+J490+J491+J492+J502+J503+J597+J598+J603+J604+J698+J699+J742+J754+J755+J756+J757+J758+J759+J798+J799+J800+J801+J802+J803+J839+J840+J841+J842+J843+J844+J876+J877+J939+J971+J972+J973+J974+J975+J976+J977+J1002+J1003+J1004+J1005+J1006+J1007+J1008+J1009+J1010+J1011+J1012+J1013</f>
        <v>62</v>
      </c>
      <c r="K1032" s="739">
        <f>K145+K232+K237+K257+K262+K299+K304+K487+K488+K489+K490+K491+K492+K502+K503+K597+K598+K603+K604+K698+K699+K742+K754+K755+K756+K757+K758+K759+K798+K799+K800+K801+K802+K803+K839+K840+K841+K842+K843+K844+K876+K877+K939+K971+K972+K973+K974+K975+K976+K977+K1002+K1003+K1004+K1005+K1006+K1007+K1008+K1009+K1010+K1011+K1012+K1013</f>
        <v>286.48600000000033</v>
      </c>
      <c r="L1032" s="739"/>
      <c r="M1032" s="739"/>
      <c r="N1032" s="739">
        <f>N145+N232+N237+N257+N262+N299+N304+N487+N488+N489+N490+N491+N492+N502+N503+N597+N598+N603+N604+N698+N699+N742+N754+N755+N756+N757+N758+N759+N798+N799+N800+N801+N802+N803+N839+N840+N841+N842+N843+N844+N876+N877+N939+N971+N972+N973+N974+N975+N976+N977+N1002+N1003+N1004+N1005+N1006+N1007+N1008+N1009+N1010+N1011+N1012+N1013</f>
        <v>42.89</v>
      </c>
      <c r="O1032" s="739">
        <f>O145+O232+O237+O257+O262+O299+O304+O487+O488+O489+O490+O491+O492+O502+O503+O597+O598+O603+O604+O698+O699+O742+O754+O755+O756+O757+O758+O759+O798+O799+O800+O801+O802+O803+O839+O840+O841+O842+O843+O844+O876+O877+O939+O971+O972+O973+O974+O975+O976+O977+O1002+O1003+O1004+O1005+O1006+O1007+O1008+O1009+O1010+O1011+O1012+O1013</f>
        <v>200.0842000000001</v>
      </c>
      <c r="P1032" s="745"/>
      <c r="Q1032" s="745"/>
      <c r="R1032" s="768">
        <f>S1032/H1032</f>
        <v>0.25595317048651567</v>
      </c>
      <c r="S1032" s="917">
        <f>S145+S232+S237+S257+S262+S299+S304+S487+S488+S489+S490+S491+S492+S502+S503+S597+S598+S603+S604+S698+S699+S742+S754+S755+S756+S757+S758+S759+S798+S799+S800+S801+S802+S803+S839+S840+S841+S842+S843+S844+S876+S877+S939+S971+S972+S973+S974+S975+S976+S977+S1002+S1003+S1004+S1005+S1006+S1007+S1008+S1009+S1010+S1011+S1012+S1013</f>
        <v>73.327000000000012</v>
      </c>
      <c r="T1032" s="743"/>
      <c r="X1032" s="306"/>
    </row>
    <row r="1033" spans="1:29" ht="15" thickTop="1">
      <c r="AB1033" s="383"/>
      <c r="AC1033" s="383"/>
    </row>
    <row r="1034" spans="1:29">
      <c r="AB1034" s="383" t="e">
        <f>#REF!*#REF!</f>
        <v>#REF!</v>
      </c>
      <c r="AC1034" s="383" t="e">
        <f>#REF!*#REF!</f>
        <v>#REF!</v>
      </c>
    </row>
  </sheetData>
  <mergeCells count="28">
    <mergeCell ref="J3:K3"/>
    <mergeCell ref="T233:T236"/>
    <mergeCell ref="T258:T261"/>
    <mergeCell ref="T300:T303"/>
    <mergeCell ref="T318:T321"/>
    <mergeCell ref="T168:T169"/>
    <mergeCell ref="T89:T92"/>
    <mergeCell ref="T181:T184"/>
    <mergeCell ref="T141:T144"/>
    <mergeCell ref="L3:O3"/>
    <mergeCell ref="P3:S3"/>
    <mergeCell ref="T940:T943"/>
    <mergeCell ref="T583:T586"/>
    <mergeCell ref="T26:T29"/>
    <mergeCell ref="T76:T77"/>
    <mergeCell ref="T456:T459"/>
    <mergeCell ref="T541:T544"/>
    <mergeCell ref="T387:T390"/>
    <mergeCell ref="T438:T441"/>
    <mergeCell ref="T678:T681"/>
    <mergeCell ref="W3:X3"/>
    <mergeCell ref="Y3:Z3"/>
    <mergeCell ref="T878:T881"/>
    <mergeCell ref="T905:T908"/>
    <mergeCell ref="V2:Z2"/>
    <mergeCell ref="T126:T129"/>
    <mergeCell ref="T369:T372"/>
    <mergeCell ref="T636:T639"/>
  </mergeCells>
  <conditionalFormatting sqref="J6:J25 J30:J55 J59:J75 J78:J88 J93:J103 J106:J125 J130:J140 J145:J148 J151:J167 J170:J180 J185:J195 J198:J232 J237:J240 J243:J257 J262:J274 J277:J299 J304:J307 J310:J317 J322:J343 J346:J368 J373:J376 J379:J386 J391:J412 J415:J437 J442:J445 J448:J455 J460:J481 J484:J528 J531:J540 J545:J576 J579:J582 J587:J623 J626:J635 J640:J671 J674:J677 J682:J718 J721:J741 J743:J773 J776:J814 J817:J855 J858:J877 J882:J883 J886:J904 J909:J921 J924:J939 J944:J951 J954:J989 J992:J1023">
    <cfRule type="cellIs" dxfId="3" priority="1" stopIfTrue="1" operator="lessThan">
      <formula>1</formula>
    </cfRule>
  </conditionalFormatting>
  <pageMargins left="0.1" right="0.1" top="0.1" bottom="0.1" header="0.3" footer="0.3"/>
  <pageSetup paperSize="9" scale="48" orientation="portrait" r:id="rId1"/>
  <colBreaks count="1" manualBreakCount="1">
    <brk id="2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A2:T163"/>
  <sheetViews>
    <sheetView showGridLines="0" view="pageBreakPreview" zoomScale="85" zoomScaleNormal="100" zoomScaleSheetLayoutView="85" workbookViewId="0">
      <selection activeCell="Q156" sqref="Q6:Q156"/>
    </sheetView>
  </sheetViews>
  <sheetFormatPr defaultColWidth="9.109375" defaultRowHeight="14.4"/>
  <cols>
    <col min="1" max="1" width="6.88671875" style="306" customWidth="1"/>
    <col min="2" max="2" width="10.33203125" style="306" customWidth="1"/>
    <col min="3" max="5" width="7.88671875" style="306" customWidth="1"/>
    <col min="6" max="6" width="12.6640625" style="306" customWidth="1"/>
    <col min="7" max="7" width="11.109375" style="306" customWidth="1"/>
    <col min="8" max="8" width="8.6640625" style="306" customWidth="1"/>
    <col min="9" max="10" width="7.88671875" style="306" customWidth="1"/>
    <col min="11" max="11" width="13.6640625" style="306" customWidth="1"/>
    <col min="12" max="13" width="11.109375" style="306" customWidth="1"/>
    <col min="14" max="14" width="7.88671875" style="306" customWidth="1"/>
    <col min="15" max="15" width="13.6640625" style="306" customWidth="1"/>
    <col min="16" max="18" width="10.6640625" style="306" customWidth="1"/>
    <col min="19" max="19" width="15.6640625" style="306" customWidth="1"/>
    <col min="20" max="20" width="18" style="306" customWidth="1"/>
    <col min="21" max="16384" width="9.109375" style="306"/>
  </cols>
  <sheetData>
    <row r="2" spans="1:20" ht="18">
      <c r="A2" s="305" t="s">
        <v>458</v>
      </c>
      <c r="P2" s="1032"/>
      <c r="Q2" s="1032"/>
      <c r="R2" s="1032"/>
      <c r="S2" s="1032"/>
    </row>
    <row r="3" spans="1:20" ht="63.6" customHeight="1">
      <c r="A3" s="308" t="s">
        <v>376</v>
      </c>
      <c r="B3" s="309" t="s">
        <v>2285</v>
      </c>
      <c r="C3" s="308" t="s">
        <v>377</v>
      </c>
      <c r="D3" s="309" t="s">
        <v>378</v>
      </c>
      <c r="E3" s="309" t="s">
        <v>2286</v>
      </c>
      <c r="F3" s="310"/>
      <c r="G3" s="311"/>
      <c r="H3" s="312"/>
      <c r="I3" s="312"/>
      <c r="J3" s="1021" t="s">
        <v>2997</v>
      </c>
      <c r="K3" s="1022"/>
      <c r="L3" s="1021" t="s">
        <v>2998</v>
      </c>
      <c r="M3" s="1023"/>
      <c r="N3" s="1023"/>
      <c r="O3" s="1022"/>
      <c r="P3" s="1021" t="s">
        <v>2310</v>
      </c>
      <c r="Q3" s="1023"/>
      <c r="R3" s="1023"/>
      <c r="S3" s="1022"/>
      <c r="T3" s="309" t="s">
        <v>43</v>
      </c>
    </row>
    <row r="4" spans="1:20" ht="27.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3513</v>
      </c>
      <c r="S4" s="315" t="s">
        <v>3506</v>
      </c>
      <c r="T4" s="314"/>
    </row>
    <row r="5" spans="1:20" ht="6.75" customHeight="1" thickBot="1">
      <c r="A5" s="316"/>
      <c r="B5" s="317"/>
      <c r="C5" s="316"/>
      <c r="D5" s="316"/>
      <c r="E5" s="317"/>
      <c r="F5" s="317"/>
      <c r="G5" s="316"/>
      <c r="H5" s="316"/>
      <c r="I5" s="316"/>
      <c r="J5" s="316"/>
      <c r="K5" s="316"/>
      <c r="L5" s="316"/>
      <c r="M5" s="316"/>
      <c r="N5" s="316"/>
      <c r="O5" s="316"/>
      <c r="P5" s="623"/>
      <c r="Q5" s="623"/>
      <c r="R5" s="623"/>
      <c r="S5" s="316"/>
      <c r="T5" s="317"/>
    </row>
    <row r="6" spans="1:20" ht="15.6" thickTop="1" thickBot="1">
      <c r="A6" s="318">
        <v>1</v>
      </c>
      <c r="B6" s="319" t="s">
        <v>383</v>
      </c>
      <c r="C6" s="318">
        <v>900</v>
      </c>
      <c r="D6" s="318">
        <v>6</v>
      </c>
      <c r="E6" s="319">
        <v>1</v>
      </c>
      <c r="F6" s="319"/>
      <c r="G6" s="318" t="s">
        <v>459</v>
      </c>
      <c r="H6" s="328">
        <v>3.81</v>
      </c>
      <c r="I6" s="318">
        <v>1</v>
      </c>
      <c r="J6" s="318">
        <v>1</v>
      </c>
      <c r="K6" s="318">
        <f>H6*J6</f>
        <v>3.81</v>
      </c>
      <c r="L6" s="481" t="s">
        <v>3271</v>
      </c>
      <c r="M6" s="350" t="s">
        <v>3301</v>
      </c>
      <c r="N6" s="318">
        <v>1</v>
      </c>
      <c r="O6" s="621">
        <f>H6*N6</f>
        <v>3.81</v>
      </c>
      <c r="P6" s="624">
        <v>1</v>
      </c>
      <c r="Q6" s="624">
        <f>R6-P6</f>
        <v>0</v>
      </c>
      <c r="R6" s="746">
        <v>1</v>
      </c>
      <c r="S6" s="622">
        <f>H6*R6</f>
        <v>3.81</v>
      </c>
      <c r="T6" s="319" t="s">
        <v>3326</v>
      </c>
    </row>
    <row r="7" spans="1:20" ht="15.6" thickTop="1" thickBot="1">
      <c r="A7" s="318"/>
      <c r="B7" s="319"/>
      <c r="C7" s="318"/>
      <c r="D7" s="318"/>
      <c r="E7" s="319"/>
      <c r="F7" s="319"/>
      <c r="G7" s="318" t="s">
        <v>460</v>
      </c>
      <c r="H7" s="328">
        <v>3.81</v>
      </c>
      <c r="I7" s="318">
        <v>1</v>
      </c>
      <c r="J7" s="318">
        <v>1</v>
      </c>
      <c r="K7" s="318">
        <f>H7*J7</f>
        <v>3.81</v>
      </c>
      <c r="L7" s="481" t="s">
        <v>3286</v>
      </c>
      <c r="M7" s="350" t="s">
        <v>3307</v>
      </c>
      <c r="N7" s="318">
        <v>1</v>
      </c>
      <c r="O7" s="621">
        <f>H7*N7</f>
        <v>3.81</v>
      </c>
      <c r="P7" s="624">
        <v>1</v>
      </c>
      <c r="Q7" s="624">
        <f t="shared" ref="Q7:Q9" si="0">R7-P7</f>
        <v>0</v>
      </c>
      <c r="R7" s="746">
        <v>1</v>
      </c>
      <c r="S7" s="622">
        <f>H7*R7</f>
        <v>3.81</v>
      </c>
      <c r="T7" s="319" t="s">
        <v>3326</v>
      </c>
    </row>
    <row r="8" spans="1:20" ht="15.6" thickTop="1" thickBot="1">
      <c r="A8" s="318"/>
      <c r="B8" s="319"/>
      <c r="C8" s="318"/>
      <c r="D8" s="318"/>
      <c r="E8" s="319"/>
      <c r="F8" s="319"/>
      <c r="G8" s="318" t="s">
        <v>461</v>
      </c>
      <c r="H8" s="328">
        <v>3.81</v>
      </c>
      <c r="I8" s="318">
        <v>1</v>
      </c>
      <c r="J8" s="318">
        <v>1</v>
      </c>
      <c r="K8" s="318">
        <f>H8*J8</f>
        <v>3.81</v>
      </c>
      <c r="L8" s="481" t="s">
        <v>3286</v>
      </c>
      <c r="M8" s="350" t="s">
        <v>3307</v>
      </c>
      <c r="N8" s="318">
        <v>1</v>
      </c>
      <c r="O8" s="621">
        <f>H8*N8</f>
        <v>3.81</v>
      </c>
      <c r="P8" s="624">
        <v>1</v>
      </c>
      <c r="Q8" s="624">
        <f t="shared" si="0"/>
        <v>0</v>
      </c>
      <c r="R8" s="746">
        <v>1</v>
      </c>
      <c r="S8" s="622">
        <f t="shared" ref="S8:S9" si="1">H8*R8</f>
        <v>3.81</v>
      </c>
      <c r="T8" s="319" t="s">
        <v>3326</v>
      </c>
    </row>
    <row r="9" spans="1:20" ht="15.6" thickTop="1" thickBot="1">
      <c r="A9" s="318"/>
      <c r="B9" s="319"/>
      <c r="C9" s="318"/>
      <c r="D9" s="318"/>
      <c r="E9" s="319"/>
      <c r="F9" s="319"/>
      <c r="G9" s="318" t="s">
        <v>462</v>
      </c>
      <c r="H9" s="328">
        <v>3.81</v>
      </c>
      <c r="I9" s="318">
        <v>1</v>
      </c>
      <c r="J9" s="318">
        <v>1</v>
      </c>
      <c r="K9" s="318">
        <f>H9*J9</f>
        <v>3.81</v>
      </c>
      <c r="L9" s="350" t="s">
        <v>3270</v>
      </c>
      <c r="M9" s="318">
        <v>270</v>
      </c>
      <c r="N9" s="318">
        <v>1</v>
      </c>
      <c r="O9" s="621">
        <f>H9*N9</f>
        <v>3.81</v>
      </c>
      <c r="P9" s="624">
        <v>1</v>
      </c>
      <c r="Q9" s="624">
        <f t="shared" si="0"/>
        <v>0</v>
      </c>
      <c r="R9" s="746">
        <v>1</v>
      </c>
      <c r="S9" s="622">
        <f t="shared" si="1"/>
        <v>3.81</v>
      </c>
      <c r="T9" s="319" t="s">
        <v>3326</v>
      </c>
    </row>
    <row r="10" spans="1:20" ht="15" thickTop="1">
      <c r="A10" s="318"/>
      <c r="B10" s="319"/>
      <c r="C10" s="318"/>
      <c r="D10" s="318"/>
      <c r="E10" s="319"/>
      <c r="F10" s="319"/>
      <c r="G10" s="318"/>
      <c r="H10" s="328"/>
      <c r="I10" s="318"/>
      <c r="J10" s="382" t="s">
        <v>389</v>
      </c>
      <c r="K10" s="331">
        <f>SUM(K6:K9)</f>
        <v>15.24</v>
      </c>
      <c r="L10" s="318"/>
      <c r="M10" s="318"/>
      <c r="N10" s="382" t="s">
        <v>389</v>
      </c>
      <c r="O10" s="331">
        <f>SUM(O6:O9)</f>
        <v>15.24</v>
      </c>
      <c r="P10" s="382" t="s">
        <v>389</v>
      </c>
      <c r="Q10" s="382" t="s">
        <v>389</v>
      </c>
      <c r="R10" s="382"/>
      <c r="S10" s="331">
        <f>SUM(S6:S9)</f>
        <v>15.24</v>
      </c>
      <c r="T10" s="319"/>
    </row>
    <row r="11" spans="1:20" ht="6.75" customHeight="1">
      <c r="A11" s="316"/>
      <c r="B11" s="317"/>
      <c r="C11" s="316"/>
      <c r="D11" s="316"/>
      <c r="E11" s="317"/>
      <c r="F11" s="317"/>
      <c r="G11" s="316"/>
      <c r="H11" s="332"/>
      <c r="I11" s="316"/>
      <c r="J11" s="316"/>
      <c r="K11" s="316"/>
      <c r="L11" s="316"/>
      <c r="M11" s="316"/>
      <c r="N11" s="316"/>
      <c r="O11" s="332"/>
      <c r="P11" s="316"/>
      <c r="Q11" s="316"/>
      <c r="R11" s="316"/>
      <c r="S11" s="332"/>
      <c r="T11" s="317"/>
    </row>
    <row r="12" spans="1:20">
      <c r="A12" s="318">
        <v>2</v>
      </c>
      <c r="B12" s="319" t="s">
        <v>383</v>
      </c>
      <c r="C12" s="318">
        <v>900</v>
      </c>
      <c r="D12" s="318">
        <v>7</v>
      </c>
      <c r="E12" s="319">
        <v>1</v>
      </c>
      <c r="F12" s="319"/>
      <c r="G12" s="318" t="s">
        <v>463</v>
      </c>
      <c r="H12" s="328">
        <v>3.3</v>
      </c>
      <c r="I12" s="318">
        <v>1</v>
      </c>
      <c r="J12" s="318">
        <f t="shared" ref="J12:J17" si="2">IF(N12&gt;0,1,0)</f>
        <v>1</v>
      </c>
      <c r="K12" s="318">
        <f t="shared" ref="K12:K17" si="3">H12*J12</f>
        <v>3.3</v>
      </c>
      <c r="L12" s="318">
        <v>1261</v>
      </c>
      <c r="M12" s="318" t="s">
        <v>218</v>
      </c>
      <c r="N12" s="318">
        <v>1</v>
      </c>
      <c r="O12" s="328">
        <f t="shared" ref="O12:O17" si="4">H12*N12</f>
        <v>3.3</v>
      </c>
      <c r="P12" s="337">
        <v>1</v>
      </c>
      <c r="Q12" s="337">
        <f>R12-P12</f>
        <v>0</v>
      </c>
      <c r="R12" s="337">
        <v>1</v>
      </c>
      <c r="S12" s="328">
        <f>H12*R12</f>
        <v>3.3</v>
      </c>
      <c r="T12" s="319"/>
    </row>
    <row r="13" spans="1:20">
      <c r="A13" s="318"/>
      <c r="B13" s="319"/>
      <c r="C13" s="318"/>
      <c r="D13" s="318"/>
      <c r="E13" s="319"/>
      <c r="F13" s="319"/>
      <c r="G13" s="318" t="s">
        <v>464</v>
      </c>
      <c r="H13" s="333">
        <v>3.8</v>
      </c>
      <c r="I13" s="318">
        <v>1</v>
      </c>
      <c r="J13" s="318">
        <f t="shared" si="2"/>
        <v>1</v>
      </c>
      <c r="K13" s="318">
        <f t="shared" si="3"/>
        <v>3.8</v>
      </c>
      <c r="L13" s="318">
        <v>1231</v>
      </c>
      <c r="M13" s="318" t="s">
        <v>352</v>
      </c>
      <c r="N13" s="318">
        <v>1</v>
      </c>
      <c r="O13" s="328">
        <f t="shared" si="4"/>
        <v>3.8</v>
      </c>
      <c r="P13" s="337">
        <v>1</v>
      </c>
      <c r="Q13" s="337">
        <f t="shared" ref="Q13:Q17" si="5">R13-P13</f>
        <v>0</v>
      </c>
      <c r="R13" s="337">
        <v>1</v>
      </c>
      <c r="S13" s="328">
        <f t="shared" ref="S13:S17" si="6">H13*R13</f>
        <v>3.8</v>
      </c>
      <c r="T13" s="319"/>
    </row>
    <row r="14" spans="1:20">
      <c r="A14" s="318"/>
      <c r="B14" s="319"/>
      <c r="C14" s="318"/>
      <c r="D14" s="318"/>
      <c r="E14" s="319"/>
      <c r="F14" s="319"/>
      <c r="G14" s="652" t="s">
        <v>465</v>
      </c>
      <c r="H14" s="328">
        <v>4.49</v>
      </c>
      <c r="I14" s="318">
        <v>1</v>
      </c>
      <c r="J14" s="318">
        <f t="shared" si="2"/>
        <v>1</v>
      </c>
      <c r="K14" s="318">
        <f t="shared" si="3"/>
        <v>4.49</v>
      </c>
      <c r="L14" s="318">
        <v>2449</v>
      </c>
      <c r="M14" s="318">
        <v>240</v>
      </c>
      <c r="N14" s="318">
        <v>1</v>
      </c>
      <c r="O14" s="328">
        <f t="shared" si="4"/>
        <v>4.49</v>
      </c>
      <c r="P14" s="337">
        <v>1</v>
      </c>
      <c r="Q14" s="337">
        <f t="shared" si="5"/>
        <v>0</v>
      </c>
      <c r="R14" s="337">
        <v>1</v>
      </c>
      <c r="S14" s="328">
        <f t="shared" si="6"/>
        <v>4.49</v>
      </c>
      <c r="T14" s="319"/>
    </row>
    <row r="15" spans="1:20">
      <c r="A15" s="318"/>
      <c r="B15" s="319"/>
      <c r="C15" s="318"/>
      <c r="D15" s="318"/>
      <c r="E15" s="319"/>
      <c r="F15" s="319"/>
      <c r="G15" s="652" t="s">
        <v>466</v>
      </c>
      <c r="H15" s="328">
        <v>4.49</v>
      </c>
      <c r="I15" s="318">
        <v>1</v>
      </c>
      <c r="J15" s="318">
        <f t="shared" si="2"/>
        <v>1</v>
      </c>
      <c r="K15" s="318">
        <f t="shared" si="3"/>
        <v>4.49</v>
      </c>
      <c r="L15" s="471" t="s">
        <v>3143</v>
      </c>
      <c r="M15" s="350" t="s">
        <v>3144</v>
      </c>
      <c r="N15" s="318">
        <v>1</v>
      </c>
      <c r="O15" s="328">
        <f t="shared" si="4"/>
        <v>4.49</v>
      </c>
      <c r="P15" s="337">
        <v>1</v>
      </c>
      <c r="Q15" s="337">
        <f t="shared" si="5"/>
        <v>0</v>
      </c>
      <c r="R15" s="337">
        <v>1</v>
      </c>
      <c r="S15" s="328">
        <f t="shared" si="6"/>
        <v>4.49</v>
      </c>
      <c r="T15" s="319"/>
    </row>
    <row r="16" spans="1:20">
      <c r="A16" s="318"/>
      <c r="B16" s="319"/>
      <c r="C16" s="318"/>
      <c r="D16" s="318"/>
      <c r="E16" s="319"/>
      <c r="F16" s="319"/>
      <c r="G16" s="318" t="s">
        <v>467</v>
      </c>
      <c r="H16" s="328">
        <v>4.49</v>
      </c>
      <c r="I16" s="318">
        <v>1</v>
      </c>
      <c r="J16" s="318">
        <f t="shared" si="2"/>
        <v>1</v>
      </c>
      <c r="K16" s="318">
        <f t="shared" si="3"/>
        <v>4.49</v>
      </c>
      <c r="L16" s="318">
        <v>2440</v>
      </c>
      <c r="M16" s="318">
        <v>239</v>
      </c>
      <c r="N16" s="318">
        <v>1</v>
      </c>
      <c r="O16" s="328">
        <f t="shared" si="4"/>
        <v>4.49</v>
      </c>
      <c r="P16" s="337">
        <v>1</v>
      </c>
      <c r="Q16" s="337">
        <f t="shared" si="5"/>
        <v>0</v>
      </c>
      <c r="R16" s="337">
        <v>1</v>
      </c>
      <c r="S16" s="328">
        <f t="shared" si="6"/>
        <v>4.49</v>
      </c>
      <c r="T16" s="319"/>
    </row>
    <row r="17" spans="1:20">
      <c r="A17" s="318"/>
      <c r="B17" s="319"/>
      <c r="C17" s="318"/>
      <c r="D17" s="318"/>
      <c r="E17" s="319"/>
      <c r="F17" s="319"/>
      <c r="G17" s="318" t="s">
        <v>468</v>
      </c>
      <c r="H17" s="328">
        <v>4.49</v>
      </c>
      <c r="I17" s="318">
        <v>1</v>
      </c>
      <c r="J17" s="318">
        <f t="shared" si="2"/>
        <v>1</v>
      </c>
      <c r="K17" s="318">
        <f t="shared" si="3"/>
        <v>4.49</v>
      </c>
      <c r="L17" s="318">
        <v>2440</v>
      </c>
      <c r="M17" s="318">
        <v>239</v>
      </c>
      <c r="N17" s="318">
        <v>1</v>
      </c>
      <c r="O17" s="328">
        <f t="shared" si="4"/>
        <v>4.49</v>
      </c>
      <c r="P17" s="337">
        <v>1</v>
      </c>
      <c r="Q17" s="337">
        <f t="shared" si="5"/>
        <v>0</v>
      </c>
      <c r="R17" s="337">
        <v>1</v>
      </c>
      <c r="S17" s="328">
        <f t="shared" si="6"/>
        <v>4.49</v>
      </c>
      <c r="T17" s="319"/>
    </row>
    <row r="18" spans="1:20">
      <c r="A18" s="318"/>
      <c r="B18" s="319"/>
      <c r="C18" s="318"/>
      <c r="D18" s="318"/>
      <c r="E18" s="319"/>
      <c r="F18" s="319"/>
      <c r="G18" s="318"/>
      <c r="H18" s="328"/>
      <c r="I18" s="318"/>
      <c r="J18" s="382" t="s">
        <v>389</v>
      </c>
      <c r="K18" s="331">
        <f>SUM(K12:K17)</f>
        <v>25.060000000000002</v>
      </c>
      <c r="L18" s="318"/>
      <c r="M18" s="318"/>
      <c r="N18" s="382" t="s">
        <v>389</v>
      </c>
      <c r="O18" s="331">
        <f>SUM(O12:O17)</f>
        <v>25.060000000000002</v>
      </c>
      <c r="P18" s="382" t="s">
        <v>389</v>
      </c>
      <c r="Q18" s="382" t="s">
        <v>389</v>
      </c>
      <c r="R18" s="382"/>
      <c r="S18" s="331">
        <f>SUM(S12:S17)</f>
        <v>25.060000000000002</v>
      </c>
      <c r="T18" s="319"/>
    </row>
    <row r="19" spans="1:20" ht="6.75" customHeight="1">
      <c r="A19" s="316"/>
      <c r="B19" s="317"/>
      <c r="C19" s="316"/>
      <c r="D19" s="316"/>
      <c r="E19" s="317"/>
      <c r="F19" s="317"/>
      <c r="G19" s="316"/>
      <c r="H19" s="332"/>
      <c r="I19" s="316"/>
      <c r="J19" s="316"/>
      <c r="K19" s="316"/>
      <c r="L19" s="316"/>
      <c r="M19" s="316"/>
      <c r="N19" s="316"/>
      <c r="O19" s="332"/>
      <c r="P19" s="316"/>
      <c r="Q19" s="316"/>
      <c r="R19" s="316"/>
      <c r="S19" s="332"/>
      <c r="T19" s="317"/>
    </row>
    <row r="20" spans="1:20">
      <c r="A20" s="318">
        <v>3</v>
      </c>
      <c r="B20" s="319" t="s">
        <v>383</v>
      </c>
      <c r="C20" s="318">
        <v>900</v>
      </c>
      <c r="D20" s="318">
        <v>8</v>
      </c>
      <c r="E20" s="319">
        <v>1</v>
      </c>
      <c r="F20" s="319"/>
      <c r="G20" s="318" t="s">
        <v>469</v>
      </c>
      <c r="H20" s="328">
        <v>3.81</v>
      </c>
      <c r="I20" s="318">
        <v>1</v>
      </c>
      <c r="J20" s="318">
        <f t="shared" ref="J20:J27" si="7">IF(N20&gt;0,1,0)</f>
        <v>1</v>
      </c>
      <c r="K20" s="318">
        <f t="shared" ref="K20:K27" si="8">H20*J20</f>
        <v>3.81</v>
      </c>
      <c r="L20" s="318"/>
      <c r="M20" s="318"/>
      <c r="N20" s="318">
        <v>1</v>
      </c>
      <c r="O20" s="328">
        <f t="shared" ref="O20:O27" si="9">H20*N20</f>
        <v>3.81</v>
      </c>
      <c r="P20" s="337">
        <v>1</v>
      </c>
      <c r="Q20" s="337">
        <f t="shared" ref="Q20:Q27" si="10">R20-P20</f>
        <v>0</v>
      </c>
      <c r="R20" s="337">
        <v>1</v>
      </c>
      <c r="S20" s="328">
        <f t="shared" ref="S20" si="11">H20*R20</f>
        <v>3.81</v>
      </c>
      <c r="T20" s="319"/>
    </row>
    <row r="21" spans="1:20">
      <c r="A21" s="318"/>
      <c r="B21" s="319"/>
      <c r="C21" s="318"/>
      <c r="D21" s="318"/>
      <c r="E21" s="319"/>
      <c r="F21" s="319"/>
      <c r="G21" s="318" t="s">
        <v>470</v>
      </c>
      <c r="H21" s="328">
        <v>3.81</v>
      </c>
      <c r="I21" s="318">
        <v>1</v>
      </c>
      <c r="J21" s="318">
        <f t="shared" si="7"/>
        <v>1</v>
      </c>
      <c r="K21" s="318">
        <f t="shared" si="8"/>
        <v>3.81</v>
      </c>
      <c r="L21" s="318"/>
      <c r="M21" s="318"/>
      <c r="N21" s="318">
        <v>1</v>
      </c>
      <c r="O21" s="328">
        <f t="shared" si="9"/>
        <v>3.81</v>
      </c>
      <c r="P21" s="337">
        <v>1</v>
      </c>
      <c r="Q21" s="337">
        <f t="shared" si="10"/>
        <v>0</v>
      </c>
      <c r="R21" s="337">
        <v>1</v>
      </c>
      <c r="S21" s="328">
        <f t="shared" ref="S21:S27" si="12">H21*R21</f>
        <v>3.81</v>
      </c>
      <c r="T21" s="319"/>
    </row>
    <row r="22" spans="1:20">
      <c r="A22" s="318"/>
      <c r="B22" s="319"/>
      <c r="C22" s="318"/>
      <c r="D22" s="318"/>
      <c r="E22" s="319"/>
      <c r="F22" s="319"/>
      <c r="G22" s="318" t="s">
        <v>471</v>
      </c>
      <c r="H22" s="328">
        <v>3.81</v>
      </c>
      <c r="I22" s="318">
        <v>1</v>
      </c>
      <c r="J22" s="318">
        <f t="shared" si="7"/>
        <v>1</v>
      </c>
      <c r="K22" s="318">
        <f t="shared" si="8"/>
        <v>3.81</v>
      </c>
      <c r="L22" s="318"/>
      <c r="M22" s="318"/>
      <c r="N22" s="318">
        <v>1</v>
      </c>
      <c r="O22" s="328">
        <f t="shared" si="9"/>
        <v>3.81</v>
      </c>
      <c r="P22" s="337">
        <v>1</v>
      </c>
      <c r="Q22" s="337">
        <f t="shared" si="10"/>
        <v>0</v>
      </c>
      <c r="R22" s="337">
        <v>1</v>
      </c>
      <c r="S22" s="328">
        <f t="shared" si="12"/>
        <v>3.81</v>
      </c>
      <c r="T22" s="319"/>
    </row>
    <row r="23" spans="1:20">
      <c r="A23" s="318"/>
      <c r="B23" s="319"/>
      <c r="C23" s="318"/>
      <c r="D23" s="318"/>
      <c r="E23" s="319"/>
      <c r="F23" s="319"/>
      <c r="G23" s="318" t="s">
        <v>472</v>
      </c>
      <c r="H23" s="328">
        <v>3.81</v>
      </c>
      <c r="I23" s="318">
        <v>1</v>
      </c>
      <c r="J23" s="318">
        <f t="shared" si="7"/>
        <v>1</v>
      </c>
      <c r="K23" s="318">
        <f t="shared" si="8"/>
        <v>3.81</v>
      </c>
      <c r="L23" s="318"/>
      <c r="M23" s="318"/>
      <c r="N23" s="318">
        <v>1</v>
      </c>
      <c r="O23" s="328">
        <f t="shared" si="9"/>
        <v>3.81</v>
      </c>
      <c r="P23" s="337">
        <v>1</v>
      </c>
      <c r="Q23" s="337">
        <f t="shared" si="10"/>
        <v>0</v>
      </c>
      <c r="R23" s="337">
        <v>1</v>
      </c>
      <c r="S23" s="328">
        <f t="shared" si="12"/>
        <v>3.81</v>
      </c>
      <c r="T23" s="319"/>
    </row>
    <row r="24" spans="1:20">
      <c r="A24" s="318"/>
      <c r="B24" s="319"/>
      <c r="C24" s="318"/>
      <c r="D24" s="318"/>
      <c r="E24" s="319"/>
      <c r="F24" s="319"/>
      <c r="G24" s="318" t="s">
        <v>473</v>
      </c>
      <c r="H24" s="328">
        <v>4.49</v>
      </c>
      <c r="I24" s="318">
        <v>1</v>
      </c>
      <c r="J24" s="318">
        <f t="shared" si="7"/>
        <v>1</v>
      </c>
      <c r="K24" s="318">
        <f t="shared" si="8"/>
        <v>4.49</v>
      </c>
      <c r="L24" s="350" t="s">
        <v>3190</v>
      </c>
      <c r="M24" s="318" t="s">
        <v>208</v>
      </c>
      <c r="N24" s="318">
        <v>1</v>
      </c>
      <c r="O24" s="328">
        <f t="shared" si="9"/>
        <v>4.49</v>
      </c>
      <c r="P24" s="337">
        <v>1</v>
      </c>
      <c r="Q24" s="337">
        <f t="shared" si="10"/>
        <v>0</v>
      </c>
      <c r="R24" s="337">
        <v>1</v>
      </c>
      <c r="S24" s="328">
        <f t="shared" si="12"/>
        <v>4.49</v>
      </c>
      <c r="T24" s="319"/>
    </row>
    <row r="25" spans="1:20">
      <c r="A25" s="318"/>
      <c r="B25" s="319"/>
      <c r="C25" s="318"/>
      <c r="D25" s="318"/>
      <c r="E25" s="319"/>
      <c r="F25" s="319"/>
      <c r="G25" s="318" t="s">
        <v>474</v>
      </c>
      <c r="H25" s="328">
        <v>4.49</v>
      </c>
      <c r="I25" s="318">
        <v>1</v>
      </c>
      <c r="J25" s="318">
        <f t="shared" si="7"/>
        <v>1</v>
      </c>
      <c r="K25" s="318">
        <f t="shared" si="8"/>
        <v>4.49</v>
      </c>
      <c r="L25" s="350" t="s">
        <v>3190</v>
      </c>
      <c r="M25" s="318" t="s">
        <v>208</v>
      </c>
      <c r="N25" s="318">
        <v>1</v>
      </c>
      <c r="O25" s="328">
        <f t="shared" si="9"/>
        <v>4.49</v>
      </c>
      <c r="P25" s="337">
        <v>1</v>
      </c>
      <c r="Q25" s="337">
        <f t="shared" si="10"/>
        <v>0</v>
      </c>
      <c r="R25" s="337">
        <v>1</v>
      </c>
      <c r="S25" s="328">
        <f t="shared" si="12"/>
        <v>4.49</v>
      </c>
      <c r="T25" s="319"/>
    </row>
    <row r="26" spans="1:20">
      <c r="A26" s="318"/>
      <c r="B26" s="319"/>
      <c r="C26" s="318"/>
      <c r="D26" s="318"/>
      <c r="E26" s="319"/>
      <c r="F26" s="319"/>
      <c r="G26" s="318" t="s">
        <v>475</v>
      </c>
      <c r="H26" s="328">
        <v>4.49</v>
      </c>
      <c r="I26" s="318">
        <v>1</v>
      </c>
      <c r="J26" s="318">
        <f t="shared" si="7"/>
        <v>1</v>
      </c>
      <c r="K26" s="318">
        <f t="shared" si="8"/>
        <v>4.49</v>
      </c>
      <c r="L26" s="472">
        <v>121912292502</v>
      </c>
      <c r="M26" s="318" t="s">
        <v>351</v>
      </c>
      <c r="N26" s="318">
        <v>1</v>
      </c>
      <c r="O26" s="328">
        <f t="shared" si="9"/>
        <v>4.49</v>
      </c>
      <c r="P26" s="337">
        <v>1</v>
      </c>
      <c r="Q26" s="337">
        <f t="shared" si="10"/>
        <v>0</v>
      </c>
      <c r="R26" s="337">
        <v>1</v>
      </c>
      <c r="S26" s="328">
        <f t="shared" si="12"/>
        <v>4.49</v>
      </c>
      <c r="T26" s="319"/>
    </row>
    <row r="27" spans="1:20">
      <c r="A27" s="318"/>
      <c r="B27" s="319"/>
      <c r="C27" s="318"/>
      <c r="D27" s="318"/>
      <c r="E27" s="319"/>
      <c r="F27" s="319"/>
      <c r="G27" s="318" t="s">
        <v>476</v>
      </c>
      <c r="H27" s="328">
        <v>4.49</v>
      </c>
      <c r="I27" s="318">
        <v>1</v>
      </c>
      <c r="J27" s="318">
        <f t="shared" si="7"/>
        <v>1</v>
      </c>
      <c r="K27" s="318">
        <f t="shared" si="8"/>
        <v>4.49</v>
      </c>
      <c r="L27" s="472">
        <v>121912292502</v>
      </c>
      <c r="M27" s="318" t="s">
        <v>351</v>
      </c>
      <c r="N27" s="318">
        <v>1</v>
      </c>
      <c r="O27" s="328">
        <f t="shared" si="9"/>
        <v>4.49</v>
      </c>
      <c r="P27" s="337">
        <v>1</v>
      </c>
      <c r="Q27" s="337">
        <f t="shared" si="10"/>
        <v>0</v>
      </c>
      <c r="R27" s="337">
        <v>1</v>
      </c>
      <c r="S27" s="328">
        <f t="shared" si="12"/>
        <v>4.49</v>
      </c>
      <c r="T27" s="319"/>
    </row>
    <row r="28" spans="1:20">
      <c r="A28" s="318"/>
      <c r="B28" s="319"/>
      <c r="C28" s="318"/>
      <c r="D28" s="318"/>
      <c r="E28" s="319"/>
      <c r="F28" s="319"/>
      <c r="G28" s="318"/>
      <c r="H28" s="328"/>
      <c r="I28" s="318"/>
      <c r="J28" s="382" t="s">
        <v>389</v>
      </c>
      <c r="K28" s="331">
        <f>SUM(K20:K27)</f>
        <v>33.200000000000003</v>
      </c>
      <c r="L28" s="318"/>
      <c r="M28" s="318"/>
      <c r="N28" s="382" t="s">
        <v>389</v>
      </c>
      <c r="O28" s="331">
        <f>SUM(O20:O27)</f>
        <v>33.200000000000003</v>
      </c>
      <c r="P28" s="382" t="s">
        <v>389</v>
      </c>
      <c r="Q28" s="382" t="s">
        <v>389</v>
      </c>
      <c r="R28" s="382"/>
      <c r="S28" s="331">
        <f>SUM(S20:S27)</f>
        <v>33.200000000000003</v>
      </c>
      <c r="T28" s="319"/>
    </row>
    <row r="29" spans="1:20" ht="6.75" customHeight="1">
      <c r="A29" s="316"/>
      <c r="B29" s="317"/>
      <c r="C29" s="316"/>
      <c r="D29" s="316"/>
      <c r="E29" s="317"/>
      <c r="F29" s="317"/>
      <c r="G29" s="316"/>
      <c r="H29" s="332"/>
      <c r="I29" s="316"/>
      <c r="J29" s="316"/>
      <c r="K29" s="316"/>
      <c r="L29" s="316"/>
      <c r="M29" s="316"/>
      <c r="N29" s="316"/>
      <c r="O29" s="332"/>
      <c r="P29" s="316"/>
      <c r="Q29" s="316"/>
      <c r="R29" s="316"/>
      <c r="S29" s="332"/>
      <c r="T29" s="317"/>
    </row>
    <row r="30" spans="1:20">
      <c r="A30" s="318">
        <v>4</v>
      </c>
      <c r="B30" s="319" t="s">
        <v>383</v>
      </c>
      <c r="C30" s="318">
        <v>900</v>
      </c>
      <c r="D30" s="318">
        <v>9</v>
      </c>
      <c r="E30" s="319">
        <v>1</v>
      </c>
      <c r="F30" s="319"/>
      <c r="G30" s="318" t="s">
        <v>477</v>
      </c>
      <c r="H30" s="328">
        <v>3.27</v>
      </c>
      <c r="I30" s="318">
        <v>1</v>
      </c>
      <c r="J30" s="318">
        <f t="shared" ref="J30:J35" si="13">IF(N30&gt;0,1,0)</f>
        <v>1</v>
      </c>
      <c r="K30" s="318">
        <f t="shared" ref="K30:K35" si="14">H30*J30</f>
        <v>3.27</v>
      </c>
      <c r="L30" s="318">
        <v>1303</v>
      </c>
      <c r="M30" s="318" t="s">
        <v>172</v>
      </c>
      <c r="N30" s="318">
        <v>1</v>
      </c>
      <c r="O30" s="328">
        <f t="shared" ref="O30:O35" si="15">H30*N30</f>
        <v>3.27</v>
      </c>
      <c r="P30" s="337">
        <v>1</v>
      </c>
      <c r="Q30" s="337">
        <f t="shared" ref="Q30:Q35" si="16">R30-P30</f>
        <v>0</v>
      </c>
      <c r="R30" s="337">
        <v>1</v>
      </c>
      <c r="S30" s="328">
        <f t="shared" ref="S30" si="17">H30*R30</f>
        <v>3.27</v>
      </c>
      <c r="T30" s="319"/>
    </row>
    <row r="31" spans="1:20">
      <c r="A31" s="318"/>
      <c r="B31" s="319"/>
      <c r="C31" s="318"/>
      <c r="D31" s="318"/>
      <c r="E31" s="319"/>
      <c r="F31" s="319"/>
      <c r="G31" s="318" t="s">
        <v>478</v>
      </c>
      <c r="H31" s="333">
        <v>3.81</v>
      </c>
      <c r="I31" s="318">
        <v>1</v>
      </c>
      <c r="J31" s="318">
        <f t="shared" si="13"/>
        <v>1</v>
      </c>
      <c r="K31" s="318">
        <f t="shared" si="14"/>
        <v>3.81</v>
      </c>
      <c r="L31" s="318">
        <v>1219</v>
      </c>
      <c r="M31" s="318" t="s">
        <v>208</v>
      </c>
      <c r="N31" s="318">
        <v>1</v>
      </c>
      <c r="O31" s="328">
        <f t="shared" si="15"/>
        <v>3.81</v>
      </c>
      <c r="P31" s="337">
        <v>1</v>
      </c>
      <c r="Q31" s="337">
        <f t="shared" si="16"/>
        <v>0</v>
      </c>
      <c r="R31" s="337">
        <v>1</v>
      </c>
      <c r="S31" s="328">
        <f t="shared" ref="S31:S35" si="18">H31*R31</f>
        <v>3.81</v>
      </c>
      <c r="T31" s="319"/>
    </row>
    <row r="32" spans="1:20">
      <c r="A32" s="318"/>
      <c r="B32" s="319"/>
      <c r="C32" s="318"/>
      <c r="D32" s="318"/>
      <c r="E32" s="319"/>
      <c r="F32" s="319"/>
      <c r="G32" s="318" t="s">
        <v>479</v>
      </c>
      <c r="H32" s="328">
        <v>4.49</v>
      </c>
      <c r="I32" s="318">
        <v>1</v>
      </c>
      <c r="J32" s="318">
        <f t="shared" si="13"/>
        <v>1</v>
      </c>
      <c r="K32" s="318">
        <f t="shared" si="14"/>
        <v>4.49</v>
      </c>
      <c r="L32" s="318">
        <v>2463</v>
      </c>
      <c r="M32" s="318">
        <v>242</v>
      </c>
      <c r="N32" s="318">
        <v>1</v>
      </c>
      <c r="O32" s="328">
        <f t="shared" si="15"/>
        <v>4.49</v>
      </c>
      <c r="P32" s="337">
        <v>1</v>
      </c>
      <c r="Q32" s="337">
        <f t="shared" si="16"/>
        <v>0</v>
      </c>
      <c r="R32" s="337">
        <v>1</v>
      </c>
      <c r="S32" s="328">
        <f t="shared" si="18"/>
        <v>4.49</v>
      </c>
      <c r="T32" s="319" t="s">
        <v>3423</v>
      </c>
    </row>
    <row r="33" spans="1:20">
      <c r="A33" s="318"/>
      <c r="B33" s="319"/>
      <c r="C33" s="318"/>
      <c r="D33" s="318"/>
      <c r="E33" s="319"/>
      <c r="F33" s="319"/>
      <c r="G33" s="318" t="s">
        <v>480</v>
      </c>
      <c r="H33" s="328">
        <v>4.49</v>
      </c>
      <c r="I33" s="318">
        <v>1</v>
      </c>
      <c r="J33" s="318">
        <f t="shared" si="13"/>
        <v>1</v>
      </c>
      <c r="K33" s="318">
        <f t="shared" si="14"/>
        <v>4.49</v>
      </c>
      <c r="L33" s="318">
        <v>2453</v>
      </c>
      <c r="M33" s="318">
        <v>241</v>
      </c>
      <c r="N33" s="318">
        <v>1</v>
      </c>
      <c r="O33" s="328">
        <f t="shared" si="15"/>
        <v>4.49</v>
      </c>
      <c r="P33" s="337">
        <v>1</v>
      </c>
      <c r="Q33" s="337">
        <f t="shared" si="16"/>
        <v>0</v>
      </c>
      <c r="R33" s="337">
        <v>1</v>
      </c>
      <c r="S33" s="328">
        <f t="shared" si="18"/>
        <v>4.49</v>
      </c>
      <c r="T33" s="319" t="s">
        <v>3423</v>
      </c>
    </row>
    <row r="34" spans="1:20">
      <c r="A34" s="318"/>
      <c r="B34" s="319"/>
      <c r="C34" s="318"/>
      <c r="D34" s="318"/>
      <c r="E34" s="319"/>
      <c r="F34" s="319"/>
      <c r="G34" s="318" t="s">
        <v>481</v>
      </c>
      <c r="H34" s="328">
        <v>4.49</v>
      </c>
      <c r="I34" s="318">
        <v>1</v>
      </c>
      <c r="J34" s="318">
        <f t="shared" si="13"/>
        <v>1</v>
      </c>
      <c r="K34" s="318">
        <f t="shared" si="14"/>
        <v>4.49</v>
      </c>
      <c r="L34" s="318">
        <v>2453</v>
      </c>
      <c r="M34" s="318">
        <v>241</v>
      </c>
      <c r="N34" s="318">
        <v>1</v>
      </c>
      <c r="O34" s="328">
        <f t="shared" si="15"/>
        <v>4.49</v>
      </c>
      <c r="P34" s="337">
        <v>1</v>
      </c>
      <c r="Q34" s="337">
        <f t="shared" si="16"/>
        <v>0</v>
      </c>
      <c r="R34" s="337">
        <v>1</v>
      </c>
      <c r="S34" s="328">
        <f t="shared" si="18"/>
        <v>4.49</v>
      </c>
      <c r="T34" s="319" t="s">
        <v>3423</v>
      </c>
    </row>
    <row r="35" spans="1:20">
      <c r="A35" s="318"/>
      <c r="B35" s="319"/>
      <c r="C35" s="318"/>
      <c r="D35" s="318"/>
      <c r="E35" s="319"/>
      <c r="F35" s="319"/>
      <c r="G35" s="318" t="s">
        <v>482</v>
      </c>
      <c r="H35" s="328">
        <v>4.49</v>
      </c>
      <c r="I35" s="318">
        <v>1</v>
      </c>
      <c r="J35" s="318">
        <f t="shared" si="13"/>
        <v>1</v>
      </c>
      <c r="K35" s="318">
        <f t="shared" si="14"/>
        <v>4.49</v>
      </c>
      <c r="L35" s="318">
        <v>2453</v>
      </c>
      <c r="M35" s="318">
        <v>241</v>
      </c>
      <c r="N35" s="318">
        <v>1</v>
      </c>
      <c r="O35" s="328">
        <f t="shared" si="15"/>
        <v>4.49</v>
      </c>
      <c r="P35" s="337">
        <v>1</v>
      </c>
      <c r="Q35" s="337">
        <f t="shared" si="16"/>
        <v>0</v>
      </c>
      <c r="R35" s="337">
        <v>1</v>
      </c>
      <c r="S35" s="328">
        <f t="shared" si="18"/>
        <v>4.49</v>
      </c>
      <c r="T35" s="319" t="s">
        <v>3423</v>
      </c>
    </row>
    <row r="36" spans="1:20">
      <c r="A36" s="318"/>
      <c r="B36" s="319"/>
      <c r="C36" s="318"/>
      <c r="D36" s="318"/>
      <c r="E36" s="319"/>
      <c r="F36" s="319"/>
      <c r="G36" s="318"/>
      <c r="H36" s="328"/>
      <c r="I36" s="318"/>
      <c r="J36" s="382" t="s">
        <v>389</v>
      </c>
      <c r="K36" s="331">
        <f>SUM(K30:K35)</f>
        <v>25.040000000000006</v>
      </c>
      <c r="L36" s="318"/>
      <c r="M36" s="318"/>
      <c r="N36" s="382" t="s">
        <v>389</v>
      </c>
      <c r="O36" s="331">
        <f>SUM(O30:O35)</f>
        <v>25.040000000000006</v>
      </c>
      <c r="P36" s="382" t="s">
        <v>389</v>
      </c>
      <c r="Q36" s="382" t="s">
        <v>389</v>
      </c>
      <c r="R36" s="382"/>
      <c r="S36" s="331">
        <f>SUM(S30:S35)</f>
        <v>25.040000000000006</v>
      </c>
      <c r="T36" s="319"/>
    </row>
    <row r="37" spans="1:20" ht="6.75" customHeight="1" thickBot="1">
      <c r="A37" s="316"/>
      <c r="B37" s="317"/>
      <c r="C37" s="316"/>
      <c r="D37" s="316"/>
      <c r="E37" s="317"/>
      <c r="F37" s="317"/>
      <c r="G37" s="316"/>
      <c r="H37" s="332"/>
      <c r="I37" s="316"/>
      <c r="J37" s="316"/>
      <c r="K37" s="316"/>
      <c r="L37" s="316"/>
      <c r="M37" s="316"/>
      <c r="N37" s="316"/>
      <c r="O37" s="332"/>
      <c r="P37" s="623"/>
      <c r="Q37" s="623"/>
      <c r="R37" s="623"/>
      <c r="S37" s="332"/>
      <c r="T37" s="317"/>
    </row>
    <row r="38" spans="1:20" ht="15.6" thickTop="1" thickBot="1">
      <c r="A38" s="318">
        <v>5</v>
      </c>
      <c r="B38" s="319" t="s">
        <v>383</v>
      </c>
      <c r="C38" s="318">
        <v>900</v>
      </c>
      <c r="D38" s="318">
        <v>10</v>
      </c>
      <c r="E38" s="319">
        <v>1</v>
      </c>
      <c r="F38" s="319"/>
      <c r="G38" s="652" t="s">
        <v>483</v>
      </c>
      <c r="H38" s="328">
        <v>4.49</v>
      </c>
      <c r="I38" s="318">
        <v>1</v>
      </c>
      <c r="J38" s="318">
        <v>1</v>
      </c>
      <c r="K38" s="318">
        <f>H38*J38</f>
        <v>4.49</v>
      </c>
      <c r="L38" s="318"/>
      <c r="M38" s="318"/>
      <c r="N38" s="318"/>
      <c r="O38" s="621">
        <f>H38*N38</f>
        <v>0</v>
      </c>
      <c r="P38" s="750"/>
      <c r="Q38" s="747"/>
      <c r="R38" s="624"/>
      <c r="S38" s="622">
        <f>H38*P38</f>
        <v>0</v>
      </c>
      <c r="T38" s="319" t="s">
        <v>3351</v>
      </c>
    </row>
    <row r="39" spans="1:20" ht="15.6" thickTop="1" thickBot="1">
      <c r="A39" s="318"/>
      <c r="B39" s="319"/>
      <c r="C39" s="318"/>
      <c r="D39" s="318"/>
      <c r="E39" s="319"/>
      <c r="F39" s="319"/>
      <c r="G39" s="652" t="s">
        <v>484</v>
      </c>
      <c r="H39" s="328">
        <v>4.49</v>
      </c>
      <c r="I39" s="318">
        <v>1</v>
      </c>
      <c r="J39" s="318">
        <v>1</v>
      </c>
      <c r="K39" s="318">
        <f>H39*J39</f>
        <v>4.49</v>
      </c>
      <c r="L39" s="318"/>
      <c r="M39" s="318"/>
      <c r="N39" s="318"/>
      <c r="O39" s="621">
        <f>H39*N39</f>
        <v>0</v>
      </c>
      <c r="P39" s="750"/>
      <c r="Q39" s="747"/>
      <c r="R39" s="624"/>
      <c r="S39" s="622">
        <f>H39*P39</f>
        <v>0</v>
      </c>
      <c r="T39" s="319" t="s">
        <v>3351</v>
      </c>
    </row>
    <row r="40" spans="1:20" ht="15.6" thickTop="1" thickBot="1">
      <c r="A40" s="318"/>
      <c r="B40" s="319"/>
      <c r="C40" s="318"/>
      <c r="D40" s="318"/>
      <c r="E40" s="319"/>
      <c r="F40" s="319"/>
      <c r="G40" s="652" t="s">
        <v>485</v>
      </c>
      <c r="H40" s="328">
        <v>4.49</v>
      </c>
      <c r="I40" s="318">
        <v>1</v>
      </c>
      <c r="J40" s="318">
        <v>1</v>
      </c>
      <c r="K40" s="318">
        <f>H40*J40</f>
        <v>4.49</v>
      </c>
      <c r="L40" s="318"/>
      <c r="M40" s="318"/>
      <c r="N40" s="318"/>
      <c r="O40" s="621">
        <f>H40*N40</f>
        <v>0</v>
      </c>
      <c r="P40" s="750"/>
      <c r="Q40" s="747"/>
      <c r="R40" s="624"/>
      <c r="S40" s="622">
        <f>H40*P40</f>
        <v>0</v>
      </c>
      <c r="T40" s="319" t="s">
        <v>3351</v>
      </c>
    </row>
    <row r="41" spans="1:20" ht="15.6" thickTop="1" thickBot="1">
      <c r="A41" s="318"/>
      <c r="B41" s="319"/>
      <c r="C41" s="318"/>
      <c r="D41" s="318"/>
      <c r="E41" s="319"/>
      <c r="F41" s="319"/>
      <c r="G41" s="652" t="s">
        <v>486</v>
      </c>
      <c r="H41" s="328">
        <v>4.49</v>
      </c>
      <c r="I41" s="318">
        <v>1</v>
      </c>
      <c r="J41" s="318">
        <v>1</v>
      </c>
      <c r="K41" s="318">
        <f>H41*J41</f>
        <v>4.49</v>
      </c>
      <c r="L41" s="318"/>
      <c r="M41" s="318"/>
      <c r="N41" s="318"/>
      <c r="O41" s="621">
        <f>H41*N41</f>
        <v>0</v>
      </c>
      <c r="P41" s="750"/>
      <c r="Q41" s="747"/>
      <c r="R41" s="624"/>
      <c r="S41" s="622">
        <f>H41*P41</f>
        <v>0</v>
      </c>
      <c r="T41" s="319" t="s">
        <v>3351</v>
      </c>
    </row>
    <row r="42" spans="1:20" ht="15" thickTop="1">
      <c r="A42" s="318"/>
      <c r="B42" s="319"/>
      <c r="C42" s="318"/>
      <c r="D42" s="318"/>
      <c r="E42" s="319"/>
      <c r="F42" s="319"/>
      <c r="G42" s="318"/>
      <c r="H42" s="318"/>
      <c r="I42" s="318"/>
      <c r="J42" s="382" t="s">
        <v>389</v>
      </c>
      <c r="K42" s="331">
        <f>SUM(K38:K41)</f>
        <v>17.96</v>
      </c>
      <c r="L42" s="318"/>
      <c r="M42" s="318"/>
      <c r="N42" s="382" t="s">
        <v>389</v>
      </c>
      <c r="O42" s="331">
        <f>SUM(O38:O41)</f>
        <v>0</v>
      </c>
      <c r="P42" s="382" t="s">
        <v>389</v>
      </c>
      <c r="Q42" s="382"/>
      <c r="R42" s="382"/>
      <c r="S42" s="331">
        <f>SUM(S38:S41)</f>
        <v>0</v>
      </c>
      <c r="T42" s="319"/>
    </row>
    <row r="43" spans="1:20" ht="6.75" customHeight="1">
      <c r="A43" s="316"/>
      <c r="B43" s="317"/>
      <c r="C43" s="316"/>
      <c r="D43" s="316"/>
      <c r="E43" s="317"/>
      <c r="F43" s="317"/>
      <c r="G43" s="316"/>
      <c r="H43" s="316"/>
      <c r="I43" s="316"/>
      <c r="J43" s="316"/>
      <c r="K43" s="316"/>
      <c r="L43" s="316"/>
      <c r="M43" s="316"/>
      <c r="N43" s="316"/>
      <c r="O43" s="332"/>
      <c r="P43" s="316"/>
      <c r="Q43" s="316"/>
      <c r="R43" s="316"/>
      <c r="S43" s="332"/>
      <c r="T43" s="317"/>
    </row>
    <row r="44" spans="1:20">
      <c r="A44" s="318">
        <v>6</v>
      </c>
      <c r="B44" s="319" t="s">
        <v>383</v>
      </c>
      <c r="C44" s="318">
        <v>900</v>
      </c>
      <c r="D44" s="318">
        <v>11</v>
      </c>
      <c r="E44" s="319">
        <v>1</v>
      </c>
      <c r="F44" s="319"/>
      <c r="G44" s="318" t="s">
        <v>487</v>
      </c>
      <c r="H44" s="328">
        <f>4.49</f>
        <v>4.49</v>
      </c>
      <c r="I44" s="318">
        <v>1</v>
      </c>
      <c r="J44" s="318">
        <f>IF(N44&gt;0,1,0)</f>
        <v>1</v>
      </c>
      <c r="K44" s="318">
        <f>H44*J44</f>
        <v>4.49</v>
      </c>
      <c r="L44" s="350" t="s">
        <v>3168</v>
      </c>
      <c r="M44" s="349">
        <v>214244</v>
      </c>
      <c r="N44" s="318">
        <v>1</v>
      </c>
      <c r="O44" s="328">
        <f>H44*N44</f>
        <v>4.49</v>
      </c>
      <c r="P44" s="337">
        <v>1</v>
      </c>
      <c r="Q44" s="337">
        <f t="shared" ref="Q44:Q47" si="19">R44-P44</f>
        <v>0</v>
      </c>
      <c r="R44" s="337">
        <v>1</v>
      </c>
      <c r="S44" s="328">
        <f t="shared" ref="S44" si="20">H44*R44</f>
        <v>4.49</v>
      </c>
      <c r="T44" s="319" t="s">
        <v>3426</v>
      </c>
    </row>
    <row r="45" spans="1:20">
      <c r="A45" s="318"/>
      <c r="B45" s="319"/>
      <c r="C45" s="318"/>
      <c r="D45" s="318"/>
      <c r="E45" s="319"/>
      <c r="F45" s="319"/>
      <c r="G45" s="318" t="s">
        <v>488</v>
      </c>
      <c r="H45" s="328">
        <f>4.49</f>
        <v>4.49</v>
      </c>
      <c r="I45" s="318">
        <v>1</v>
      </c>
      <c r="J45" s="318">
        <f>IF(N45&gt;0,1,0)</f>
        <v>1</v>
      </c>
      <c r="K45" s="318">
        <f>H45*J45</f>
        <v>4.49</v>
      </c>
      <c r="L45" s="350" t="s">
        <v>3168</v>
      </c>
      <c r="M45" s="349">
        <v>214244</v>
      </c>
      <c r="N45" s="318">
        <v>1</v>
      </c>
      <c r="O45" s="328">
        <f>H45*N45</f>
        <v>4.49</v>
      </c>
      <c r="P45" s="337">
        <v>1</v>
      </c>
      <c r="Q45" s="337">
        <f t="shared" si="19"/>
        <v>0</v>
      </c>
      <c r="R45" s="337">
        <v>1</v>
      </c>
      <c r="S45" s="328">
        <f t="shared" ref="S45:S47" si="21">H45*R45</f>
        <v>4.49</v>
      </c>
      <c r="T45" s="319" t="s">
        <v>3426</v>
      </c>
    </row>
    <row r="46" spans="1:20">
      <c r="A46" s="318"/>
      <c r="B46" s="319"/>
      <c r="C46" s="318"/>
      <c r="D46" s="318"/>
      <c r="E46" s="319"/>
      <c r="F46" s="319"/>
      <c r="G46" s="318" t="s">
        <v>489</v>
      </c>
      <c r="H46" s="328">
        <f>4.49</f>
        <v>4.49</v>
      </c>
      <c r="I46" s="318">
        <v>1</v>
      </c>
      <c r="J46" s="318">
        <f>IF(N46&gt;0,1,0)</f>
        <v>1</v>
      </c>
      <c r="K46" s="318">
        <f>H46*J46</f>
        <v>4.49</v>
      </c>
      <c r="L46" s="350" t="s">
        <v>3169</v>
      </c>
      <c r="M46" s="350" t="s">
        <v>3170</v>
      </c>
      <c r="N46" s="318">
        <v>1</v>
      </c>
      <c r="O46" s="328">
        <f>H46*N46</f>
        <v>4.49</v>
      </c>
      <c r="P46" s="337">
        <v>1</v>
      </c>
      <c r="Q46" s="337">
        <f t="shared" si="19"/>
        <v>0</v>
      </c>
      <c r="R46" s="337">
        <v>1</v>
      </c>
      <c r="S46" s="328">
        <f t="shared" si="21"/>
        <v>4.49</v>
      </c>
      <c r="T46" s="319" t="s">
        <v>3426</v>
      </c>
    </row>
    <row r="47" spans="1:20">
      <c r="A47" s="318"/>
      <c r="B47" s="319"/>
      <c r="C47" s="318"/>
      <c r="D47" s="318"/>
      <c r="E47" s="319"/>
      <c r="F47" s="319"/>
      <c r="G47" s="318" t="s">
        <v>490</v>
      </c>
      <c r="H47" s="328">
        <f>4.49</f>
        <v>4.49</v>
      </c>
      <c r="I47" s="318">
        <v>1</v>
      </c>
      <c r="J47" s="318">
        <f>IF(N47&gt;0,1,0)</f>
        <v>1</v>
      </c>
      <c r="K47" s="318">
        <f>H47*J47</f>
        <v>4.49</v>
      </c>
      <c r="L47" s="482" t="s">
        <v>3280</v>
      </c>
      <c r="M47" s="350" t="s">
        <v>3303</v>
      </c>
      <c r="N47" s="318">
        <v>1</v>
      </c>
      <c r="O47" s="328">
        <f>H47*N47</f>
        <v>4.49</v>
      </c>
      <c r="P47" s="337">
        <v>1</v>
      </c>
      <c r="Q47" s="337">
        <f t="shared" si="19"/>
        <v>0</v>
      </c>
      <c r="R47" s="337">
        <v>1</v>
      </c>
      <c r="S47" s="328">
        <f t="shared" si="21"/>
        <v>4.49</v>
      </c>
      <c r="T47" s="319" t="s">
        <v>3426</v>
      </c>
    </row>
    <row r="48" spans="1:20">
      <c r="A48" s="318"/>
      <c r="B48" s="319"/>
      <c r="C48" s="318"/>
      <c r="D48" s="318"/>
      <c r="E48" s="319"/>
      <c r="F48" s="319"/>
      <c r="G48" s="318"/>
      <c r="H48" s="318"/>
      <c r="I48" s="318"/>
      <c r="J48" s="382" t="s">
        <v>389</v>
      </c>
      <c r="K48" s="331">
        <f>SUM(K44:K47)</f>
        <v>17.96</v>
      </c>
      <c r="L48" s="318"/>
      <c r="M48" s="318"/>
      <c r="N48" s="382" t="s">
        <v>389</v>
      </c>
      <c r="O48" s="331">
        <f>SUM(O44:O47)</f>
        <v>17.96</v>
      </c>
      <c r="P48" s="382" t="s">
        <v>389</v>
      </c>
      <c r="Q48" s="382"/>
      <c r="R48" s="382"/>
      <c r="S48" s="331">
        <f>SUM(S44:S47)</f>
        <v>17.96</v>
      </c>
      <c r="T48" s="319"/>
    </row>
    <row r="49" spans="1:20" ht="6.75" customHeight="1">
      <c r="A49" s="316"/>
      <c r="B49" s="317"/>
      <c r="C49" s="316"/>
      <c r="D49" s="316"/>
      <c r="E49" s="317"/>
      <c r="F49" s="317"/>
      <c r="G49" s="316"/>
      <c r="H49" s="316"/>
      <c r="I49" s="316"/>
      <c r="J49" s="316"/>
      <c r="K49" s="316"/>
      <c r="L49" s="316"/>
      <c r="M49" s="316"/>
      <c r="N49" s="316"/>
      <c r="O49" s="332"/>
      <c r="P49" s="316"/>
      <c r="Q49" s="316"/>
      <c r="R49" s="316"/>
      <c r="S49" s="332"/>
      <c r="T49" s="317"/>
    </row>
    <row r="50" spans="1:20">
      <c r="A50" s="318">
        <v>7</v>
      </c>
      <c r="B50" s="319" t="s">
        <v>383</v>
      </c>
      <c r="C50" s="318">
        <v>900</v>
      </c>
      <c r="D50" s="318">
        <v>12</v>
      </c>
      <c r="E50" s="319">
        <v>1</v>
      </c>
      <c r="F50" s="319"/>
      <c r="G50" s="318" t="s">
        <v>491</v>
      </c>
      <c r="H50" s="328">
        <v>4.49</v>
      </c>
      <c r="I50" s="318">
        <v>1</v>
      </c>
      <c r="J50" s="318">
        <f>IF(N50&gt;0,1,0)</f>
        <v>1</v>
      </c>
      <c r="K50" s="318">
        <f>H50*J50</f>
        <v>4.49</v>
      </c>
      <c r="L50" s="350" t="s">
        <v>3172</v>
      </c>
      <c r="M50" s="318"/>
      <c r="N50" s="318">
        <v>1</v>
      </c>
      <c r="O50" s="328">
        <f>H50*N50</f>
        <v>4.49</v>
      </c>
      <c r="P50" s="337">
        <v>1</v>
      </c>
      <c r="Q50" s="337">
        <f t="shared" ref="Q50:Q53" si="22">R50-P50</f>
        <v>0</v>
      </c>
      <c r="R50" s="337">
        <v>1</v>
      </c>
      <c r="S50" s="328">
        <f t="shared" ref="S50" si="23">H50*R50</f>
        <v>4.49</v>
      </c>
      <c r="T50" s="319" t="s">
        <v>3328</v>
      </c>
    </row>
    <row r="51" spans="1:20">
      <c r="A51" s="318"/>
      <c r="B51" s="319"/>
      <c r="C51" s="318"/>
      <c r="D51" s="318"/>
      <c r="E51" s="319"/>
      <c r="F51" s="319"/>
      <c r="G51" s="318" t="s">
        <v>492</v>
      </c>
      <c r="H51" s="328">
        <v>4.49</v>
      </c>
      <c r="I51" s="318">
        <v>1</v>
      </c>
      <c r="J51" s="318">
        <f>IF(N51&gt;0,1,0)</f>
        <v>1</v>
      </c>
      <c r="K51" s="318">
        <f>H51*J51</f>
        <v>4.49</v>
      </c>
      <c r="L51" s="350" t="s">
        <v>3172</v>
      </c>
      <c r="M51" s="318"/>
      <c r="N51" s="318">
        <v>1</v>
      </c>
      <c r="O51" s="328">
        <f>H51*N51</f>
        <v>4.49</v>
      </c>
      <c r="P51" s="337">
        <v>1</v>
      </c>
      <c r="Q51" s="337">
        <f t="shared" si="22"/>
        <v>0</v>
      </c>
      <c r="R51" s="337">
        <v>1</v>
      </c>
      <c r="S51" s="328">
        <f t="shared" ref="S51:S53" si="24">H51*R51</f>
        <v>4.49</v>
      </c>
      <c r="T51" s="319" t="s">
        <v>3328</v>
      </c>
    </row>
    <row r="52" spans="1:20">
      <c r="A52" s="318"/>
      <c r="B52" s="319"/>
      <c r="C52" s="318"/>
      <c r="D52" s="318"/>
      <c r="E52" s="319"/>
      <c r="F52" s="319"/>
      <c r="G52" s="318" t="s">
        <v>493</v>
      </c>
      <c r="H52" s="328">
        <v>4.49</v>
      </c>
      <c r="I52" s="318">
        <v>1</v>
      </c>
      <c r="J52" s="318">
        <f>IF(N52&gt;0,1,0)</f>
        <v>1</v>
      </c>
      <c r="K52" s="318">
        <f>H52*J52</f>
        <v>4.49</v>
      </c>
      <c r="L52" s="482" t="s">
        <v>3228</v>
      </c>
      <c r="M52" s="350" t="s">
        <v>3242</v>
      </c>
      <c r="N52" s="318">
        <v>1</v>
      </c>
      <c r="O52" s="328">
        <f>H52*N52</f>
        <v>4.49</v>
      </c>
      <c r="P52" s="337">
        <v>1</v>
      </c>
      <c r="Q52" s="337">
        <f t="shared" si="22"/>
        <v>0</v>
      </c>
      <c r="R52" s="337">
        <v>1</v>
      </c>
      <c r="S52" s="328">
        <f t="shared" si="24"/>
        <v>4.49</v>
      </c>
      <c r="T52" s="319" t="s">
        <v>3328</v>
      </c>
    </row>
    <row r="53" spans="1:20">
      <c r="A53" s="318"/>
      <c r="B53" s="319"/>
      <c r="C53" s="318"/>
      <c r="D53" s="318"/>
      <c r="E53" s="319"/>
      <c r="F53" s="319"/>
      <c r="G53" s="318" t="s">
        <v>494</v>
      </c>
      <c r="H53" s="328">
        <v>4.49</v>
      </c>
      <c r="I53" s="318">
        <v>1</v>
      </c>
      <c r="J53" s="318">
        <f>IF(N53&gt;0,1,0)</f>
        <v>1</v>
      </c>
      <c r="K53" s="318">
        <f>H53*J53</f>
        <v>4.49</v>
      </c>
      <c r="L53" s="482" t="s">
        <v>3173</v>
      </c>
      <c r="M53" s="350" t="s">
        <v>2945</v>
      </c>
      <c r="N53" s="318">
        <v>1</v>
      </c>
      <c r="O53" s="328">
        <f>H53*N53</f>
        <v>4.49</v>
      </c>
      <c r="P53" s="337">
        <v>1</v>
      </c>
      <c r="Q53" s="337">
        <f t="shared" si="22"/>
        <v>0</v>
      </c>
      <c r="R53" s="337">
        <v>1</v>
      </c>
      <c r="S53" s="328">
        <f t="shared" si="24"/>
        <v>4.49</v>
      </c>
      <c r="T53" s="319" t="s">
        <v>3328</v>
      </c>
    </row>
    <row r="54" spans="1:20">
      <c r="A54" s="318"/>
      <c r="B54" s="319"/>
      <c r="C54" s="318"/>
      <c r="D54" s="318"/>
      <c r="E54" s="319"/>
      <c r="F54" s="319"/>
      <c r="G54" s="318"/>
      <c r="H54" s="318"/>
      <c r="I54" s="318"/>
      <c r="J54" s="382" t="s">
        <v>389</v>
      </c>
      <c r="K54" s="331">
        <f>SUM(K50:K53)</f>
        <v>17.96</v>
      </c>
      <c r="L54" s="318"/>
      <c r="M54" s="318"/>
      <c r="N54" s="382" t="s">
        <v>389</v>
      </c>
      <c r="O54" s="331">
        <f>SUM(O50:O53)</f>
        <v>17.96</v>
      </c>
      <c r="P54" s="382" t="s">
        <v>389</v>
      </c>
      <c r="Q54" s="382"/>
      <c r="R54" s="382"/>
      <c r="S54" s="331">
        <f>SUM(S50:S53)</f>
        <v>17.96</v>
      </c>
      <c r="T54" s="319"/>
    </row>
    <row r="55" spans="1:20" ht="6.75" customHeight="1">
      <c r="A55" s="316"/>
      <c r="B55" s="317"/>
      <c r="C55" s="316"/>
      <c r="D55" s="316"/>
      <c r="E55" s="317"/>
      <c r="F55" s="317"/>
      <c r="G55" s="316"/>
      <c r="H55" s="316"/>
      <c r="I55" s="316"/>
      <c r="J55" s="316"/>
      <c r="K55" s="316"/>
      <c r="L55" s="316"/>
      <c r="M55" s="316"/>
      <c r="N55" s="316"/>
      <c r="O55" s="332"/>
      <c r="P55" s="316"/>
      <c r="Q55" s="316"/>
      <c r="R55" s="316"/>
      <c r="S55" s="332"/>
      <c r="T55" s="317"/>
    </row>
    <row r="56" spans="1:20" ht="15" customHeight="1">
      <c r="A56" s="318">
        <v>8</v>
      </c>
      <c r="B56" s="319" t="s">
        <v>383</v>
      </c>
      <c r="C56" s="318">
        <v>900</v>
      </c>
      <c r="D56" s="318">
        <v>13</v>
      </c>
      <c r="E56" s="319">
        <v>1</v>
      </c>
      <c r="F56" s="319"/>
      <c r="G56" s="318" t="s">
        <v>495</v>
      </c>
      <c r="H56" s="328">
        <f>4.49</f>
        <v>4.49</v>
      </c>
      <c r="I56" s="318">
        <v>1</v>
      </c>
      <c r="J56" s="318">
        <f>IF(N56&gt;0,1,0)</f>
        <v>1</v>
      </c>
      <c r="K56" s="318">
        <f>H56*J56</f>
        <v>4.49</v>
      </c>
      <c r="L56" s="598" t="s">
        <v>3223</v>
      </c>
      <c r="M56" s="350" t="s">
        <v>2945</v>
      </c>
      <c r="N56" s="318">
        <v>1</v>
      </c>
      <c r="O56" s="328">
        <f>H56*N56</f>
        <v>4.49</v>
      </c>
      <c r="P56" s="337">
        <v>1</v>
      </c>
      <c r="Q56" s="337">
        <f t="shared" ref="Q56:Q59" si="25">R56-P56</f>
        <v>0</v>
      </c>
      <c r="R56" s="337">
        <v>1</v>
      </c>
      <c r="S56" s="328">
        <f t="shared" ref="S56" si="26">H56*R56</f>
        <v>4.49</v>
      </c>
      <c r="T56" s="319" t="s">
        <v>3329</v>
      </c>
    </row>
    <row r="57" spans="1:20">
      <c r="A57" s="318"/>
      <c r="B57" s="319"/>
      <c r="C57" s="318"/>
      <c r="D57" s="318"/>
      <c r="E57" s="319"/>
      <c r="F57" s="319"/>
      <c r="G57" s="318" t="s">
        <v>496</v>
      </c>
      <c r="H57" s="328">
        <f>4.49</f>
        <v>4.49</v>
      </c>
      <c r="I57" s="318">
        <v>1</v>
      </c>
      <c r="J57" s="318">
        <f>IF(N57&gt;0,1,0)</f>
        <v>1</v>
      </c>
      <c r="K57" s="318">
        <f>H57*J57</f>
        <v>4.49</v>
      </c>
      <c r="L57" s="481" t="s">
        <v>3177</v>
      </c>
      <c r="M57" s="350" t="s">
        <v>2945</v>
      </c>
      <c r="N57" s="318">
        <v>1</v>
      </c>
      <c r="O57" s="328">
        <f>H57*N57</f>
        <v>4.49</v>
      </c>
      <c r="P57" s="337">
        <v>1</v>
      </c>
      <c r="Q57" s="337">
        <f t="shared" si="25"/>
        <v>0</v>
      </c>
      <c r="R57" s="337">
        <v>1</v>
      </c>
      <c r="S57" s="328">
        <f t="shared" ref="S57:S59" si="27">H57*R57</f>
        <v>4.49</v>
      </c>
      <c r="T57" s="319" t="s">
        <v>3329</v>
      </c>
    </row>
    <row r="58" spans="1:20">
      <c r="A58" s="318"/>
      <c r="B58" s="319"/>
      <c r="C58" s="318"/>
      <c r="D58" s="318"/>
      <c r="E58" s="319"/>
      <c r="F58" s="319"/>
      <c r="G58" s="318" t="s">
        <v>497</v>
      </c>
      <c r="H58" s="328">
        <f>4.49</f>
        <v>4.49</v>
      </c>
      <c r="I58" s="318">
        <v>1</v>
      </c>
      <c r="J58" s="318">
        <v>1</v>
      </c>
      <c r="K58" s="318">
        <f>H58*J58</f>
        <v>4.49</v>
      </c>
      <c r="L58" s="350" t="s">
        <v>3182</v>
      </c>
      <c r="M58" s="318"/>
      <c r="N58" s="318">
        <v>1</v>
      </c>
      <c r="O58" s="328">
        <f>H58*N58</f>
        <v>4.49</v>
      </c>
      <c r="P58" s="337">
        <v>1</v>
      </c>
      <c r="Q58" s="337">
        <f t="shared" si="25"/>
        <v>0</v>
      </c>
      <c r="R58" s="337">
        <v>1</v>
      </c>
      <c r="S58" s="328">
        <f t="shared" si="27"/>
        <v>4.49</v>
      </c>
      <c r="T58" s="319" t="s">
        <v>3329</v>
      </c>
    </row>
    <row r="59" spans="1:20">
      <c r="A59" s="318"/>
      <c r="B59" s="319"/>
      <c r="C59" s="318"/>
      <c r="D59" s="318"/>
      <c r="E59" s="319"/>
      <c r="F59" s="319"/>
      <c r="G59" s="318" t="s">
        <v>498</v>
      </c>
      <c r="H59" s="328">
        <f>4.49</f>
        <v>4.49</v>
      </c>
      <c r="I59" s="318">
        <v>1</v>
      </c>
      <c r="J59" s="318">
        <f>IF(N59&gt;0,1,0)</f>
        <v>1</v>
      </c>
      <c r="K59" s="318">
        <f>H59*J59</f>
        <v>4.49</v>
      </c>
      <c r="L59" s="350" t="s">
        <v>3176</v>
      </c>
      <c r="M59" s="318"/>
      <c r="N59" s="318">
        <v>1</v>
      </c>
      <c r="O59" s="328">
        <f>H59*N59</f>
        <v>4.49</v>
      </c>
      <c r="P59" s="337">
        <v>1</v>
      </c>
      <c r="Q59" s="337">
        <f t="shared" si="25"/>
        <v>0</v>
      </c>
      <c r="R59" s="337">
        <v>1</v>
      </c>
      <c r="S59" s="328">
        <f t="shared" si="27"/>
        <v>4.49</v>
      </c>
      <c r="T59" s="319" t="s">
        <v>3329</v>
      </c>
    </row>
    <row r="60" spans="1:20">
      <c r="A60" s="318"/>
      <c r="B60" s="319"/>
      <c r="C60" s="318"/>
      <c r="D60" s="318"/>
      <c r="E60" s="319"/>
      <c r="F60" s="319"/>
      <c r="G60" s="318"/>
      <c r="H60" s="318"/>
      <c r="I60" s="318"/>
      <c r="J60" s="382" t="s">
        <v>389</v>
      </c>
      <c r="K60" s="331">
        <f>SUM(K56:K59)</f>
        <v>17.96</v>
      </c>
      <c r="L60" s="318"/>
      <c r="M60" s="318"/>
      <c r="N60" s="382" t="s">
        <v>389</v>
      </c>
      <c r="O60" s="331">
        <f>SUM(O56:O59)</f>
        <v>17.96</v>
      </c>
      <c r="P60" s="382" t="s">
        <v>389</v>
      </c>
      <c r="Q60" s="382"/>
      <c r="R60" s="382"/>
      <c r="S60" s="331">
        <f>SUM(S56:S59)</f>
        <v>17.96</v>
      </c>
      <c r="T60" s="319"/>
    </row>
    <row r="61" spans="1:20" ht="6.75" customHeight="1">
      <c r="A61" s="316"/>
      <c r="B61" s="317"/>
      <c r="C61" s="316"/>
      <c r="D61" s="316"/>
      <c r="E61" s="317"/>
      <c r="F61" s="317"/>
      <c r="G61" s="316"/>
      <c r="H61" s="316"/>
      <c r="I61" s="316"/>
      <c r="J61" s="316"/>
      <c r="K61" s="316"/>
      <c r="L61" s="316"/>
      <c r="M61" s="316"/>
      <c r="N61" s="316"/>
      <c r="O61" s="332"/>
      <c r="P61" s="316"/>
      <c r="Q61" s="316"/>
      <c r="R61" s="316"/>
      <c r="S61" s="332"/>
      <c r="T61" s="317"/>
    </row>
    <row r="62" spans="1:20">
      <c r="A62" s="318">
        <v>9</v>
      </c>
      <c r="B62" s="319" t="s">
        <v>383</v>
      </c>
      <c r="C62" s="318">
        <v>900</v>
      </c>
      <c r="D62" s="318">
        <v>14</v>
      </c>
      <c r="E62" s="319">
        <v>1</v>
      </c>
      <c r="F62" s="319"/>
      <c r="G62" s="318" t="s">
        <v>499</v>
      </c>
      <c r="H62" s="328">
        <v>4.49</v>
      </c>
      <c r="I62" s="318">
        <v>1</v>
      </c>
      <c r="J62" s="318">
        <v>1</v>
      </c>
      <c r="K62" s="318">
        <f>H62*J62</f>
        <v>4.49</v>
      </c>
      <c r="L62" s="350" t="s">
        <v>3205</v>
      </c>
      <c r="M62" s="318"/>
      <c r="N62" s="318">
        <v>1</v>
      </c>
      <c r="O62" s="328">
        <f>H62*N62</f>
        <v>4.49</v>
      </c>
      <c r="P62" s="337">
        <v>1</v>
      </c>
      <c r="Q62" s="337">
        <f t="shared" ref="Q62:Q65" si="28">R62-P62</f>
        <v>0</v>
      </c>
      <c r="R62" s="337">
        <v>1</v>
      </c>
      <c r="S62" s="328">
        <f t="shared" ref="S62" si="29">H62*R62</f>
        <v>4.49</v>
      </c>
      <c r="T62" s="319" t="s">
        <v>3432</v>
      </c>
    </row>
    <row r="63" spans="1:20">
      <c r="A63" s="318"/>
      <c r="B63" s="319"/>
      <c r="C63" s="318"/>
      <c r="D63" s="318"/>
      <c r="E63" s="319"/>
      <c r="F63" s="319"/>
      <c r="G63" s="318" t="s">
        <v>500</v>
      </c>
      <c r="H63" s="328">
        <v>4.49</v>
      </c>
      <c r="I63" s="318">
        <v>1</v>
      </c>
      <c r="J63" s="318">
        <v>1</v>
      </c>
      <c r="K63" s="318">
        <f>H63*J63</f>
        <v>4.49</v>
      </c>
      <c r="L63" s="350" t="s">
        <v>3205</v>
      </c>
      <c r="M63" s="318"/>
      <c r="N63" s="318">
        <v>1</v>
      </c>
      <c r="O63" s="328">
        <f>H63*N63</f>
        <v>4.49</v>
      </c>
      <c r="P63" s="337">
        <v>1</v>
      </c>
      <c r="Q63" s="337">
        <f t="shared" si="28"/>
        <v>0</v>
      </c>
      <c r="R63" s="337">
        <v>1</v>
      </c>
      <c r="S63" s="328">
        <f t="shared" ref="S63:S65" si="30">H63*R63</f>
        <v>4.49</v>
      </c>
      <c r="T63" s="319" t="s">
        <v>3432</v>
      </c>
    </row>
    <row r="64" spans="1:20">
      <c r="A64" s="318"/>
      <c r="B64" s="319"/>
      <c r="C64" s="318"/>
      <c r="D64" s="318"/>
      <c r="E64" s="319"/>
      <c r="F64" s="319"/>
      <c r="G64" s="318" t="s">
        <v>501</v>
      </c>
      <c r="H64" s="328">
        <v>4.49</v>
      </c>
      <c r="I64" s="318">
        <v>1</v>
      </c>
      <c r="J64" s="318">
        <v>1</v>
      </c>
      <c r="K64" s="318">
        <f>H64*J64</f>
        <v>4.49</v>
      </c>
      <c r="L64" s="350" t="s">
        <v>3205</v>
      </c>
      <c r="M64" s="318"/>
      <c r="N64" s="318">
        <v>1</v>
      </c>
      <c r="O64" s="328">
        <f>H64*N64</f>
        <v>4.49</v>
      </c>
      <c r="P64" s="337">
        <v>1</v>
      </c>
      <c r="Q64" s="337">
        <f t="shared" si="28"/>
        <v>0</v>
      </c>
      <c r="R64" s="337">
        <v>1</v>
      </c>
      <c r="S64" s="328">
        <f t="shared" si="30"/>
        <v>4.49</v>
      </c>
      <c r="T64" s="319" t="s">
        <v>3432</v>
      </c>
    </row>
    <row r="65" spans="1:20">
      <c r="A65" s="318"/>
      <c r="B65" s="319"/>
      <c r="C65" s="318"/>
      <c r="D65" s="318"/>
      <c r="E65" s="319"/>
      <c r="F65" s="319"/>
      <c r="G65" s="318" t="s">
        <v>502</v>
      </c>
      <c r="H65" s="328">
        <v>4.49</v>
      </c>
      <c r="I65" s="318">
        <v>1</v>
      </c>
      <c r="J65" s="318">
        <v>1</v>
      </c>
      <c r="K65" s="318">
        <f>H65*J65</f>
        <v>4.49</v>
      </c>
      <c r="L65" s="350" t="s">
        <v>3205</v>
      </c>
      <c r="M65" s="318"/>
      <c r="N65" s="318">
        <v>1</v>
      </c>
      <c r="O65" s="328">
        <f>H65*N65</f>
        <v>4.49</v>
      </c>
      <c r="P65" s="337">
        <v>1</v>
      </c>
      <c r="Q65" s="337">
        <f t="shared" si="28"/>
        <v>0</v>
      </c>
      <c r="R65" s="337">
        <v>1</v>
      </c>
      <c r="S65" s="328">
        <f t="shared" si="30"/>
        <v>4.49</v>
      </c>
      <c r="T65" s="319" t="s">
        <v>3432</v>
      </c>
    </row>
    <row r="66" spans="1:20">
      <c r="A66" s="318"/>
      <c r="B66" s="319"/>
      <c r="C66" s="318"/>
      <c r="D66" s="318"/>
      <c r="E66" s="319"/>
      <c r="F66" s="319"/>
      <c r="G66" s="318"/>
      <c r="H66" s="318"/>
      <c r="I66" s="318"/>
      <c r="J66" s="382" t="s">
        <v>389</v>
      </c>
      <c r="K66" s="331">
        <f>SUM(K62:K65)</f>
        <v>17.96</v>
      </c>
      <c r="L66" s="318"/>
      <c r="M66" s="318"/>
      <c r="N66" s="382" t="s">
        <v>389</v>
      </c>
      <c r="O66" s="331">
        <f>SUM(O62:O65)</f>
        <v>17.96</v>
      </c>
      <c r="P66" s="382" t="s">
        <v>389</v>
      </c>
      <c r="Q66" s="382"/>
      <c r="R66" s="382"/>
      <c r="S66" s="331">
        <f>SUM(S62:S65)</f>
        <v>17.96</v>
      </c>
      <c r="T66" s="319"/>
    </row>
    <row r="67" spans="1:20" ht="6.75" customHeight="1">
      <c r="A67" s="316"/>
      <c r="B67" s="317"/>
      <c r="C67" s="316"/>
      <c r="D67" s="316"/>
      <c r="E67" s="317"/>
      <c r="F67" s="317"/>
      <c r="G67" s="316"/>
      <c r="H67" s="316"/>
      <c r="I67" s="316"/>
      <c r="J67" s="316"/>
      <c r="K67" s="316"/>
      <c r="L67" s="316"/>
      <c r="M67" s="316"/>
      <c r="N67" s="316"/>
      <c r="O67" s="332"/>
      <c r="P67" s="316"/>
      <c r="Q67" s="316"/>
      <c r="R67" s="316"/>
      <c r="S67" s="332"/>
      <c r="T67" s="317"/>
    </row>
    <row r="68" spans="1:20">
      <c r="A68" s="318">
        <v>10</v>
      </c>
      <c r="B68" s="319" t="s">
        <v>383</v>
      </c>
      <c r="C68" s="318">
        <v>900</v>
      </c>
      <c r="D68" s="318">
        <v>15</v>
      </c>
      <c r="E68" s="319">
        <v>1</v>
      </c>
      <c r="F68" s="319"/>
      <c r="G68" s="318" t="s">
        <v>503</v>
      </c>
      <c r="H68" s="328">
        <f>4.49</f>
        <v>4.49</v>
      </c>
      <c r="I68" s="318">
        <v>1</v>
      </c>
      <c r="J68" s="318">
        <v>1</v>
      </c>
      <c r="K68" s="318">
        <f>H68*J68</f>
        <v>4.49</v>
      </c>
      <c r="L68" s="350" t="s">
        <v>3208</v>
      </c>
      <c r="M68" s="318"/>
      <c r="N68" s="318">
        <v>1</v>
      </c>
      <c r="O68" s="328">
        <f>H68*N68</f>
        <v>4.49</v>
      </c>
      <c r="P68" s="337">
        <v>1</v>
      </c>
      <c r="Q68" s="337">
        <f t="shared" ref="Q68:Q71" si="31">R68-P68</f>
        <v>0</v>
      </c>
      <c r="R68" s="337">
        <v>1</v>
      </c>
      <c r="S68" s="328">
        <f t="shared" ref="S68" si="32">H68*R68</f>
        <v>4.49</v>
      </c>
      <c r="T68" s="319" t="s">
        <v>3435</v>
      </c>
    </row>
    <row r="69" spans="1:20">
      <c r="A69" s="318"/>
      <c r="B69" s="319"/>
      <c r="C69" s="318"/>
      <c r="D69" s="318"/>
      <c r="E69" s="319"/>
      <c r="F69" s="319"/>
      <c r="G69" s="318" t="s">
        <v>504</v>
      </c>
      <c r="H69" s="328">
        <f>4.49</f>
        <v>4.49</v>
      </c>
      <c r="I69" s="318">
        <v>1</v>
      </c>
      <c r="J69" s="318">
        <v>1</v>
      </c>
      <c r="K69" s="318">
        <f>H69*J69</f>
        <v>4.49</v>
      </c>
      <c r="L69" s="350" t="s">
        <v>3208</v>
      </c>
      <c r="M69" s="318"/>
      <c r="N69" s="318">
        <v>1</v>
      </c>
      <c r="O69" s="328">
        <f>H69*N69</f>
        <v>4.49</v>
      </c>
      <c r="P69" s="337">
        <v>1</v>
      </c>
      <c r="Q69" s="337">
        <f t="shared" si="31"/>
        <v>0</v>
      </c>
      <c r="R69" s="337">
        <v>1</v>
      </c>
      <c r="S69" s="328">
        <f t="shared" ref="S69:S71" si="33">H69*R69</f>
        <v>4.49</v>
      </c>
      <c r="T69" s="319" t="s">
        <v>3435</v>
      </c>
    </row>
    <row r="70" spans="1:20">
      <c r="A70" s="318"/>
      <c r="B70" s="319"/>
      <c r="C70" s="318"/>
      <c r="D70" s="318"/>
      <c r="E70" s="319"/>
      <c r="F70" s="319"/>
      <c r="G70" s="318" t="s">
        <v>505</v>
      </c>
      <c r="H70" s="328">
        <f>4.49</f>
        <v>4.49</v>
      </c>
      <c r="I70" s="318">
        <v>1</v>
      </c>
      <c r="J70" s="318">
        <v>1</v>
      </c>
      <c r="K70" s="318">
        <f>H70*J70</f>
        <v>4.49</v>
      </c>
      <c r="L70" s="350" t="s">
        <v>3207</v>
      </c>
      <c r="M70" s="318"/>
      <c r="N70" s="318">
        <v>1</v>
      </c>
      <c r="O70" s="328">
        <f>H70*N70</f>
        <v>4.49</v>
      </c>
      <c r="P70" s="337">
        <v>1</v>
      </c>
      <c r="Q70" s="337">
        <f t="shared" si="31"/>
        <v>0</v>
      </c>
      <c r="R70" s="337">
        <v>1</v>
      </c>
      <c r="S70" s="328">
        <f t="shared" si="33"/>
        <v>4.49</v>
      </c>
      <c r="T70" s="319" t="s">
        <v>3435</v>
      </c>
    </row>
    <row r="71" spans="1:20">
      <c r="A71" s="318"/>
      <c r="B71" s="319"/>
      <c r="C71" s="318"/>
      <c r="D71" s="318"/>
      <c r="E71" s="319"/>
      <c r="F71" s="319"/>
      <c r="G71" s="318" t="s">
        <v>506</v>
      </c>
      <c r="H71" s="328">
        <f>4.49</f>
        <v>4.49</v>
      </c>
      <c r="I71" s="318">
        <v>1</v>
      </c>
      <c r="J71" s="318">
        <v>1</v>
      </c>
      <c r="K71" s="318">
        <f>H71*J71</f>
        <v>4.49</v>
      </c>
      <c r="L71" s="350" t="s">
        <v>3207</v>
      </c>
      <c r="M71" s="318"/>
      <c r="N71" s="318">
        <v>1</v>
      </c>
      <c r="O71" s="328">
        <f>H71*N71</f>
        <v>4.49</v>
      </c>
      <c r="P71" s="337">
        <v>1</v>
      </c>
      <c r="Q71" s="337">
        <f t="shared" si="31"/>
        <v>0</v>
      </c>
      <c r="R71" s="337">
        <v>1</v>
      </c>
      <c r="S71" s="328">
        <f t="shared" si="33"/>
        <v>4.49</v>
      </c>
      <c r="T71" s="319" t="s">
        <v>3435</v>
      </c>
    </row>
    <row r="72" spans="1:20">
      <c r="A72" s="318"/>
      <c r="B72" s="319"/>
      <c r="C72" s="318"/>
      <c r="D72" s="318"/>
      <c r="E72" s="319"/>
      <c r="F72" s="319"/>
      <c r="G72" s="318"/>
      <c r="H72" s="318"/>
      <c r="I72" s="318"/>
      <c r="J72" s="382" t="s">
        <v>389</v>
      </c>
      <c r="K72" s="331">
        <f>SUM(K68:K71)</f>
        <v>17.96</v>
      </c>
      <c r="L72" s="318"/>
      <c r="M72" s="318"/>
      <c r="N72" s="382" t="s">
        <v>389</v>
      </c>
      <c r="O72" s="331">
        <f>SUM(O68:O71)</f>
        <v>17.96</v>
      </c>
      <c r="P72" s="382" t="s">
        <v>389</v>
      </c>
      <c r="Q72" s="382"/>
      <c r="R72" s="382"/>
      <c r="S72" s="331">
        <f>SUM(S68:S71)</f>
        <v>17.96</v>
      </c>
      <c r="T72" s="319"/>
    </row>
    <row r="73" spans="1:20" ht="6.75" customHeight="1">
      <c r="A73" s="316"/>
      <c r="B73" s="317"/>
      <c r="C73" s="316"/>
      <c r="D73" s="316"/>
      <c r="E73" s="317"/>
      <c r="F73" s="317"/>
      <c r="G73" s="316"/>
      <c r="H73" s="316"/>
      <c r="I73" s="316"/>
      <c r="J73" s="316"/>
      <c r="K73" s="316"/>
      <c r="L73" s="316"/>
      <c r="M73" s="316"/>
      <c r="N73" s="316"/>
      <c r="O73" s="332"/>
      <c r="P73" s="316"/>
      <c r="Q73" s="316"/>
      <c r="R73" s="316"/>
      <c r="S73" s="332"/>
      <c r="T73" s="317"/>
    </row>
    <row r="74" spans="1:20">
      <c r="A74" s="318">
        <v>11</v>
      </c>
      <c r="B74" s="319" t="s">
        <v>383</v>
      </c>
      <c r="C74" s="318">
        <v>900</v>
      </c>
      <c r="D74" s="318">
        <v>16</v>
      </c>
      <c r="E74" s="319">
        <v>1</v>
      </c>
      <c r="F74" s="319"/>
      <c r="G74" s="318" t="s">
        <v>507</v>
      </c>
      <c r="H74" s="328">
        <v>4.49</v>
      </c>
      <c r="I74" s="318">
        <v>1</v>
      </c>
      <c r="J74" s="318">
        <v>1</v>
      </c>
      <c r="K74" s="318">
        <f>H74*J74</f>
        <v>4.49</v>
      </c>
      <c r="L74" s="318">
        <v>2521</v>
      </c>
      <c r="M74" s="318"/>
      <c r="N74" s="318">
        <v>1</v>
      </c>
      <c r="O74" s="328">
        <f>H74*N74</f>
        <v>4.49</v>
      </c>
      <c r="P74" s="337">
        <v>1</v>
      </c>
      <c r="Q74" s="337">
        <f t="shared" ref="Q74:Q77" si="34">R74-P74</f>
        <v>0</v>
      </c>
      <c r="R74" s="337">
        <v>1</v>
      </c>
      <c r="S74" s="328">
        <f t="shared" ref="S74" si="35">H74*R74</f>
        <v>4.49</v>
      </c>
      <c r="T74" s="319" t="s">
        <v>3331</v>
      </c>
    </row>
    <row r="75" spans="1:20">
      <c r="A75" s="318"/>
      <c r="B75" s="319"/>
      <c r="C75" s="318"/>
      <c r="D75" s="318"/>
      <c r="E75" s="319"/>
      <c r="F75" s="319"/>
      <c r="G75" s="318" t="s">
        <v>508</v>
      </c>
      <c r="H75" s="328">
        <v>4.49</v>
      </c>
      <c r="I75" s="318">
        <v>1</v>
      </c>
      <c r="J75" s="318">
        <v>1</v>
      </c>
      <c r="K75" s="318">
        <f>H75*J75</f>
        <v>4.49</v>
      </c>
      <c r="L75" s="318">
        <v>2521</v>
      </c>
      <c r="M75" s="318"/>
      <c r="N75" s="318">
        <v>1</v>
      </c>
      <c r="O75" s="328">
        <f>H75*N75</f>
        <v>4.49</v>
      </c>
      <c r="P75" s="337">
        <v>1</v>
      </c>
      <c r="Q75" s="337">
        <f t="shared" si="34"/>
        <v>0</v>
      </c>
      <c r="R75" s="337">
        <v>1</v>
      </c>
      <c r="S75" s="328">
        <f t="shared" ref="S75:S77" si="36">H75*R75</f>
        <v>4.49</v>
      </c>
      <c r="T75" s="319" t="s">
        <v>3331</v>
      </c>
    </row>
    <row r="76" spans="1:20">
      <c r="A76" s="318"/>
      <c r="B76" s="319"/>
      <c r="C76" s="318"/>
      <c r="D76" s="318"/>
      <c r="E76" s="319"/>
      <c r="F76" s="319"/>
      <c r="G76" s="318" t="s">
        <v>509</v>
      </c>
      <c r="H76" s="328">
        <v>4.49</v>
      </c>
      <c r="I76" s="318">
        <v>1</v>
      </c>
      <c r="J76" s="318">
        <v>1</v>
      </c>
      <c r="K76" s="318">
        <f>H76*J76</f>
        <v>4.49</v>
      </c>
      <c r="L76" s="318">
        <v>2521</v>
      </c>
      <c r="M76" s="318"/>
      <c r="N76" s="318">
        <v>1</v>
      </c>
      <c r="O76" s="328">
        <f>H76*N76</f>
        <v>4.49</v>
      </c>
      <c r="P76" s="337">
        <v>1</v>
      </c>
      <c r="Q76" s="337">
        <f t="shared" si="34"/>
        <v>0</v>
      </c>
      <c r="R76" s="337">
        <v>1</v>
      </c>
      <c r="S76" s="328">
        <f t="shared" si="36"/>
        <v>4.49</v>
      </c>
      <c r="T76" s="319" t="s">
        <v>3331</v>
      </c>
    </row>
    <row r="77" spans="1:20">
      <c r="A77" s="318"/>
      <c r="B77" s="319"/>
      <c r="C77" s="318"/>
      <c r="D77" s="318"/>
      <c r="E77" s="319"/>
      <c r="F77" s="319"/>
      <c r="G77" s="318" t="s">
        <v>510</v>
      </c>
      <c r="H77" s="328">
        <v>4.49</v>
      </c>
      <c r="I77" s="318">
        <v>1</v>
      </c>
      <c r="J77" s="318">
        <v>1</v>
      </c>
      <c r="K77" s="318">
        <f>H77*J77</f>
        <v>4.49</v>
      </c>
      <c r="L77" s="318">
        <v>2531</v>
      </c>
      <c r="M77" s="350" t="s">
        <v>3238</v>
      </c>
      <c r="N77" s="318">
        <v>1</v>
      </c>
      <c r="O77" s="328">
        <f>H77*N77</f>
        <v>4.49</v>
      </c>
      <c r="P77" s="337">
        <v>1</v>
      </c>
      <c r="Q77" s="337">
        <f t="shared" si="34"/>
        <v>0</v>
      </c>
      <c r="R77" s="337">
        <v>1</v>
      </c>
      <c r="S77" s="328">
        <f t="shared" si="36"/>
        <v>4.49</v>
      </c>
      <c r="T77" s="319" t="s">
        <v>3331</v>
      </c>
    </row>
    <row r="78" spans="1:20">
      <c r="A78" s="318"/>
      <c r="B78" s="319"/>
      <c r="C78" s="318"/>
      <c r="D78" s="318"/>
      <c r="E78" s="319"/>
      <c r="F78" s="319"/>
      <c r="G78" s="318"/>
      <c r="H78" s="318"/>
      <c r="I78" s="318"/>
      <c r="J78" s="382" t="s">
        <v>389</v>
      </c>
      <c r="K78" s="331">
        <f>SUM(K74:K77)</f>
        <v>17.96</v>
      </c>
      <c r="L78" s="318"/>
      <c r="M78" s="318"/>
      <c r="N78" s="382" t="s">
        <v>389</v>
      </c>
      <c r="O78" s="331">
        <f>SUM(O74:O77)</f>
        <v>17.96</v>
      </c>
      <c r="P78" s="382" t="s">
        <v>389</v>
      </c>
      <c r="Q78" s="382"/>
      <c r="R78" s="382"/>
      <c r="S78" s="331">
        <f>SUM(S74:S77)</f>
        <v>17.96</v>
      </c>
      <c r="T78" s="319"/>
    </row>
    <row r="79" spans="1:20" ht="6.75" customHeight="1">
      <c r="A79" s="316"/>
      <c r="B79" s="317"/>
      <c r="C79" s="316"/>
      <c r="D79" s="316"/>
      <c r="E79" s="317"/>
      <c r="F79" s="317"/>
      <c r="G79" s="316"/>
      <c r="H79" s="316"/>
      <c r="I79" s="316"/>
      <c r="J79" s="316"/>
      <c r="K79" s="316"/>
      <c r="L79" s="316"/>
      <c r="M79" s="316"/>
      <c r="N79" s="316"/>
      <c r="O79" s="332"/>
      <c r="P79" s="316"/>
      <c r="Q79" s="316"/>
      <c r="R79" s="316"/>
      <c r="S79" s="332"/>
      <c r="T79" s="317"/>
    </row>
    <row r="80" spans="1:20">
      <c r="A80" s="318">
        <v>12</v>
      </c>
      <c r="B80" s="319" t="s">
        <v>383</v>
      </c>
      <c r="C80" s="318">
        <v>900</v>
      </c>
      <c r="D80" s="318">
        <v>17</v>
      </c>
      <c r="E80" s="319">
        <v>1</v>
      </c>
      <c r="F80" s="319"/>
      <c r="G80" s="318" t="s">
        <v>511</v>
      </c>
      <c r="H80" s="328">
        <f>4.49</f>
        <v>4.49</v>
      </c>
      <c r="I80" s="318">
        <v>1</v>
      </c>
      <c r="J80" s="318">
        <v>1</v>
      </c>
      <c r="K80" s="318">
        <f>H80*J80</f>
        <v>4.49</v>
      </c>
      <c r="L80" s="318">
        <v>2524</v>
      </c>
      <c r="M80" s="350" t="s">
        <v>3238</v>
      </c>
      <c r="N80" s="318">
        <v>1</v>
      </c>
      <c r="O80" s="328">
        <f>H80*N80</f>
        <v>4.49</v>
      </c>
      <c r="P80" s="337">
        <v>1</v>
      </c>
      <c r="Q80" s="337">
        <f t="shared" ref="Q80:Q83" si="37">R80-P80</f>
        <v>0</v>
      </c>
      <c r="R80" s="337">
        <v>1</v>
      </c>
      <c r="S80" s="328">
        <f t="shared" ref="S80" si="38">H80*R80</f>
        <v>4.49</v>
      </c>
      <c r="T80" s="319" t="s">
        <v>3439</v>
      </c>
    </row>
    <row r="81" spans="1:20">
      <c r="A81" s="318"/>
      <c r="B81" s="319"/>
      <c r="C81" s="318"/>
      <c r="D81" s="318"/>
      <c r="E81" s="319"/>
      <c r="F81" s="319"/>
      <c r="G81" s="318" t="s">
        <v>512</v>
      </c>
      <c r="H81" s="328">
        <f>4.49</f>
        <v>4.49</v>
      </c>
      <c r="I81" s="318">
        <v>1</v>
      </c>
      <c r="J81" s="318">
        <v>1</v>
      </c>
      <c r="K81" s="318">
        <f>H81*J81</f>
        <v>4.49</v>
      </c>
      <c r="L81" s="318">
        <v>2524</v>
      </c>
      <c r="M81" s="350" t="s">
        <v>3238</v>
      </c>
      <c r="N81" s="318">
        <v>1</v>
      </c>
      <c r="O81" s="328">
        <f>H81*N81</f>
        <v>4.49</v>
      </c>
      <c r="P81" s="337">
        <v>1</v>
      </c>
      <c r="Q81" s="337">
        <f t="shared" si="37"/>
        <v>0</v>
      </c>
      <c r="R81" s="337">
        <v>1</v>
      </c>
      <c r="S81" s="328">
        <f t="shared" ref="S81:S83" si="39">H81*R81</f>
        <v>4.49</v>
      </c>
      <c r="T81" s="319" t="s">
        <v>3439</v>
      </c>
    </row>
    <row r="82" spans="1:20">
      <c r="A82" s="318"/>
      <c r="B82" s="319"/>
      <c r="C82" s="318"/>
      <c r="D82" s="318"/>
      <c r="E82" s="319"/>
      <c r="F82" s="319"/>
      <c r="G82" s="318" t="s">
        <v>513</v>
      </c>
      <c r="H82" s="328">
        <f>4.49</f>
        <v>4.49</v>
      </c>
      <c r="I82" s="318">
        <v>1</v>
      </c>
      <c r="J82" s="318">
        <v>1</v>
      </c>
      <c r="K82" s="318">
        <f>H82*J82</f>
        <v>4.49</v>
      </c>
      <c r="L82" s="318">
        <v>2524</v>
      </c>
      <c r="M82" s="350" t="s">
        <v>3238</v>
      </c>
      <c r="N82" s="318">
        <v>1</v>
      </c>
      <c r="O82" s="328">
        <f>H82*N82</f>
        <v>4.49</v>
      </c>
      <c r="P82" s="337">
        <v>1</v>
      </c>
      <c r="Q82" s="337">
        <f t="shared" si="37"/>
        <v>0</v>
      </c>
      <c r="R82" s="337">
        <v>1</v>
      </c>
      <c r="S82" s="328">
        <f t="shared" si="39"/>
        <v>4.49</v>
      </c>
      <c r="T82" s="319" t="s">
        <v>3439</v>
      </c>
    </row>
    <row r="83" spans="1:20">
      <c r="A83" s="318"/>
      <c r="B83" s="319"/>
      <c r="C83" s="318"/>
      <c r="D83" s="318"/>
      <c r="E83" s="319"/>
      <c r="F83" s="319"/>
      <c r="G83" s="318" t="s">
        <v>514</v>
      </c>
      <c r="H83" s="328">
        <f>4.49</f>
        <v>4.49</v>
      </c>
      <c r="I83" s="318">
        <v>1</v>
      </c>
      <c r="J83" s="318">
        <v>1</v>
      </c>
      <c r="K83" s="318">
        <f>H83*J83</f>
        <v>4.49</v>
      </c>
      <c r="L83" s="350" t="s">
        <v>3220</v>
      </c>
      <c r="M83" s="350" t="s">
        <v>3238</v>
      </c>
      <c r="N83" s="318">
        <v>1</v>
      </c>
      <c r="O83" s="328">
        <f>H83*N83</f>
        <v>4.49</v>
      </c>
      <c r="P83" s="337">
        <v>1</v>
      </c>
      <c r="Q83" s="337">
        <f t="shared" si="37"/>
        <v>0</v>
      </c>
      <c r="R83" s="337">
        <v>1</v>
      </c>
      <c r="S83" s="328">
        <f t="shared" si="39"/>
        <v>4.49</v>
      </c>
      <c r="T83" s="319" t="s">
        <v>3439</v>
      </c>
    </row>
    <row r="84" spans="1:20">
      <c r="A84" s="318"/>
      <c r="B84" s="319"/>
      <c r="C84" s="318"/>
      <c r="D84" s="318"/>
      <c r="E84" s="319"/>
      <c r="F84" s="319"/>
      <c r="G84" s="318"/>
      <c r="H84" s="318"/>
      <c r="I84" s="318"/>
      <c r="J84" s="382" t="s">
        <v>389</v>
      </c>
      <c r="K84" s="331">
        <f>SUM(K80:K83)</f>
        <v>17.96</v>
      </c>
      <c r="L84" s="318"/>
      <c r="M84" s="318"/>
      <c r="N84" s="382" t="s">
        <v>389</v>
      </c>
      <c r="O84" s="331">
        <f>SUM(O80:O83)</f>
        <v>17.96</v>
      </c>
      <c r="P84" s="382" t="s">
        <v>389</v>
      </c>
      <c r="Q84" s="382"/>
      <c r="R84" s="382"/>
      <c r="S84" s="331">
        <f>SUM(S80:S83)</f>
        <v>17.96</v>
      </c>
      <c r="T84" s="319"/>
    </row>
    <row r="85" spans="1:20" ht="6.75" customHeight="1">
      <c r="A85" s="316"/>
      <c r="B85" s="317"/>
      <c r="C85" s="316"/>
      <c r="D85" s="316"/>
      <c r="E85" s="317"/>
      <c r="F85" s="317"/>
      <c r="G85" s="316"/>
      <c r="H85" s="316"/>
      <c r="I85" s="316"/>
      <c r="J85" s="316"/>
      <c r="K85" s="316"/>
      <c r="L85" s="316"/>
      <c r="M85" s="316"/>
      <c r="N85" s="316"/>
      <c r="O85" s="332"/>
      <c r="P85" s="316"/>
      <c r="Q85" s="316"/>
      <c r="R85" s="316"/>
      <c r="S85" s="332"/>
      <c r="T85" s="317"/>
    </row>
    <row r="86" spans="1:20">
      <c r="A86" s="318">
        <v>13</v>
      </c>
      <c r="B86" s="319" t="s">
        <v>383</v>
      </c>
      <c r="C86" s="318">
        <v>900</v>
      </c>
      <c r="D86" s="318">
        <v>19</v>
      </c>
      <c r="E86" s="319">
        <v>1</v>
      </c>
      <c r="F86" s="319"/>
      <c r="G86" s="318" t="s">
        <v>515</v>
      </c>
      <c r="H86" s="328">
        <f>4.49</f>
        <v>4.49</v>
      </c>
      <c r="I86" s="318">
        <v>1</v>
      </c>
      <c r="J86" s="318">
        <v>1</v>
      </c>
      <c r="K86" s="318">
        <f>H86*J86</f>
        <v>4.49</v>
      </c>
      <c r="L86" s="350" t="s">
        <v>3221</v>
      </c>
      <c r="M86" s="350" t="s">
        <v>3237</v>
      </c>
      <c r="N86" s="318">
        <v>1</v>
      </c>
      <c r="O86" s="328">
        <f>H86*N86</f>
        <v>4.49</v>
      </c>
      <c r="P86" s="337">
        <v>1</v>
      </c>
      <c r="Q86" s="337">
        <f t="shared" ref="Q86:Q89" si="40">R86-P86</f>
        <v>0</v>
      </c>
      <c r="R86" s="337">
        <v>1</v>
      </c>
      <c r="S86" s="328">
        <f t="shared" ref="S86" si="41">H86*R86</f>
        <v>4.49</v>
      </c>
      <c r="T86" s="319" t="s">
        <v>3447</v>
      </c>
    </row>
    <row r="87" spans="1:20">
      <c r="A87" s="318"/>
      <c r="B87" s="319"/>
      <c r="C87" s="318"/>
      <c r="D87" s="318"/>
      <c r="E87" s="319"/>
      <c r="F87" s="319"/>
      <c r="G87" s="318" t="s">
        <v>516</v>
      </c>
      <c r="H87" s="328">
        <f>4.49</f>
        <v>4.49</v>
      </c>
      <c r="I87" s="318">
        <v>1</v>
      </c>
      <c r="J87" s="318">
        <v>1</v>
      </c>
      <c r="K87" s="318">
        <f>H87*J87</f>
        <v>4.49</v>
      </c>
      <c r="L87" s="350" t="s">
        <v>3221</v>
      </c>
      <c r="M87" s="350" t="s">
        <v>3237</v>
      </c>
      <c r="N87" s="318">
        <v>1</v>
      </c>
      <c r="O87" s="328">
        <f>H87*N87</f>
        <v>4.49</v>
      </c>
      <c r="P87" s="337">
        <v>1</v>
      </c>
      <c r="Q87" s="337">
        <f t="shared" si="40"/>
        <v>0</v>
      </c>
      <c r="R87" s="337">
        <v>1</v>
      </c>
      <c r="S87" s="328">
        <f t="shared" ref="S87:S89" si="42">H87*R87</f>
        <v>4.49</v>
      </c>
      <c r="T87" s="319" t="s">
        <v>3447</v>
      </c>
    </row>
    <row r="88" spans="1:20">
      <c r="A88" s="318"/>
      <c r="B88" s="319"/>
      <c r="C88" s="318"/>
      <c r="D88" s="318"/>
      <c r="E88" s="319"/>
      <c r="F88" s="319"/>
      <c r="G88" s="318" t="s">
        <v>517</v>
      </c>
      <c r="H88" s="328">
        <f>4.49</f>
        <v>4.49</v>
      </c>
      <c r="I88" s="318">
        <v>1</v>
      </c>
      <c r="J88" s="318">
        <v>1</v>
      </c>
      <c r="K88" s="318">
        <f>H88*J88</f>
        <v>4.49</v>
      </c>
      <c r="L88" s="350" t="s">
        <v>3221</v>
      </c>
      <c r="M88" s="350" t="s">
        <v>3237</v>
      </c>
      <c r="N88" s="318">
        <v>1</v>
      </c>
      <c r="O88" s="328">
        <f>H88*N88</f>
        <v>4.49</v>
      </c>
      <c r="P88" s="337">
        <v>1</v>
      </c>
      <c r="Q88" s="337">
        <f t="shared" si="40"/>
        <v>0</v>
      </c>
      <c r="R88" s="337">
        <v>1</v>
      </c>
      <c r="S88" s="328">
        <f t="shared" si="42"/>
        <v>4.49</v>
      </c>
      <c r="T88" s="319" t="s">
        <v>3447</v>
      </c>
    </row>
    <row r="89" spans="1:20">
      <c r="A89" s="318"/>
      <c r="B89" s="319"/>
      <c r="C89" s="318"/>
      <c r="D89" s="318"/>
      <c r="E89" s="319"/>
      <c r="F89" s="319"/>
      <c r="G89" s="318" t="s">
        <v>518</v>
      </c>
      <c r="H89" s="328">
        <f>4.49</f>
        <v>4.49</v>
      </c>
      <c r="I89" s="318">
        <v>1</v>
      </c>
      <c r="J89" s="318">
        <v>1</v>
      </c>
      <c r="K89" s="318">
        <f>H89*J89</f>
        <v>4.49</v>
      </c>
      <c r="L89" s="350" t="s">
        <v>3233</v>
      </c>
      <c r="M89" s="350" t="s">
        <v>3239</v>
      </c>
      <c r="N89" s="318">
        <v>1</v>
      </c>
      <c r="O89" s="328">
        <f>H89*N89</f>
        <v>4.49</v>
      </c>
      <c r="P89" s="337">
        <v>1</v>
      </c>
      <c r="Q89" s="337">
        <f t="shared" si="40"/>
        <v>0</v>
      </c>
      <c r="R89" s="337">
        <v>1</v>
      </c>
      <c r="S89" s="328">
        <f t="shared" si="42"/>
        <v>4.49</v>
      </c>
      <c r="T89" s="319" t="s">
        <v>3447</v>
      </c>
    </row>
    <row r="90" spans="1:20">
      <c r="A90" s="318"/>
      <c r="B90" s="319"/>
      <c r="C90" s="318"/>
      <c r="D90" s="318"/>
      <c r="E90" s="319"/>
      <c r="F90" s="319"/>
      <c r="G90" s="318"/>
      <c r="H90" s="318"/>
      <c r="I90" s="318"/>
      <c r="J90" s="382" t="s">
        <v>389</v>
      </c>
      <c r="K90" s="331">
        <f>SUM(K86:K89)</f>
        <v>17.96</v>
      </c>
      <c r="L90" s="318"/>
      <c r="M90" s="318"/>
      <c r="N90" s="382" t="s">
        <v>389</v>
      </c>
      <c r="O90" s="331">
        <f>SUM(O86:O89)</f>
        <v>17.96</v>
      </c>
      <c r="P90" s="382" t="s">
        <v>389</v>
      </c>
      <c r="Q90" s="382"/>
      <c r="R90" s="382"/>
      <c r="S90" s="331">
        <f>SUM(S86:S89)</f>
        <v>17.96</v>
      </c>
      <c r="T90" s="319"/>
    </row>
    <row r="91" spans="1:20" ht="6.75" customHeight="1">
      <c r="A91" s="316"/>
      <c r="B91" s="317"/>
      <c r="C91" s="316"/>
      <c r="D91" s="316"/>
      <c r="E91" s="317"/>
      <c r="F91" s="317"/>
      <c r="G91" s="316"/>
      <c r="H91" s="316"/>
      <c r="I91" s="316"/>
      <c r="J91" s="316"/>
      <c r="K91" s="316"/>
      <c r="L91" s="316"/>
      <c r="M91" s="316"/>
      <c r="N91" s="316"/>
      <c r="O91" s="332"/>
      <c r="P91" s="316"/>
      <c r="Q91" s="316"/>
      <c r="R91" s="316"/>
      <c r="S91" s="332"/>
      <c r="T91" s="317"/>
    </row>
    <row r="92" spans="1:20">
      <c r="A92" s="318">
        <v>14</v>
      </c>
      <c r="B92" s="319" t="s">
        <v>383</v>
      </c>
      <c r="C92" s="318">
        <v>900</v>
      </c>
      <c r="D92" s="318">
        <v>20</v>
      </c>
      <c r="E92" s="319">
        <v>1</v>
      </c>
      <c r="F92" s="319"/>
      <c r="G92" s="318" t="s">
        <v>519</v>
      </c>
      <c r="H92" s="328">
        <v>4.49</v>
      </c>
      <c r="I92" s="318">
        <v>1</v>
      </c>
      <c r="J92" s="318">
        <v>1</v>
      </c>
      <c r="K92" s="318">
        <f>H92*J92</f>
        <v>4.49</v>
      </c>
      <c r="L92" s="350" t="s">
        <v>3224</v>
      </c>
      <c r="M92" s="350" t="s">
        <v>3237</v>
      </c>
      <c r="N92" s="318">
        <v>1</v>
      </c>
      <c r="O92" s="328">
        <f>H92*N92</f>
        <v>4.49</v>
      </c>
      <c r="P92" s="337">
        <v>1</v>
      </c>
      <c r="Q92" s="337">
        <f t="shared" ref="Q92:Q95" si="43">R92-P92</f>
        <v>0</v>
      </c>
      <c r="R92" s="337">
        <v>1</v>
      </c>
      <c r="S92" s="328">
        <f t="shared" ref="S92" si="44">H92*R92</f>
        <v>4.49</v>
      </c>
      <c r="T92" s="319" t="s">
        <v>3451</v>
      </c>
    </row>
    <row r="93" spans="1:20">
      <c r="A93" s="318"/>
      <c r="B93" s="319"/>
      <c r="C93" s="318"/>
      <c r="D93" s="318"/>
      <c r="E93" s="319"/>
      <c r="F93" s="319"/>
      <c r="G93" s="318" t="s">
        <v>520</v>
      </c>
      <c r="H93" s="328">
        <v>4.49</v>
      </c>
      <c r="I93" s="318">
        <v>1</v>
      </c>
      <c r="J93" s="318">
        <v>1</v>
      </c>
      <c r="K93" s="318">
        <f>H93*J93</f>
        <v>4.49</v>
      </c>
      <c r="L93" s="350" t="s">
        <v>3222</v>
      </c>
      <c r="M93" s="350" t="s">
        <v>3237</v>
      </c>
      <c r="N93" s="318">
        <v>1</v>
      </c>
      <c r="O93" s="328">
        <f>H93*N93</f>
        <v>4.49</v>
      </c>
      <c r="P93" s="337">
        <v>1</v>
      </c>
      <c r="Q93" s="337">
        <f t="shared" si="43"/>
        <v>0</v>
      </c>
      <c r="R93" s="337">
        <v>1</v>
      </c>
      <c r="S93" s="328">
        <f t="shared" ref="S93:S95" si="45">H93*R93</f>
        <v>4.49</v>
      </c>
      <c r="T93" s="319" t="s">
        <v>3451</v>
      </c>
    </row>
    <row r="94" spans="1:20">
      <c r="A94" s="318"/>
      <c r="B94" s="319"/>
      <c r="C94" s="318"/>
      <c r="D94" s="318"/>
      <c r="E94" s="319"/>
      <c r="F94" s="319"/>
      <c r="G94" s="318" t="s">
        <v>521</v>
      </c>
      <c r="H94" s="328">
        <v>4.49</v>
      </c>
      <c r="I94" s="318">
        <v>1</v>
      </c>
      <c r="J94" s="318">
        <v>1</v>
      </c>
      <c r="K94" s="318">
        <f>H94*J94</f>
        <v>4.49</v>
      </c>
      <c r="L94" s="350" t="s">
        <v>3224</v>
      </c>
      <c r="M94" s="350" t="s">
        <v>3237</v>
      </c>
      <c r="N94" s="318">
        <v>1</v>
      </c>
      <c r="O94" s="328">
        <f>H94*N94</f>
        <v>4.49</v>
      </c>
      <c r="P94" s="337">
        <v>1</v>
      </c>
      <c r="Q94" s="337">
        <f t="shared" si="43"/>
        <v>0</v>
      </c>
      <c r="R94" s="337">
        <v>1</v>
      </c>
      <c r="S94" s="328">
        <f t="shared" si="45"/>
        <v>4.49</v>
      </c>
      <c r="T94" s="319" t="s">
        <v>3451</v>
      </c>
    </row>
    <row r="95" spans="1:20">
      <c r="A95" s="318"/>
      <c r="B95" s="319"/>
      <c r="C95" s="318"/>
      <c r="D95" s="318"/>
      <c r="E95" s="319"/>
      <c r="F95" s="319"/>
      <c r="G95" s="318" t="s">
        <v>522</v>
      </c>
      <c r="H95" s="328">
        <v>4.49</v>
      </c>
      <c r="I95" s="318">
        <v>1</v>
      </c>
      <c r="J95" s="318">
        <v>1</v>
      </c>
      <c r="K95" s="318">
        <f>H95*J95</f>
        <v>4.49</v>
      </c>
      <c r="L95" s="350" t="s">
        <v>3224</v>
      </c>
      <c r="M95" s="350" t="s">
        <v>3237</v>
      </c>
      <c r="N95" s="318">
        <v>1</v>
      </c>
      <c r="O95" s="328">
        <f>H95*N95</f>
        <v>4.49</v>
      </c>
      <c r="P95" s="337">
        <v>1</v>
      </c>
      <c r="Q95" s="337">
        <f t="shared" si="43"/>
        <v>0</v>
      </c>
      <c r="R95" s="337">
        <v>1</v>
      </c>
      <c r="S95" s="328">
        <f t="shared" si="45"/>
        <v>4.49</v>
      </c>
      <c r="T95" s="319" t="s">
        <v>3451</v>
      </c>
    </row>
    <row r="96" spans="1:20">
      <c r="A96" s="318"/>
      <c r="B96" s="319"/>
      <c r="C96" s="318"/>
      <c r="D96" s="318"/>
      <c r="E96" s="319"/>
      <c r="F96" s="319"/>
      <c r="G96" s="318"/>
      <c r="H96" s="318"/>
      <c r="I96" s="318"/>
      <c r="J96" s="382" t="s">
        <v>389</v>
      </c>
      <c r="K96" s="331">
        <f>SUM(K92:K95)</f>
        <v>17.96</v>
      </c>
      <c r="L96" s="318"/>
      <c r="M96" s="318"/>
      <c r="N96" s="382" t="s">
        <v>389</v>
      </c>
      <c r="O96" s="331">
        <f>SUM(O92:O95)</f>
        <v>17.96</v>
      </c>
      <c r="P96" s="382" t="s">
        <v>389</v>
      </c>
      <c r="Q96" s="382"/>
      <c r="R96" s="382"/>
      <c r="S96" s="331">
        <f>SUM(S92:S95)</f>
        <v>17.96</v>
      </c>
      <c r="T96" s="319"/>
    </row>
    <row r="97" spans="1:20" ht="6.75" customHeight="1">
      <c r="A97" s="316"/>
      <c r="B97" s="317"/>
      <c r="C97" s="316"/>
      <c r="D97" s="316"/>
      <c r="E97" s="317"/>
      <c r="F97" s="317"/>
      <c r="G97" s="316"/>
      <c r="H97" s="316"/>
      <c r="I97" s="316"/>
      <c r="J97" s="316"/>
      <c r="K97" s="316"/>
      <c r="L97" s="316"/>
      <c r="M97" s="316"/>
      <c r="N97" s="316"/>
      <c r="O97" s="332"/>
      <c r="P97" s="316"/>
      <c r="Q97" s="316"/>
      <c r="R97" s="316"/>
      <c r="S97" s="332"/>
      <c r="T97" s="317"/>
    </row>
    <row r="98" spans="1:20">
      <c r="A98" s="318">
        <v>15</v>
      </c>
      <c r="B98" s="319" t="s">
        <v>383</v>
      </c>
      <c r="C98" s="318">
        <v>900</v>
      </c>
      <c r="D98" s="318">
        <v>21</v>
      </c>
      <c r="E98" s="319">
        <v>1</v>
      </c>
      <c r="F98" s="319"/>
      <c r="G98" s="318" t="s">
        <v>523</v>
      </c>
      <c r="H98" s="328">
        <f>4.49</f>
        <v>4.49</v>
      </c>
      <c r="I98" s="318">
        <v>1</v>
      </c>
      <c r="J98" s="318">
        <v>1</v>
      </c>
      <c r="K98" s="318">
        <f>H98*J98</f>
        <v>4.49</v>
      </c>
      <c r="L98" s="350" t="s">
        <v>3234</v>
      </c>
      <c r="M98" s="350" t="s">
        <v>3239</v>
      </c>
      <c r="N98" s="318">
        <v>1</v>
      </c>
      <c r="O98" s="328">
        <f>H98*N98</f>
        <v>4.49</v>
      </c>
      <c r="P98" s="337">
        <v>1</v>
      </c>
      <c r="Q98" s="337">
        <f t="shared" ref="Q98:Q101" si="46">R98-P98</f>
        <v>0</v>
      </c>
      <c r="R98" s="337">
        <v>1</v>
      </c>
      <c r="S98" s="328">
        <f t="shared" ref="S98" si="47">H98*R98</f>
        <v>4.49</v>
      </c>
      <c r="T98" s="319" t="s">
        <v>3453</v>
      </c>
    </row>
    <row r="99" spans="1:20">
      <c r="A99" s="318"/>
      <c r="B99" s="319"/>
      <c r="C99" s="318"/>
      <c r="D99" s="318"/>
      <c r="E99" s="319"/>
      <c r="F99" s="319"/>
      <c r="G99" s="318" t="s">
        <v>524</v>
      </c>
      <c r="H99" s="328">
        <f>4.49</f>
        <v>4.49</v>
      </c>
      <c r="I99" s="318">
        <v>1</v>
      </c>
      <c r="J99" s="318">
        <v>1</v>
      </c>
      <c r="K99" s="318">
        <f>H99*J99</f>
        <v>4.49</v>
      </c>
      <c r="L99" s="350" t="s">
        <v>3234</v>
      </c>
      <c r="M99" s="350" t="s">
        <v>3239</v>
      </c>
      <c r="N99" s="318">
        <v>1</v>
      </c>
      <c r="O99" s="328">
        <f>H99*N99</f>
        <v>4.49</v>
      </c>
      <c r="P99" s="337">
        <v>1</v>
      </c>
      <c r="Q99" s="337">
        <f t="shared" si="46"/>
        <v>0</v>
      </c>
      <c r="R99" s="337">
        <v>1</v>
      </c>
      <c r="S99" s="328">
        <f t="shared" ref="S99:S101" si="48">H99*R99</f>
        <v>4.49</v>
      </c>
      <c r="T99" s="319" t="s">
        <v>3453</v>
      </c>
    </row>
    <row r="100" spans="1:20">
      <c r="A100" s="318"/>
      <c r="B100" s="319"/>
      <c r="C100" s="318"/>
      <c r="D100" s="318"/>
      <c r="E100" s="319"/>
      <c r="F100" s="319"/>
      <c r="G100" s="318" t="s">
        <v>525</v>
      </c>
      <c r="H100" s="328">
        <f>4.49</f>
        <v>4.49</v>
      </c>
      <c r="I100" s="318">
        <v>1</v>
      </c>
      <c r="J100" s="318">
        <v>1</v>
      </c>
      <c r="K100" s="318">
        <f>H100*J100</f>
        <v>4.49</v>
      </c>
      <c r="L100" s="350" t="s">
        <v>3234</v>
      </c>
      <c r="M100" s="350" t="s">
        <v>3239</v>
      </c>
      <c r="N100" s="318">
        <v>1</v>
      </c>
      <c r="O100" s="328">
        <f>H100*N100</f>
        <v>4.49</v>
      </c>
      <c r="P100" s="337">
        <v>1</v>
      </c>
      <c r="Q100" s="337">
        <f t="shared" si="46"/>
        <v>0</v>
      </c>
      <c r="R100" s="337">
        <v>1</v>
      </c>
      <c r="S100" s="328">
        <f t="shared" si="48"/>
        <v>4.49</v>
      </c>
      <c r="T100" s="319" t="s">
        <v>3453</v>
      </c>
    </row>
    <row r="101" spans="1:20">
      <c r="A101" s="318"/>
      <c r="B101" s="319"/>
      <c r="C101" s="318"/>
      <c r="D101" s="318"/>
      <c r="E101" s="319"/>
      <c r="F101" s="319"/>
      <c r="G101" s="318" t="s">
        <v>526</v>
      </c>
      <c r="H101" s="328">
        <f>4.49</f>
        <v>4.49</v>
      </c>
      <c r="I101" s="318">
        <v>1</v>
      </c>
      <c r="J101" s="318">
        <v>1</v>
      </c>
      <c r="K101" s="318">
        <f>H101*J101</f>
        <v>4.49</v>
      </c>
      <c r="L101" s="350" t="s">
        <v>3234</v>
      </c>
      <c r="M101" s="350" t="s">
        <v>3239</v>
      </c>
      <c r="N101" s="318">
        <v>1</v>
      </c>
      <c r="O101" s="328">
        <f>H101*N101</f>
        <v>4.49</v>
      </c>
      <c r="P101" s="337">
        <v>1</v>
      </c>
      <c r="Q101" s="337">
        <f t="shared" si="46"/>
        <v>0</v>
      </c>
      <c r="R101" s="337">
        <v>1</v>
      </c>
      <c r="S101" s="328">
        <f t="shared" si="48"/>
        <v>4.49</v>
      </c>
      <c r="T101" s="319" t="s">
        <v>3453</v>
      </c>
    </row>
    <row r="102" spans="1:20">
      <c r="A102" s="318"/>
      <c r="B102" s="319"/>
      <c r="C102" s="318"/>
      <c r="D102" s="318"/>
      <c r="E102" s="319"/>
      <c r="F102" s="319"/>
      <c r="G102" s="318"/>
      <c r="H102" s="318"/>
      <c r="I102" s="318"/>
      <c r="J102" s="382" t="s">
        <v>389</v>
      </c>
      <c r="K102" s="331">
        <f>SUM(K98:K101)</f>
        <v>17.96</v>
      </c>
      <c r="L102" s="318"/>
      <c r="M102" s="318"/>
      <c r="N102" s="382" t="s">
        <v>389</v>
      </c>
      <c r="O102" s="331">
        <f>SUM(O98:O101)</f>
        <v>17.96</v>
      </c>
      <c r="P102" s="382" t="s">
        <v>389</v>
      </c>
      <c r="Q102" s="382"/>
      <c r="R102" s="382"/>
      <c r="S102" s="331">
        <f>SUM(S98:S101)</f>
        <v>17.96</v>
      </c>
      <c r="T102" s="319"/>
    </row>
    <row r="103" spans="1:20" ht="6.75" customHeight="1">
      <c r="A103" s="316"/>
      <c r="B103" s="317"/>
      <c r="C103" s="316"/>
      <c r="D103" s="316"/>
      <c r="E103" s="317"/>
      <c r="F103" s="317"/>
      <c r="G103" s="316"/>
      <c r="H103" s="316"/>
      <c r="I103" s="316"/>
      <c r="J103" s="316"/>
      <c r="K103" s="316"/>
      <c r="L103" s="316"/>
      <c r="M103" s="316"/>
      <c r="N103" s="316"/>
      <c r="O103" s="332"/>
      <c r="P103" s="316"/>
      <c r="Q103" s="316"/>
      <c r="R103" s="316"/>
      <c r="S103" s="332"/>
      <c r="T103" s="317"/>
    </row>
    <row r="104" spans="1:20">
      <c r="A104" s="318">
        <v>16</v>
      </c>
      <c r="B104" s="319" t="s">
        <v>383</v>
      </c>
      <c r="C104" s="318">
        <v>900</v>
      </c>
      <c r="D104" s="318">
        <v>22</v>
      </c>
      <c r="E104" s="319">
        <v>1</v>
      </c>
      <c r="F104" s="319"/>
      <c r="G104" s="318" t="s">
        <v>3135</v>
      </c>
      <c r="H104" s="328">
        <f>4.49</f>
        <v>4.49</v>
      </c>
      <c r="I104" s="318">
        <v>1</v>
      </c>
      <c r="J104" s="318">
        <v>1</v>
      </c>
      <c r="K104" s="318">
        <f>H104*J104</f>
        <v>4.49</v>
      </c>
      <c r="L104" s="350" t="s">
        <v>3226</v>
      </c>
      <c r="M104" s="350" t="s">
        <v>3237</v>
      </c>
      <c r="N104" s="318">
        <v>1</v>
      </c>
      <c r="O104" s="328">
        <f>H104*N104</f>
        <v>4.49</v>
      </c>
      <c r="P104" s="337">
        <v>1</v>
      </c>
      <c r="Q104" s="337">
        <f t="shared" ref="Q104:Q107" si="49">R104-P104</f>
        <v>0</v>
      </c>
      <c r="R104" s="337">
        <v>1</v>
      </c>
      <c r="S104" s="328">
        <f t="shared" ref="S104" si="50">H104*R104</f>
        <v>4.49</v>
      </c>
      <c r="T104" s="319" t="s">
        <v>3456</v>
      </c>
    </row>
    <row r="105" spans="1:20">
      <c r="A105" s="318"/>
      <c r="B105" s="319"/>
      <c r="C105" s="318"/>
      <c r="D105" s="318"/>
      <c r="E105" s="319"/>
      <c r="F105" s="319"/>
      <c r="G105" s="318" t="s">
        <v>3136</v>
      </c>
      <c r="H105" s="328">
        <f>4.49</f>
        <v>4.49</v>
      </c>
      <c r="I105" s="318">
        <v>1</v>
      </c>
      <c r="J105" s="318">
        <v>1</v>
      </c>
      <c r="K105" s="318">
        <f>H105*J105</f>
        <v>4.49</v>
      </c>
      <c r="L105" s="350" t="s">
        <v>3226</v>
      </c>
      <c r="M105" s="350" t="s">
        <v>3237</v>
      </c>
      <c r="N105" s="318">
        <v>1</v>
      </c>
      <c r="O105" s="328">
        <f>H105*N105</f>
        <v>4.49</v>
      </c>
      <c r="P105" s="337">
        <v>1</v>
      </c>
      <c r="Q105" s="337">
        <f t="shared" si="49"/>
        <v>0</v>
      </c>
      <c r="R105" s="337">
        <v>1</v>
      </c>
      <c r="S105" s="328">
        <f t="shared" ref="S105:S107" si="51">H105*R105</f>
        <v>4.49</v>
      </c>
      <c r="T105" s="319" t="s">
        <v>3456</v>
      </c>
    </row>
    <row r="106" spans="1:20">
      <c r="A106" s="318"/>
      <c r="B106" s="319"/>
      <c r="C106" s="318"/>
      <c r="D106" s="318"/>
      <c r="E106" s="319"/>
      <c r="F106" s="319"/>
      <c r="G106" s="318" t="s">
        <v>3137</v>
      </c>
      <c r="H106" s="328">
        <f>4.49</f>
        <v>4.49</v>
      </c>
      <c r="I106" s="318">
        <v>1</v>
      </c>
      <c r="J106" s="318">
        <v>1</v>
      </c>
      <c r="K106" s="318">
        <f>H106*J106</f>
        <v>4.49</v>
      </c>
      <c r="L106" s="350" t="s">
        <v>3226</v>
      </c>
      <c r="M106" s="350" t="s">
        <v>3237</v>
      </c>
      <c r="N106" s="318">
        <v>1</v>
      </c>
      <c r="O106" s="328">
        <f>H106*N106</f>
        <v>4.49</v>
      </c>
      <c r="P106" s="337">
        <v>1</v>
      </c>
      <c r="Q106" s="337">
        <f t="shared" si="49"/>
        <v>0</v>
      </c>
      <c r="R106" s="337">
        <v>1</v>
      </c>
      <c r="S106" s="328">
        <f t="shared" si="51"/>
        <v>4.49</v>
      </c>
      <c r="T106" s="319" t="s">
        <v>3456</v>
      </c>
    </row>
    <row r="107" spans="1:20">
      <c r="A107" s="318"/>
      <c r="B107" s="319"/>
      <c r="C107" s="318"/>
      <c r="D107" s="318"/>
      <c r="E107" s="319"/>
      <c r="F107" s="319"/>
      <c r="G107" s="318" t="s">
        <v>3138</v>
      </c>
      <c r="H107" s="328">
        <f>4.49</f>
        <v>4.49</v>
      </c>
      <c r="I107" s="318">
        <v>1</v>
      </c>
      <c r="J107" s="318">
        <v>1</v>
      </c>
      <c r="K107" s="318">
        <f>H107*J107</f>
        <v>4.49</v>
      </c>
      <c r="L107" s="350" t="s">
        <v>3227</v>
      </c>
      <c r="M107" s="350" t="s">
        <v>3240</v>
      </c>
      <c r="N107" s="318">
        <v>1</v>
      </c>
      <c r="O107" s="328">
        <f>H107*N107</f>
        <v>4.49</v>
      </c>
      <c r="P107" s="337">
        <v>1</v>
      </c>
      <c r="Q107" s="337">
        <f t="shared" si="49"/>
        <v>0</v>
      </c>
      <c r="R107" s="337">
        <v>1</v>
      </c>
      <c r="S107" s="328">
        <f t="shared" si="51"/>
        <v>4.49</v>
      </c>
      <c r="T107" s="319" t="s">
        <v>3456</v>
      </c>
    </row>
    <row r="108" spans="1:20">
      <c r="A108" s="318"/>
      <c r="B108" s="319"/>
      <c r="C108" s="318"/>
      <c r="D108" s="318"/>
      <c r="E108" s="319"/>
      <c r="F108" s="319"/>
      <c r="G108" s="318"/>
      <c r="H108" s="318"/>
      <c r="I108" s="318"/>
      <c r="J108" s="382" t="s">
        <v>389</v>
      </c>
      <c r="K108" s="331">
        <f>SUM(K104:K107)</f>
        <v>17.96</v>
      </c>
      <c r="L108" s="318"/>
      <c r="M108" s="318"/>
      <c r="N108" s="382" t="s">
        <v>389</v>
      </c>
      <c r="O108" s="331">
        <f>SUM(O104:O107)</f>
        <v>17.96</v>
      </c>
      <c r="P108" s="382" t="s">
        <v>389</v>
      </c>
      <c r="Q108" s="382"/>
      <c r="R108" s="382"/>
      <c r="S108" s="331">
        <f>SUM(S104:S107)</f>
        <v>17.96</v>
      </c>
      <c r="T108" s="319"/>
    </row>
    <row r="109" spans="1:20" ht="6.75" customHeight="1">
      <c r="A109" s="316"/>
      <c r="B109" s="317"/>
      <c r="C109" s="316"/>
      <c r="D109" s="316"/>
      <c r="E109" s="317"/>
      <c r="F109" s="317"/>
      <c r="G109" s="316"/>
      <c r="H109" s="316"/>
      <c r="I109" s="316"/>
      <c r="J109" s="316"/>
      <c r="K109" s="316"/>
      <c r="L109" s="316"/>
      <c r="M109" s="316"/>
      <c r="N109" s="316"/>
      <c r="O109" s="332"/>
      <c r="P109" s="316"/>
      <c r="Q109" s="316"/>
      <c r="R109" s="316"/>
      <c r="S109" s="332"/>
      <c r="T109" s="317"/>
    </row>
    <row r="110" spans="1:20">
      <c r="A110" s="318">
        <v>17</v>
      </c>
      <c r="B110" s="319" t="s">
        <v>383</v>
      </c>
      <c r="C110" s="318">
        <v>900</v>
      </c>
      <c r="D110" s="318">
        <v>23</v>
      </c>
      <c r="E110" s="319">
        <v>1</v>
      </c>
      <c r="F110" s="319"/>
      <c r="G110" s="318"/>
      <c r="H110" s="328"/>
      <c r="I110" s="318">
        <v>1</v>
      </c>
      <c r="J110" s="318"/>
      <c r="K110" s="318"/>
      <c r="L110" s="318"/>
      <c r="M110" s="318"/>
      <c r="N110" s="320"/>
      <c r="O110" s="329">
        <f>H110*N110</f>
        <v>0</v>
      </c>
      <c r="P110" s="330"/>
      <c r="Q110" s="330"/>
      <c r="R110" s="330"/>
      <c r="S110" s="329">
        <f>H110*P110</f>
        <v>0</v>
      </c>
      <c r="T110" s="319"/>
    </row>
    <row r="111" spans="1:20">
      <c r="A111" s="318"/>
      <c r="B111" s="319"/>
      <c r="C111" s="318"/>
      <c r="D111" s="318"/>
      <c r="E111" s="319"/>
      <c r="F111" s="319"/>
      <c r="G111" s="318"/>
      <c r="H111" s="328"/>
      <c r="I111" s="318">
        <v>1</v>
      </c>
      <c r="J111" s="318"/>
      <c r="K111" s="318"/>
      <c r="L111" s="318"/>
      <c r="M111" s="318"/>
      <c r="N111" s="320"/>
      <c r="O111" s="329">
        <f>H111*N111</f>
        <v>0</v>
      </c>
      <c r="P111" s="330"/>
      <c r="Q111" s="330"/>
      <c r="R111" s="330"/>
      <c r="S111" s="329">
        <f>H111*P111</f>
        <v>0</v>
      </c>
      <c r="T111" s="319"/>
    </row>
    <row r="112" spans="1:20">
      <c r="A112" s="318"/>
      <c r="B112" s="319"/>
      <c r="C112" s="318"/>
      <c r="D112" s="318"/>
      <c r="E112" s="319"/>
      <c r="F112" s="319"/>
      <c r="G112" s="318"/>
      <c r="H112" s="328"/>
      <c r="I112" s="318">
        <v>1</v>
      </c>
      <c r="J112" s="318"/>
      <c r="K112" s="318"/>
      <c r="L112" s="318"/>
      <c r="M112" s="318"/>
      <c r="N112" s="320"/>
      <c r="O112" s="329">
        <f>H112*N112</f>
        <v>0</v>
      </c>
      <c r="P112" s="330"/>
      <c r="Q112" s="330"/>
      <c r="R112" s="330"/>
      <c r="S112" s="329">
        <f>H112*P112</f>
        <v>0</v>
      </c>
      <c r="T112" s="319"/>
    </row>
    <row r="113" spans="1:20">
      <c r="A113" s="318"/>
      <c r="B113" s="319"/>
      <c r="C113" s="318"/>
      <c r="D113" s="318"/>
      <c r="E113" s="319"/>
      <c r="F113" s="319"/>
      <c r="G113" s="318"/>
      <c r="H113" s="328"/>
      <c r="I113" s="318">
        <v>1</v>
      </c>
      <c r="J113" s="318"/>
      <c r="K113" s="318"/>
      <c r="L113" s="318"/>
      <c r="M113" s="318"/>
      <c r="N113" s="320"/>
      <c r="O113" s="329">
        <f>H113*N113</f>
        <v>0</v>
      </c>
      <c r="P113" s="330"/>
      <c r="Q113" s="330"/>
      <c r="R113" s="330"/>
      <c r="S113" s="329">
        <f>H113*P113</f>
        <v>0</v>
      </c>
      <c r="T113" s="319"/>
    </row>
    <row r="114" spans="1:20">
      <c r="A114" s="318"/>
      <c r="B114" s="319"/>
      <c r="C114" s="318"/>
      <c r="D114" s="318"/>
      <c r="E114" s="319"/>
      <c r="F114" s="319"/>
      <c r="G114" s="318"/>
      <c r="H114" s="318"/>
      <c r="I114" s="318"/>
      <c r="J114" s="318"/>
      <c r="K114" s="318"/>
      <c r="L114" s="318"/>
      <c r="M114" s="318"/>
      <c r="N114" s="321" t="s">
        <v>389</v>
      </c>
      <c r="O114" s="331">
        <f>SUM(O110:O113)</f>
        <v>0</v>
      </c>
      <c r="P114" s="321" t="s">
        <v>389</v>
      </c>
      <c r="Q114" s="321"/>
      <c r="R114" s="321"/>
      <c r="S114" s="331">
        <f>SUM(S110:S113)</f>
        <v>0</v>
      </c>
      <c r="T114" s="319"/>
    </row>
    <row r="115" spans="1:20" ht="6.75" customHeight="1">
      <c r="A115" s="316"/>
      <c r="B115" s="317"/>
      <c r="C115" s="316"/>
      <c r="D115" s="316"/>
      <c r="E115" s="317"/>
      <c r="F115" s="317"/>
      <c r="G115" s="316"/>
      <c r="H115" s="316"/>
      <c r="I115" s="316"/>
      <c r="J115" s="316"/>
      <c r="K115" s="316"/>
      <c r="L115" s="316"/>
      <c r="M115" s="316"/>
      <c r="N115" s="316"/>
      <c r="O115" s="332"/>
      <c r="P115" s="316"/>
      <c r="Q115" s="316"/>
      <c r="R115" s="316"/>
      <c r="S115" s="332"/>
      <c r="T115" s="317"/>
    </row>
    <row r="116" spans="1:20">
      <c r="A116" s="318">
        <v>18</v>
      </c>
      <c r="B116" s="319" t="s">
        <v>383</v>
      </c>
      <c r="C116" s="318">
        <v>900</v>
      </c>
      <c r="D116" s="318">
        <v>24</v>
      </c>
      <c r="E116" s="319">
        <v>1</v>
      </c>
      <c r="F116" s="319"/>
      <c r="G116" s="318"/>
      <c r="H116" s="328"/>
      <c r="I116" s="318">
        <v>1</v>
      </c>
      <c r="J116" s="318"/>
      <c r="K116" s="318"/>
      <c r="L116" s="318"/>
      <c r="M116" s="318"/>
      <c r="N116" s="320"/>
      <c r="O116" s="329">
        <f>H116*N116</f>
        <v>0</v>
      </c>
      <c r="P116" s="330"/>
      <c r="Q116" s="330"/>
      <c r="R116" s="330"/>
      <c r="S116" s="329">
        <f>H116*P116</f>
        <v>0</v>
      </c>
      <c r="T116" s="319"/>
    </row>
    <row r="117" spans="1:20">
      <c r="A117" s="318"/>
      <c r="B117" s="319"/>
      <c r="C117" s="318"/>
      <c r="D117" s="318"/>
      <c r="E117" s="319"/>
      <c r="F117" s="319"/>
      <c r="G117" s="318"/>
      <c r="H117" s="328"/>
      <c r="I117" s="318">
        <v>1</v>
      </c>
      <c r="J117" s="318"/>
      <c r="K117" s="318"/>
      <c r="L117" s="318"/>
      <c r="M117" s="318"/>
      <c r="N117" s="320"/>
      <c r="O117" s="329">
        <f>H117*N117</f>
        <v>0</v>
      </c>
      <c r="P117" s="330"/>
      <c r="Q117" s="330"/>
      <c r="R117" s="330"/>
      <c r="S117" s="329">
        <f>H117*P117</f>
        <v>0</v>
      </c>
      <c r="T117" s="319"/>
    </row>
    <row r="118" spans="1:20">
      <c r="A118" s="318"/>
      <c r="B118" s="319"/>
      <c r="C118" s="318"/>
      <c r="D118" s="318"/>
      <c r="E118" s="319"/>
      <c r="F118" s="319"/>
      <c r="G118" s="318"/>
      <c r="H118" s="328"/>
      <c r="I118" s="318">
        <v>1</v>
      </c>
      <c r="J118" s="318"/>
      <c r="K118" s="318"/>
      <c r="L118" s="318"/>
      <c r="M118" s="318"/>
      <c r="N118" s="320"/>
      <c r="O118" s="329">
        <f>H118*N118</f>
        <v>0</v>
      </c>
      <c r="P118" s="330"/>
      <c r="Q118" s="330"/>
      <c r="R118" s="330"/>
      <c r="S118" s="329">
        <f>H118*P118</f>
        <v>0</v>
      </c>
      <c r="T118" s="319"/>
    </row>
    <row r="119" spans="1:20">
      <c r="A119" s="318"/>
      <c r="B119" s="319"/>
      <c r="C119" s="318"/>
      <c r="D119" s="318"/>
      <c r="E119" s="319"/>
      <c r="F119" s="319"/>
      <c r="G119" s="318"/>
      <c r="H119" s="328"/>
      <c r="I119" s="318">
        <v>1</v>
      </c>
      <c r="J119" s="318"/>
      <c r="K119" s="318"/>
      <c r="L119" s="318"/>
      <c r="M119" s="318"/>
      <c r="N119" s="320"/>
      <c r="O119" s="329">
        <f>H119*N119</f>
        <v>0</v>
      </c>
      <c r="P119" s="330"/>
      <c r="Q119" s="330"/>
      <c r="R119" s="330"/>
      <c r="S119" s="329">
        <f>H119*P119</f>
        <v>0</v>
      </c>
      <c r="T119" s="319"/>
    </row>
    <row r="120" spans="1:20">
      <c r="A120" s="318"/>
      <c r="B120" s="319"/>
      <c r="C120" s="318"/>
      <c r="D120" s="318"/>
      <c r="E120" s="319"/>
      <c r="F120" s="319"/>
      <c r="G120" s="318"/>
      <c r="H120" s="318"/>
      <c r="I120" s="318"/>
      <c r="J120" s="318"/>
      <c r="K120" s="318"/>
      <c r="L120" s="318"/>
      <c r="M120" s="318"/>
      <c r="N120" s="321" t="s">
        <v>389</v>
      </c>
      <c r="O120" s="331">
        <f>SUM(O116:O119)</f>
        <v>0</v>
      </c>
      <c r="P120" s="321" t="s">
        <v>389</v>
      </c>
      <c r="Q120" s="321"/>
      <c r="R120" s="321"/>
      <c r="S120" s="331">
        <f>SUM(S116:S119)</f>
        <v>0</v>
      </c>
      <c r="T120" s="319"/>
    </row>
    <row r="121" spans="1:20" ht="6.75" customHeight="1">
      <c r="A121" s="316"/>
      <c r="B121" s="317"/>
      <c r="C121" s="316"/>
      <c r="D121" s="316"/>
      <c r="E121" s="317"/>
      <c r="F121" s="317"/>
      <c r="G121" s="316"/>
      <c r="H121" s="316"/>
      <c r="I121" s="316"/>
      <c r="J121" s="316"/>
      <c r="K121" s="316"/>
      <c r="L121" s="316"/>
      <c r="M121" s="316"/>
      <c r="N121" s="316"/>
      <c r="O121" s="332"/>
      <c r="P121" s="316"/>
      <c r="Q121" s="316"/>
      <c r="R121" s="316"/>
      <c r="S121" s="332"/>
      <c r="T121" s="317"/>
    </row>
    <row r="122" spans="1:20">
      <c r="A122" s="318">
        <v>19</v>
      </c>
      <c r="B122" s="319" t="s">
        <v>383</v>
      </c>
      <c r="C122" s="318">
        <v>900</v>
      </c>
      <c r="D122" s="318">
        <v>25</v>
      </c>
      <c r="E122" s="319">
        <v>1</v>
      </c>
      <c r="F122" s="319"/>
      <c r="G122" s="318"/>
      <c r="H122" s="328"/>
      <c r="I122" s="318">
        <v>1</v>
      </c>
      <c r="J122" s="318"/>
      <c r="K122" s="318"/>
      <c r="L122" s="318"/>
      <c r="M122" s="318"/>
      <c r="N122" s="320"/>
      <c r="O122" s="329">
        <f>H122*N122</f>
        <v>0</v>
      </c>
      <c r="P122" s="330"/>
      <c r="Q122" s="330"/>
      <c r="R122" s="330"/>
      <c r="S122" s="329">
        <f>H122*P122</f>
        <v>0</v>
      </c>
      <c r="T122" s="319"/>
    </row>
    <row r="123" spans="1:20">
      <c r="A123" s="318"/>
      <c r="B123" s="319"/>
      <c r="C123" s="318"/>
      <c r="D123" s="318"/>
      <c r="E123" s="319"/>
      <c r="F123" s="319"/>
      <c r="G123" s="318"/>
      <c r="H123" s="328"/>
      <c r="I123" s="318">
        <v>1</v>
      </c>
      <c r="J123" s="318"/>
      <c r="K123" s="318"/>
      <c r="L123" s="318"/>
      <c r="M123" s="318"/>
      <c r="N123" s="320"/>
      <c r="O123" s="329">
        <f>H123*N123</f>
        <v>0</v>
      </c>
      <c r="P123" s="330"/>
      <c r="Q123" s="330"/>
      <c r="R123" s="330"/>
      <c r="S123" s="329">
        <f>H123*P123</f>
        <v>0</v>
      </c>
      <c r="T123" s="319"/>
    </row>
    <row r="124" spans="1:20">
      <c r="A124" s="318"/>
      <c r="B124" s="319"/>
      <c r="C124" s="318"/>
      <c r="D124" s="318"/>
      <c r="E124" s="319"/>
      <c r="F124" s="319"/>
      <c r="G124" s="318"/>
      <c r="H124" s="328"/>
      <c r="I124" s="318">
        <v>1</v>
      </c>
      <c r="J124" s="318"/>
      <c r="K124" s="318"/>
      <c r="L124" s="318"/>
      <c r="M124" s="318"/>
      <c r="N124" s="320"/>
      <c r="O124" s="329">
        <f>H124*N124</f>
        <v>0</v>
      </c>
      <c r="P124" s="330"/>
      <c r="Q124" s="330"/>
      <c r="R124" s="330"/>
      <c r="S124" s="329">
        <f>H124*P124</f>
        <v>0</v>
      </c>
      <c r="T124" s="319"/>
    </row>
    <row r="125" spans="1:20">
      <c r="A125" s="318"/>
      <c r="B125" s="319"/>
      <c r="C125" s="318"/>
      <c r="D125" s="318"/>
      <c r="E125" s="319"/>
      <c r="F125" s="319"/>
      <c r="G125" s="318"/>
      <c r="H125" s="328"/>
      <c r="I125" s="318">
        <v>1</v>
      </c>
      <c r="J125" s="318"/>
      <c r="K125" s="318"/>
      <c r="L125" s="318"/>
      <c r="M125" s="318"/>
      <c r="N125" s="320"/>
      <c r="O125" s="329">
        <f>H125*N125</f>
        <v>0</v>
      </c>
      <c r="P125" s="330"/>
      <c r="Q125" s="330"/>
      <c r="R125" s="330"/>
      <c r="S125" s="329">
        <f>H125*P125</f>
        <v>0</v>
      </c>
      <c r="T125" s="319"/>
    </row>
    <row r="126" spans="1:20">
      <c r="A126" s="318"/>
      <c r="B126" s="319"/>
      <c r="C126" s="318"/>
      <c r="D126" s="318"/>
      <c r="E126" s="319"/>
      <c r="F126" s="319"/>
      <c r="G126" s="318"/>
      <c r="H126" s="318"/>
      <c r="I126" s="318"/>
      <c r="J126" s="318"/>
      <c r="K126" s="318"/>
      <c r="L126" s="318"/>
      <c r="M126" s="318"/>
      <c r="N126" s="321" t="s">
        <v>389</v>
      </c>
      <c r="O126" s="331">
        <f>SUM(O122:O125)</f>
        <v>0</v>
      </c>
      <c r="P126" s="321" t="s">
        <v>389</v>
      </c>
      <c r="Q126" s="321"/>
      <c r="R126" s="321"/>
      <c r="S126" s="331">
        <f>SUM(S122:S125)</f>
        <v>0</v>
      </c>
      <c r="T126" s="319"/>
    </row>
    <row r="127" spans="1:20" ht="6.75" customHeight="1">
      <c r="A127" s="316"/>
      <c r="B127" s="317"/>
      <c r="C127" s="316"/>
      <c r="D127" s="316"/>
      <c r="E127" s="317"/>
      <c r="F127" s="317"/>
      <c r="G127" s="316"/>
      <c r="H127" s="316"/>
      <c r="I127" s="316"/>
      <c r="J127" s="316"/>
      <c r="K127" s="316"/>
      <c r="L127" s="316"/>
      <c r="M127" s="316"/>
      <c r="N127" s="316"/>
      <c r="O127" s="332"/>
      <c r="P127" s="316"/>
      <c r="Q127" s="316"/>
      <c r="R127" s="316"/>
      <c r="S127" s="332"/>
      <c r="T127" s="317"/>
    </row>
    <row r="128" spans="1:20">
      <c r="A128" s="318">
        <v>20</v>
      </c>
      <c r="B128" s="319" t="s">
        <v>383</v>
      </c>
      <c r="C128" s="318">
        <v>900</v>
      </c>
      <c r="D128" s="318">
        <v>26</v>
      </c>
      <c r="E128" s="319">
        <v>1</v>
      </c>
      <c r="F128" s="319"/>
      <c r="G128" s="318" t="s">
        <v>527</v>
      </c>
      <c r="H128" s="328">
        <v>4.49</v>
      </c>
      <c r="I128" s="318">
        <v>1</v>
      </c>
      <c r="J128" s="318">
        <v>1</v>
      </c>
      <c r="K128" s="318">
        <f>H128*J128</f>
        <v>4.49</v>
      </c>
      <c r="L128" s="350" t="s">
        <v>3230</v>
      </c>
      <c r="M128" s="350" t="s">
        <v>3242</v>
      </c>
      <c r="N128" s="318">
        <v>1</v>
      </c>
      <c r="O128" s="328">
        <f>H128*N128</f>
        <v>4.49</v>
      </c>
      <c r="P128" s="337">
        <v>1</v>
      </c>
      <c r="Q128" s="337">
        <f t="shared" ref="Q128:Q131" si="52">R128-P128</f>
        <v>0</v>
      </c>
      <c r="R128" s="337">
        <v>1</v>
      </c>
      <c r="S128" s="328">
        <f t="shared" ref="S128" si="53">H128*R128</f>
        <v>4.49</v>
      </c>
      <c r="T128" s="319"/>
    </row>
    <row r="129" spans="1:20">
      <c r="A129" s="318"/>
      <c r="B129" s="319"/>
      <c r="C129" s="318"/>
      <c r="D129" s="318"/>
      <c r="E129" s="319"/>
      <c r="F129" s="319"/>
      <c r="G129" s="318" t="s">
        <v>528</v>
      </c>
      <c r="H129" s="328">
        <v>4.49</v>
      </c>
      <c r="I129" s="318">
        <v>1</v>
      </c>
      <c r="J129" s="318">
        <v>1</v>
      </c>
      <c r="K129" s="318">
        <f>H129*J129</f>
        <v>4.49</v>
      </c>
      <c r="L129" s="350" t="s">
        <v>3230</v>
      </c>
      <c r="M129" s="350" t="s">
        <v>3242</v>
      </c>
      <c r="N129" s="318">
        <v>1</v>
      </c>
      <c r="O129" s="328">
        <f>H129*N129</f>
        <v>4.49</v>
      </c>
      <c r="P129" s="337">
        <v>1</v>
      </c>
      <c r="Q129" s="337">
        <f t="shared" si="52"/>
        <v>0</v>
      </c>
      <c r="R129" s="337">
        <v>1</v>
      </c>
      <c r="S129" s="328">
        <f t="shared" ref="S129:S131" si="54">H129*R129</f>
        <v>4.49</v>
      </c>
      <c r="T129" s="319"/>
    </row>
    <row r="130" spans="1:20">
      <c r="A130" s="318"/>
      <c r="B130" s="319"/>
      <c r="C130" s="318"/>
      <c r="D130" s="318"/>
      <c r="E130" s="319"/>
      <c r="F130" s="319"/>
      <c r="G130" s="318" t="s">
        <v>529</v>
      </c>
      <c r="H130" s="328">
        <v>4.49</v>
      </c>
      <c r="I130" s="318">
        <v>1</v>
      </c>
      <c r="J130" s="318">
        <v>1</v>
      </c>
      <c r="K130" s="318">
        <f>H130*J130</f>
        <v>4.49</v>
      </c>
      <c r="L130" s="350" t="s">
        <v>3281</v>
      </c>
      <c r="M130" s="350" t="s">
        <v>3248</v>
      </c>
      <c r="N130" s="318">
        <v>1</v>
      </c>
      <c r="O130" s="328">
        <f>H130*N130</f>
        <v>4.49</v>
      </c>
      <c r="P130" s="337">
        <v>1</v>
      </c>
      <c r="Q130" s="337">
        <f t="shared" si="52"/>
        <v>0</v>
      </c>
      <c r="R130" s="337">
        <v>1</v>
      </c>
      <c r="S130" s="328">
        <f t="shared" si="54"/>
        <v>4.49</v>
      </c>
      <c r="T130" s="319"/>
    </row>
    <row r="131" spans="1:20">
      <c r="A131" s="318"/>
      <c r="B131" s="319"/>
      <c r="C131" s="318"/>
      <c r="D131" s="318"/>
      <c r="E131" s="319"/>
      <c r="F131" s="319"/>
      <c r="G131" s="318" t="s">
        <v>530</v>
      </c>
      <c r="H131" s="328">
        <v>4.49</v>
      </c>
      <c r="I131" s="318">
        <v>1</v>
      </c>
      <c r="J131" s="318">
        <v>1</v>
      </c>
      <c r="K131" s="318">
        <f>H131*J131</f>
        <v>4.49</v>
      </c>
      <c r="L131" s="350" t="s">
        <v>3235</v>
      </c>
      <c r="M131" s="350" t="s">
        <v>3248</v>
      </c>
      <c r="N131" s="318">
        <v>1</v>
      </c>
      <c r="O131" s="328">
        <f>H131*N131</f>
        <v>4.49</v>
      </c>
      <c r="P131" s="337">
        <v>1</v>
      </c>
      <c r="Q131" s="337">
        <f t="shared" si="52"/>
        <v>0</v>
      </c>
      <c r="R131" s="337">
        <v>1</v>
      </c>
      <c r="S131" s="328">
        <f t="shared" si="54"/>
        <v>4.49</v>
      </c>
      <c r="T131" s="319"/>
    </row>
    <row r="132" spans="1:20">
      <c r="A132" s="318"/>
      <c r="B132" s="319"/>
      <c r="C132" s="318"/>
      <c r="D132" s="318"/>
      <c r="E132" s="319"/>
      <c r="F132" s="319"/>
      <c r="G132" s="318"/>
      <c r="H132" s="318"/>
      <c r="I132" s="318"/>
      <c r="J132" s="382" t="s">
        <v>389</v>
      </c>
      <c r="K132" s="331">
        <f>SUM(K128:K131)</f>
        <v>17.96</v>
      </c>
      <c r="L132" s="318"/>
      <c r="M132" s="318"/>
      <c r="N132" s="382" t="s">
        <v>389</v>
      </c>
      <c r="O132" s="331">
        <f>SUM(O128:O131)</f>
        <v>17.96</v>
      </c>
      <c r="P132" s="382" t="s">
        <v>389</v>
      </c>
      <c r="Q132" s="382"/>
      <c r="R132" s="382"/>
      <c r="S132" s="331">
        <f>SUM(S128:S131)</f>
        <v>17.96</v>
      </c>
      <c r="T132" s="319"/>
    </row>
    <row r="133" spans="1:20" ht="6.75" customHeight="1">
      <c r="A133" s="316"/>
      <c r="B133" s="317"/>
      <c r="C133" s="316"/>
      <c r="D133" s="316"/>
      <c r="E133" s="317"/>
      <c r="F133" s="317"/>
      <c r="G133" s="316"/>
      <c r="H133" s="316"/>
      <c r="I133" s="316"/>
      <c r="J133" s="316"/>
      <c r="K133" s="316"/>
      <c r="L133" s="316"/>
      <c r="M133" s="316"/>
      <c r="N133" s="316"/>
      <c r="O133" s="332"/>
      <c r="P133" s="316"/>
      <c r="Q133" s="316"/>
      <c r="R133" s="316"/>
      <c r="S133" s="332"/>
      <c r="T133" s="317"/>
    </row>
    <row r="134" spans="1:20">
      <c r="A134" s="318">
        <v>21</v>
      </c>
      <c r="B134" s="319" t="s">
        <v>383</v>
      </c>
      <c r="C134" s="318">
        <v>900</v>
      </c>
      <c r="D134" s="318">
        <v>27</v>
      </c>
      <c r="E134" s="319">
        <v>1</v>
      </c>
      <c r="F134" s="319"/>
      <c r="G134" s="318" t="s">
        <v>531</v>
      </c>
      <c r="H134" s="328">
        <v>4.49</v>
      </c>
      <c r="I134" s="318">
        <v>1</v>
      </c>
      <c r="J134" s="318">
        <v>1</v>
      </c>
      <c r="K134" s="318">
        <f>H134*J134</f>
        <v>4.49</v>
      </c>
      <c r="L134" s="350" t="s">
        <v>3253</v>
      </c>
      <c r="M134" s="350" t="s">
        <v>3248</v>
      </c>
      <c r="N134" s="318">
        <v>1</v>
      </c>
      <c r="O134" s="328">
        <f>H134*N134</f>
        <v>4.49</v>
      </c>
      <c r="P134" s="337">
        <v>1</v>
      </c>
      <c r="Q134" s="337">
        <f t="shared" ref="Q134:Q137" si="55">R134-P134</f>
        <v>0</v>
      </c>
      <c r="R134" s="337">
        <v>1</v>
      </c>
      <c r="S134" s="328">
        <f t="shared" ref="S134" si="56">H134*R134</f>
        <v>4.49</v>
      </c>
      <c r="T134" s="319"/>
    </row>
    <row r="135" spans="1:20">
      <c r="A135" s="318"/>
      <c r="B135" s="319"/>
      <c r="C135" s="318"/>
      <c r="D135" s="318"/>
      <c r="E135" s="319"/>
      <c r="F135" s="319"/>
      <c r="G135" s="318" t="s">
        <v>532</v>
      </c>
      <c r="H135" s="328">
        <v>4.49</v>
      </c>
      <c r="I135" s="318">
        <v>1</v>
      </c>
      <c r="J135" s="318">
        <v>1</v>
      </c>
      <c r="K135" s="318">
        <f>H135*J135</f>
        <v>4.49</v>
      </c>
      <c r="L135" s="350" t="s">
        <v>3253</v>
      </c>
      <c r="M135" s="350" t="s">
        <v>3248</v>
      </c>
      <c r="N135" s="318">
        <v>1</v>
      </c>
      <c r="O135" s="328">
        <f>H135*N135</f>
        <v>4.49</v>
      </c>
      <c r="P135" s="337">
        <v>1</v>
      </c>
      <c r="Q135" s="337">
        <f t="shared" si="55"/>
        <v>0</v>
      </c>
      <c r="R135" s="337">
        <v>1</v>
      </c>
      <c r="S135" s="328">
        <f t="shared" ref="S135:S137" si="57">H135*R135</f>
        <v>4.49</v>
      </c>
      <c r="T135" s="319"/>
    </row>
    <row r="136" spans="1:20">
      <c r="A136" s="318"/>
      <c r="B136" s="319"/>
      <c r="C136" s="318"/>
      <c r="D136" s="318"/>
      <c r="E136" s="319"/>
      <c r="F136" s="319"/>
      <c r="G136" s="318" t="s">
        <v>533</v>
      </c>
      <c r="H136" s="328">
        <v>4.49</v>
      </c>
      <c r="I136" s="318">
        <v>1</v>
      </c>
      <c r="J136" s="318">
        <v>1</v>
      </c>
      <c r="K136" s="318">
        <f>H136*J136</f>
        <v>4.49</v>
      </c>
      <c r="L136" s="350" t="s">
        <v>3255</v>
      </c>
      <c r="M136" s="350" t="s">
        <v>3248</v>
      </c>
      <c r="N136" s="318">
        <v>1</v>
      </c>
      <c r="O136" s="328">
        <f>H136*N136</f>
        <v>4.49</v>
      </c>
      <c r="P136" s="337">
        <v>1</v>
      </c>
      <c r="Q136" s="337">
        <f t="shared" si="55"/>
        <v>0</v>
      </c>
      <c r="R136" s="337">
        <v>1</v>
      </c>
      <c r="S136" s="328">
        <f t="shared" si="57"/>
        <v>4.49</v>
      </c>
      <c r="T136" s="319"/>
    </row>
    <row r="137" spans="1:20">
      <c r="A137" s="318"/>
      <c r="B137" s="319"/>
      <c r="C137" s="318"/>
      <c r="D137" s="318"/>
      <c r="E137" s="319"/>
      <c r="F137" s="319"/>
      <c r="G137" s="318" t="s">
        <v>534</v>
      </c>
      <c r="H137" s="328">
        <v>4.49</v>
      </c>
      <c r="I137" s="318">
        <v>1</v>
      </c>
      <c r="J137" s="318">
        <v>1</v>
      </c>
      <c r="K137" s="318">
        <f>H137*J137</f>
        <v>4.49</v>
      </c>
      <c r="L137" s="350" t="s">
        <v>3256</v>
      </c>
      <c r="M137" s="350" t="s">
        <v>3304</v>
      </c>
      <c r="N137" s="318">
        <v>1</v>
      </c>
      <c r="O137" s="328">
        <f>H137*N137</f>
        <v>4.49</v>
      </c>
      <c r="P137" s="337">
        <v>1</v>
      </c>
      <c r="Q137" s="337">
        <f t="shared" si="55"/>
        <v>0</v>
      </c>
      <c r="R137" s="337">
        <v>1</v>
      </c>
      <c r="S137" s="328">
        <f t="shared" si="57"/>
        <v>4.49</v>
      </c>
      <c r="T137" s="319"/>
    </row>
    <row r="138" spans="1:20">
      <c r="A138" s="318"/>
      <c r="B138" s="319"/>
      <c r="C138" s="318"/>
      <c r="D138" s="318"/>
      <c r="E138" s="319"/>
      <c r="F138" s="319"/>
      <c r="G138" s="318"/>
      <c r="H138" s="318"/>
      <c r="I138" s="318"/>
      <c r="J138" s="382" t="s">
        <v>389</v>
      </c>
      <c r="K138" s="331">
        <f>SUM(K134:K137)</f>
        <v>17.96</v>
      </c>
      <c r="L138" s="318"/>
      <c r="M138" s="318"/>
      <c r="N138" s="382" t="s">
        <v>389</v>
      </c>
      <c r="O138" s="331">
        <f>SUM(O134:O137)</f>
        <v>17.96</v>
      </c>
      <c r="P138" s="382" t="s">
        <v>389</v>
      </c>
      <c r="Q138" s="382"/>
      <c r="R138" s="382"/>
      <c r="S138" s="331">
        <f>SUM(S134:S137)</f>
        <v>17.96</v>
      </c>
      <c r="T138" s="319"/>
    </row>
    <row r="139" spans="1:20" ht="6.75" customHeight="1">
      <c r="A139" s="316"/>
      <c r="B139" s="317"/>
      <c r="C139" s="316"/>
      <c r="D139" s="316"/>
      <c r="E139" s="317"/>
      <c r="F139" s="317"/>
      <c r="G139" s="316"/>
      <c r="H139" s="316"/>
      <c r="I139" s="316"/>
      <c r="J139" s="316"/>
      <c r="K139" s="316"/>
      <c r="L139" s="316"/>
      <c r="M139" s="316"/>
      <c r="N139" s="316"/>
      <c r="O139" s="332"/>
      <c r="P139" s="316"/>
      <c r="Q139" s="316"/>
      <c r="R139" s="316"/>
      <c r="S139" s="332"/>
      <c r="T139" s="317"/>
    </row>
    <row r="140" spans="1:20">
      <c r="A140" s="318">
        <v>22</v>
      </c>
      <c r="B140" s="319" t="s">
        <v>383</v>
      </c>
      <c r="C140" s="318">
        <v>900</v>
      </c>
      <c r="D140" s="318">
        <v>28</v>
      </c>
      <c r="E140" s="319">
        <v>1</v>
      </c>
      <c r="F140" s="319"/>
      <c r="G140" s="318" t="s">
        <v>535</v>
      </c>
      <c r="H140" s="328">
        <v>4.49</v>
      </c>
      <c r="I140" s="318">
        <v>1</v>
      </c>
      <c r="J140" s="318">
        <v>1</v>
      </c>
      <c r="K140" s="318">
        <f>H140*J140</f>
        <v>4.49</v>
      </c>
      <c r="L140" s="350" t="s">
        <v>3236</v>
      </c>
      <c r="M140" s="350" t="s">
        <v>3248</v>
      </c>
      <c r="N140" s="318">
        <v>1</v>
      </c>
      <c r="O140" s="328">
        <f>H140*N140</f>
        <v>4.49</v>
      </c>
      <c r="P140" s="337">
        <v>1</v>
      </c>
      <c r="Q140" s="337">
        <f t="shared" ref="Q140:Q143" si="58">R140-P140</f>
        <v>0</v>
      </c>
      <c r="R140" s="337">
        <v>1</v>
      </c>
      <c r="S140" s="328">
        <f t="shared" ref="S140" si="59">H140*R140</f>
        <v>4.49</v>
      </c>
      <c r="T140" s="319"/>
    </row>
    <row r="141" spans="1:20">
      <c r="A141" s="318"/>
      <c r="B141" s="319"/>
      <c r="C141" s="318"/>
      <c r="D141" s="318"/>
      <c r="E141" s="319"/>
      <c r="F141" s="319"/>
      <c r="G141" s="318" t="s">
        <v>536</v>
      </c>
      <c r="H141" s="328">
        <v>4.49</v>
      </c>
      <c r="I141" s="318">
        <v>1</v>
      </c>
      <c r="J141" s="318">
        <v>1</v>
      </c>
      <c r="K141" s="318">
        <f>H141*J141</f>
        <v>4.49</v>
      </c>
      <c r="L141" s="350" t="s">
        <v>3236</v>
      </c>
      <c r="M141" s="350" t="s">
        <v>3248</v>
      </c>
      <c r="N141" s="318">
        <v>1</v>
      </c>
      <c r="O141" s="328">
        <f>H141*N141</f>
        <v>4.49</v>
      </c>
      <c r="P141" s="337">
        <v>1</v>
      </c>
      <c r="Q141" s="337">
        <f t="shared" si="58"/>
        <v>0</v>
      </c>
      <c r="R141" s="337">
        <v>1</v>
      </c>
      <c r="S141" s="328">
        <f t="shared" ref="S141:S143" si="60">H141*R141</f>
        <v>4.49</v>
      </c>
      <c r="T141" s="319"/>
    </row>
    <row r="142" spans="1:20">
      <c r="A142" s="318"/>
      <c r="B142" s="319"/>
      <c r="C142" s="318"/>
      <c r="D142" s="318"/>
      <c r="E142" s="319"/>
      <c r="F142" s="319"/>
      <c r="G142" s="318" t="s">
        <v>537</v>
      </c>
      <c r="H142" s="328">
        <v>4.49</v>
      </c>
      <c r="I142" s="318">
        <v>1</v>
      </c>
      <c r="J142" s="318">
        <v>1</v>
      </c>
      <c r="K142" s="318">
        <f>H142*J142</f>
        <v>4.49</v>
      </c>
      <c r="L142" s="350" t="s">
        <v>3236</v>
      </c>
      <c r="M142" s="350" t="s">
        <v>3248</v>
      </c>
      <c r="N142" s="318">
        <v>1</v>
      </c>
      <c r="O142" s="328">
        <f>H142*N142</f>
        <v>4.49</v>
      </c>
      <c r="P142" s="337">
        <v>1</v>
      </c>
      <c r="Q142" s="337">
        <f t="shared" si="58"/>
        <v>0</v>
      </c>
      <c r="R142" s="337">
        <v>1</v>
      </c>
      <c r="S142" s="328">
        <f t="shared" si="60"/>
        <v>4.49</v>
      </c>
      <c r="T142" s="319"/>
    </row>
    <row r="143" spans="1:20">
      <c r="A143" s="318"/>
      <c r="B143" s="319"/>
      <c r="C143" s="318"/>
      <c r="D143" s="318"/>
      <c r="E143" s="319"/>
      <c r="F143" s="319"/>
      <c r="G143" s="318" t="s">
        <v>538</v>
      </c>
      <c r="H143" s="328">
        <v>4.49</v>
      </c>
      <c r="I143" s="318">
        <v>1</v>
      </c>
      <c r="J143" s="318">
        <v>1</v>
      </c>
      <c r="K143" s="318">
        <f>H143*J143</f>
        <v>4.49</v>
      </c>
      <c r="L143" s="350" t="s">
        <v>3256</v>
      </c>
      <c r="M143" s="350" t="s">
        <v>3248</v>
      </c>
      <c r="N143" s="318">
        <v>1</v>
      </c>
      <c r="O143" s="328">
        <f>H143*N143</f>
        <v>4.49</v>
      </c>
      <c r="P143" s="337">
        <v>1</v>
      </c>
      <c r="Q143" s="337">
        <f t="shared" si="58"/>
        <v>0</v>
      </c>
      <c r="R143" s="337">
        <v>1</v>
      </c>
      <c r="S143" s="328">
        <f t="shared" si="60"/>
        <v>4.49</v>
      </c>
      <c r="T143" s="319"/>
    </row>
    <row r="144" spans="1:20">
      <c r="A144" s="318"/>
      <c r="B144" s="319"/>
      <c r="C144" s="318"/>
      <c r="D144" s="318"/>
      <c r="E144" s="319"/>
      <c r="F144" s="319"/>
      <c r="G144" s="318"/>
      <c r="H144" s="318"/>
      <c r="I144" s="318"/>
      <c r="J144" s="382" t="s">
        <v>389</v>
      </c>
      <c r="K144" s="331">
        <f>SUM(K140:K143)</f>
        <v>17.96</v>
      </c>
      <c r="L144" s="318"/>
      <c r="M144" s="318"/>
      <c r="N144" s="382" t="s">
        <v>389</v>
      </c>
      <c r="O144" s="331">
        <f>SUM(O140:O143)</f>
        <v>17.96</v>
      </c>
      <c r="P144" s="382" t="s">
        <v>389</v>
      </c>
      <c r="Q144" s="382"/>
      <c r="R144" s="382"/>
      <c r="S144" s="331">
        <f>SUM(S140:S143)</f>
        <v>17.96</v>
      </c>
      <c r="T144" s="319"/>
    </row>
    <row r="145" spans="1:20" ht="6.75" customHeight="1">
      <c r="A145" s="316"/>
      <c r="B145" s="317"/>
      <c r="C145" s="316"/>
      <c r="D145" s="316"/>
      <c r="E145" s="317"/>
      <c r="F145" s="317"/>
      <c r="G145" s="316"/>
      <c r="H145" s="316"/>
      <c r="I145" s="316"/>
      <c r="J145" s="316"/>
      <c r="K145" s="316"/>
      <c r="L145" s="316"/>
      <c r="M145" s="316"/>
      <c r="N145" s="316"/>
      <c r="O145" s="332"/>
      <c r="P145" s="316"/>
      <c r="Q145" s="316"/>
      <c r="R145" s="316"/>
      <c r="S145" s="332"/>
      <c r="T145" s="317"/>
    </row>
    <row r="146" spans="1:20">
      <c r="A146" s="318">
        <v>23</v>
      </c>
      <c r="B146" s="319" t="s">
        <v>383</v>
      </c>
      <c r="C146" s="318">
        <v>900</v>
      </c>
      <c r="D146" s="318">
        <v>29</v>
      </c>
      <c r="E146" s="319">
        <v>1</v>
      </c>
      <c r="F146" s="319"/>
      <c r="G146" s="318"/>
      <c r="H146" s="328"/>
      <c r="I146" s="318">
        <v>1</v>
      </c>
      <c r="J146" s="318"/>
      <c r="K146" s="318"/>
      <c r="L146" s="318"/>
      <c r="M146" s="318"/>
      <c r="N146" s="320"/>
      <c r="O146" s="329">
        <f>H146*N146</f>
        <v>0</v>
      </c>
      <c r="P146" s="330"/>
      <c r="Q146" s="330"/>
      <c r="R146" s="330"/>
      <c r="S146" s="329">
        <f>H146*P146</f>
        <v>0</v>
      </c>
      <c r="T146" s="319"/>
    </row>
    <row r="147" spans="1:20">
      <c r="A147" s="318"/>
      <c r="B147" s="319"/>
      <c r="C147" s="318"/>
      <c r="D147" s="318"/>
      <c r="E147" s="319"/>
      <c r="F147" s="319"/>
      <c r="G147" s="318"/>
      <c r="H147" s="328"/>
      <c r="I147" s="318">
        <v>1</v>
      </c>
      <c r="J147" s="318"/>
      <c r="K147" s="318"/>
      <c r="L147" s="318"/>
      <c r="M147" s="318"/>
      <c r="N147" s="320"/>
      <c r="O147" s="329">
        <f>H147*N147</f>
        <v>0</v>
      </c>
      <c r="P147" s="330"/>
      <c r="Q147" s="330"/>
      <c r="R147" s="330"/>
      <c r="S147" s="329">
        <f>H147*P147</f>
        <v>0</v>
      </c>
      <c r="T147" s="319"/>
    </row>
    <row r="148" spans="1:20">
      <c r="A148" s="318"/>
      <c r="B148" s="319"/>
      <c r="C148" s="318"/>
      <c r="D148" s="318"/>
      <c r="E148" s="319"/>
      <c r="F148" s="319"/>
      <c r="G148" s="318"/>
      <c r="H148" s="328"/>
      <c r="I148" s="318">
        <v>1</v>
      </c>
      <c r="J148" s="318"/>
      <c r="K148" s="318"/>
      <c r="L148" s="318"/>
      <c r="M148" s="318"/>
      <c r="N148" s="320"/>
      <c r="O148" s="329">
        <f>H148*N148</f>
        <v>0</v>
      </c>
      <c r="P148" s="330"/>
      <c r="Q148" s="330"/>
      <c r="R148" s="330"/>
      <c r="S148" s="329">
        <f>H148*P148</f>
        <v>0</v>
      </c>
      <c r="T148" s="319"/>
    </row>
    <row r="149" spans="1:20">
      <c r="A149" s="318"/>
      <c r="B149" s="319"/>
      <c r="C149" s="318"/>
      <c r="D149" s="318"/>
      <c r="E149" s="319"/>
      <c r="F149" s="319"/>
      <c r="G149" s="318"/>
      <c r="H149" s="328"/>
      <c r="I149" s="318">
        <v>1</v>
      </c>
      <c r="J149" s="318"/>
      <c r="K149" s="318"/>
      <c r="L149" s="318"/>
      <c r="M149" s="318"/>
      <c r="N149" s="320"/>
      <c r="O149" s="329">
        <f>H149*N149</f>
        <v>0</v>
      </c>
      <c r="P149" s="330"/>
      <c r="Q149" s="330"/>
      <c r="R149" s="330"/>
      <c r="S149" s="329">
        <f>H149*P149</f>
        <v>0</v>
      </c>
      <c r="T149" s="319"/>
    </row>
    <row r="150" spans="1:20">
      <c r="A150" s="318"/>
      <c r="B150" s="319"/>
      <c r="C150" s="318"/>
      <c r="D150" s="318"/>
      <c r="E150" s="319"/>
      <c r="F150" s="319"/>
      <c r="G150" s="318"/>
      <c r="H150" s="318"/>
      <c r="I150" s="318"/>
      <c r="J150" s="318"/>
      <c r="K150" s="318"/>
      <c r="L150" s="318"/>
      <c r="M150" s="318"/>
      <c r="N150" s="321" t="s">
        <v>389</v>
      </c>
      <c r="O150" s="331">
        <f>SUM(O146:O149)</f>
        <v>0</v>
      </c>
      <c r="P150" s="321" t="s">
        <v>389</v>
      </c>
      <c r="Q150" s="321"/>
      <c r="R150" s="321"/>
      <c r="S150" s="331">
        <f>SUM(S146:S149)</f>
        <v>0</v>
      </c>
      <c r="T150" s="319"/>
    </row>
    <row r="151" spans="1:20" ht="6.75" customHeight="1">
      <c r="A151" s="316"/>
      <c r="B151" s="317"/>
      <c r="C151" s="316"/>
      <c r="D151" s="316"/>
      <c r="E151" s="317"/>
      <c r="F151" s="317"/>
      <c r="G151" s="316"/>
      <c r="H151" s="316"/>
      <c r="I151" s="316"/>
      <c r="J151" s="316"/>
      <c r="K151" s="316"/>
      <c r="L151" s="316"/>
      <c r="M151" s="316"/>
      <c r="N151" s="316"/>
      <c r="O151" s="332"/>
      <c r="P151" s="316"/>
      <c r="Q151" s="316"/>
      <c r="R151" s="316"/>
      <c r="S151" s="332"/>
      <c r="T151" s="317"/>
    </row>
    <row r="152" spans="1:20">
      <c r="A152" s="318">
        <v>24</v>
      </c>
      <c r="B152" s="319" t="s">
        <v>383</v>
      </c>
      <c r="C152" s="318">
        <v>900</v>
      </c>
      <c r="D152" s="318">
        <v>30</v>
      </c>
      <c r="E152" s="319">
        <v>1</v>
      </c>
      <c r="F152" s="319"/>
      <c r="G152" s="318"/>
      <c r="H152" s="328"/>
      <c r="I152" s="318">
        <v>1</v>
      </c>
      <c r="J152" s="318"/>
      <c r="K152" s="318"/>
      <c r="L152" s="318"/>
      <c r="M152" s="318"/>
      <c r="N152" s="320"/>
      <c r="O152" s="329">
        <f>H152*N152</f>
        <v>0</v>
      </c>
      <c r="P152" s="330"/>
      <c r="Q152" s="330"/>
      <c r="R152" s="330"/>
      <c r="S152" s="329">
        <f>H152*P152</f>
        <v>0</v>
      </c>
      <c r="T152" s="319"/>
    </row>
    <row r="153" spans="1:20">
      <c r="A153" s="318"/>
      <c r="B153" s="319"/>
      <c r="C153" s="318"/>
      <c r="D153" s="318"/>
      <c r="E153" s="319"/>
      <c r="F153" s="319"/>
      <c r="G153" s="318"/>
      <c r="H153" s="328"/>
      <c r="I153" s="318">
        <v>1</v>
      </c>
      <c r="J153" s="318"/>
      <c r="K153" s="318"/>
      <c r="L153" s="318"/>
      <c r="M153" s="318"/>
      <c r="N153" s="320"/>
      <c r="O153" s="329">
        <f>H153*N153</f>
        <v>0</v>
      </c>
      <c r="P153" s="330"/>
      <c r="Q153" s="330"/>
      <c r="R153" s="330"/>
      <c r="S153" s="329">
        <f>H153*P153</f>
        <v>0</v>
      </c>
      <c r="T153" s="319"/>
    </row>
    <row r="154" spans="1:20">
      <c r="A154" s="318"/>
      <c r="B154" s="319"/>
      <c r="C154" s="318"/>
      <c r="D154" s="318"/>
      <c r="E154" s="319"/>
      <c r="F154" s="319"/>
      <c r="G154" s="318"/>
      <c r="H154" s="328"/>
      <c r="I154" s="318">
        <v>1</v>
      </c>
      <c r="J154" s="318"/>
      <c r="K154" s="318"/>
      <c r="L154" s="318"/>
      <c r="M154" s="318"/>
      <c r="N154" s="320"/>
      <c r="O154" s="329">
        <f>H154*N154</f>
        <v>0</v>
      </c>
      <c r="P154" s="330"/>
      <c r="Q154" s="330"/>
      <c r="R154" s="330"/>
      <c r="S154" s="329">
        <f>H154*P154</f>
        <v>0</v>
      </c>
      <c r="T154" s="319"/>
    </row>
    <row r="155" spans="1:20">
      <c r="A155" s="318"/>
      <c r="B155" s="319"/>
      <c r="C155" s="318"/>
      <c r="D155" s="318"/>
      <c r="E155" s="319"/>
      <c r="F155" s="319"/>
      <c r="G155" s="318"/>
      <c r="H155" s="328"/>
      <c r="I155" s="318">
        <v>1</v>
      </c>
      <c r="J155" s="318"/>
      <c r="K155" s="318"/>
      <c r="L155" s="318"/>
      <c r="M155" s="318"/>
      <c r="N155" s="320"/>
      <c r="O155" s="329">
        <f>H155*N155</f>
        <v>0</v>
      </c>
      <c r="P155" s="330"/>
      <c r="Q155" s="330"/>
      <c r="R155" s="330"/>
      <c r="S155" s="329">
        <f>H155*P155</f>
        <v>0</v>
      </c>
      <c r="T155" s="319"/>
    </row>
    <row r="156" spans="1:20">
      <c r="A156" s="318"/>
      <c r="B156" s="319"/>
      <c r="C156" s="318"/>
      <c r="D156" s="318"/>
      <c r="E156" s="319"/>
      <c r="F156" s="319"/>
      <c r="G156" s="318"/>
      <c r="H156" s="318"/>
      <c r="I156" s="318"/>
      <c r="J156" s="318"/>
      <c r="K156" s="318"/>
      <c r="L156" s="318"/>
      <c r="M156" s="318"/>
      <c r="N156" s="321" t="s">
        <v>389</v>
      </c>
      <c r="O156" s="331">
        <f>SUM(O152:O155)</f>
        <v>0</v>
      </c>
      <c r="P156" s="321" t="s">
        <v>389</v>
      </c>
      <c r="Q156" s="321"/>
      <c r="R156" s="321"/>
      <c r="S156" s="331">
        <f>SUM(S152:S155)</f>
        <v>0</v>
      </c>
      <c r="T156" s="319"/>
    </row>
    <row r="157" spans="1:20" ht="6.75" customHeight="1">
      <c r="A157" s="316"/>
      <c r="B157" s="317"/>
      <c r="C157" s="316"/>
      <c r="D157" s="316"/>
      <c r="E157" s="317"/>
      <c r="F157" s="317"/>
      <c r="G157" s="316"/>
      <c r="H157" s="316"/>
      <c r="I157" s="316"/>
      <c r="J157" s="316"/>
      <c r="K157" s="316"/>
      <c r="L157" s="316"/>
      <c r="M157" s="316"/>
      <c r="N157" s="316"/>
      <c r="O157" s="332"/>
      <c r="P157" s="316"/>
      <c r="Q157" s="316"/>
      <c r="R157" s="316"/>
      <c r="S157" s="332"/>
      <c r="T157" s="317"/>
    </row>
    <row r="158" spans="1:20">
      <c r="A158" s="325"/>
    </row>
    <row r="159" spans="1:20" ht="27.6">
      <c r="A159" s="313"/>
      <c r="B159" s="313"/>
      <c r="C159" s="313"/>
      <c r="D159" s="314"/>
      <c r="E159" s="314"/>
      <c r="F159" s="314"/>
      <c r="G159" s="314" t="s">
        <v>2291</v>
      </c>
      <c r="H159" s="314" t="s">
        <v>60</v>
      </c>
      <c r="I159" s="315" t="s">
        <v>380</v>
      </c>
      <c r="J159" s="315"/>
      <c r="K159" s="315" t="s">
        <v>3139</v>
      </c>
      <c r="L159" s="315"/>
      <c r="M159" s="315"/>
      <c r="N159" s="315" t="s">
        <v>381</v>
      </c>
      <c r="O159" s="315" t="s">
        <v>2289</v>
      </c>
      <c r="P159" s="315" t="s">
        <v>382</v>
      </c>
      <c r="Q159" s="315"/>
      <c r="R159" s="315"/>
      <c r="S159" s="315" t="s">
        <v>2290</v>
      </c>
      <c r="T159" s="314"/>
    </row>
    <row r="160" spans="1:20" s="345" customFormat="1" ht="28.2" customHeight="1">
      <c r="A160" s="342"/>
      <c r="B160" s="343" t="s">
        <v>2314</v>
      </c>
      <c r="C160" s="343"/>
      <c r="D160" s="343"/>
      <c r="E160" s="343"/>
      <c r="F160" s="343"/>
      <c r="G160" s="342" t="s">
        <v>2313</v>
      </c>
      <c r="H160" s="344">
        <f>SUM(H6:H144)</f>
        <v>367.9400000000004</v>
      </c>
      <c r="I160" s="344">
        <f>SUM(I6:I144)</f>
        <v>96</v>
      </c>
      <c r="J160" s="344"/>
      <c r="K160" s="344">
        <f>SUM(K10,K18,K28,K36,K42,K48,K54,K60,K66,K72,K78,K84,K90,K96,K102,K108,K132,K138,K144)</f>
        <v>367.93999999999994</v>
      </c>
      <c r="L160" s="343"/>
      <c r="M160" s="343"/>
      <c r="N160" s="346">
        <f>O160/H160</f>
        <v>0.95118769364570199</v>
      </c>
      <c r="O160" s="344">
        <f>SUM(O10,O18,O28,O36,O42,O48,O54,O60,O66,O72,O78,O84,O90,O96,O102,O108,O132,O138,O144)</f>
        <v>349.97999999999996</v>
      </c>
      <c r="P160" s="346">
        <f>S160/H160</f>
        <v>0.95118769364570199</v>
      </c>
      <c r="Q160" s="346"/>
      <c r="R160" s="346"/>
      <c r="S160" s="344">
        <f>SUM(S10,S18,S28,S36,S42,S48,S54,S60,S66,S72,S78,S84,S90,S96,S102,S108,S132,S138,S144)</f>
        <v>349.97999999999996</v>
      </c>
      <c r="T160" s="343"/>
    </row>
    <row r="161" spans="1:20" ht="15" thickBot="1">
      <c r="A161" s="800"/>
      <c r="B161" s="800"/>
      <c r="C161" s="800"/>
      <c r="D161" s="800"/>
      <c r="E161" s="800"/>
      <c r="F161" s="800"/>
      <c r="G161" s="800"/>
      <c r="H161" s="800"/>
      <c r="I161" s="800"/>
      <c r="J161" s="800"/>
      <c r="K161" s="800"/>
      <c r="L161" s="800"/>
      <c r="M161" s="800"/>
      <c r="N161" s="800"/>
      <c r="O161" s="800"/>
      <c r="P161" s="800"/>
      <c r="Q161" s="800"/>
      <c r="R161" s="800"/>
      <c r="S161" s="800"/>
      <c r="T161" s="800"/>
    </row>
    <row r="162" spans="1:20" ht="30" thickTop="1" thickBot="1">
      <c r="A162" s="740"/>
      <c r="B162" s="741"/>
      <c r="C162" s="742"/>
      <c r="D162" s="742"/>
      <c r="E162" s="741"/>
      <c r="F162" s="741"/>
      <c r="G162" s="767" t="s">
        <v>3511</v>
      </c>
      <c r="H162" s="756">
        <f>H38+H39+H40+H41</f>
        <v>17.96</v>
      </c>
      <c r="I162" s="739">
        <f>I38+I39+I40+I41</f>
        <v>4</v>
      </c>
      <c r="J162" s="739">
        <f>J38+J39+J40+J41</f>
        <v>4</v>
      </c>
      <c r="K162" s="739">
        <f>K38+K39+K40+K41</f>
        <v>17.96</v>
      </c>
      <c r="L162" s="739"/>
      <c r="M162" s="739"/>
      <c r="N162" s="739">
        <f>N38+N39+N40+N41</f>
        <v>0</v>
      </c>
      <c r="O162" s="739">
        <f>O38+O39+O40+O41</f>
        <v>0</v>
      </c>
      <c r="P162" s="745"/>
      <c r="Q162" s="745"/>
      <c r="R162" s="768">
        <f>S162/H162</f>
        <v>0</v>
      </c>
      <c r="S162" s="739">
        <f>S38+S39+S40+S41</f>
        <v>0</v>
      </c>
      <c r="T162" s="743"/>
    </row>
    <row r="163" spans="1:20" ht="15" thickTop="1"/>
  </sheetData>
  <mergeCells count="4">
    <mergeCell ref="P2:S2"/>
    <mergeCell ref="P3:S3"/>
    <mergeCell ref="L3:O3"/>
    <mergeCell ref="J3:K3"/>
  </mergeCells>
  <conditionalFormatting sqref="J6:J9 J12:J17 J20:J27 J30:J35 J38:J41 J44:J47 J50:J53 J56:J59 J62:J65 J68:J71 J74:J77 J80:J83 J86:J89 J92:J95 J98:J101 J104:J107 J128:J131 J134:J137 J140:J143">
    <cfRule type="cellIs" dxfId="2" priority="1" stopIfTrue="1" operator="lessThan">
      <formula>1</formula>
    </cfRule>
  </conditionalFormatting>
  <pageMargins left="0.1" right="0.1" top="0.1" bottom="0.1" header="0.3" footer="0.3"/>
  <pageSetup paperSize="9" scale="4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AE977"/>
  <sheetViews>
    <sheetView showGridLines="0" view="pageBreakPreview" topLeftCell="A950" zoomScale="85" zoomScaleNormal="100" zoomScaleSheetLayoutView="85" workbookViewId="0">
      <selection activeCell="Q6" sqref="Q6:Q967"/>
    </sheetView>
  </sheetViews>
  <sheetFormatPr defaultColWidth="9.109375" defaultRowHeight="14.4"/>
  <cols>
    <col min="1" max="1" width="6.88671875" style="306" customWidth="1"/>
    <col min="2" max="2" width="10.33203125" style="306" customWidth="1"/>
    <col min="3" max="5" width="7.88671875" style="306" customWidth="1"/>
    <col min="6" max="6" width="12.6640625" style="306" customWidth="1"/>
    <col min="7" max="7" width="11.109375" style="306" customWidth="1"/>
    <col min="8" max="8" width="8.6640625" style="306" customWidth="1"/>
    <col min="9" max="10" width="7.88671875" style="306" customWidth="1"/>
    <col min="11" max="11" width="13.6640625" style="306" customWidth="1"/>
    <col min="12" max="13" width="11.33203125" style="306" customWidth="1"/>
    <col min="14" max="14" width="7.88671875" style="306" customWidth="1"/>
    <col min="15" max="15" width="13.6640625" style="306" customWidth="1"/>
    <col min="16" max="18" width="10.6640625" style="306" customWidth="1"/>
    <col min="19" max="20" width="15.6640625" style="306" customWidth="1"/>
    <col min="21" max="21" width="9.109375" style="306"/>
    <col min="22" max="22" width="8.6640625" style="306" customWidth="1"/>
    <col min="23" max="23" width="7.88671875" style="306" customWidth="1"/>
    <col min="24" max="24" width="13.6640625" style="306" customWidth="1"/>
    <col min="25" max="25" width="10.6640625" style="306" customWidth="1"/>
    <col min="26" max="26" width="15.6640625" style="306" customWidth="1"/>
    <col min="27" max="27" width="5.6640625" style="306" customWidth="1"/>
    <col min="28" max="28" width="11.5546875" style="383" bestFit="1" customWidth="1"/>
    <col min="29" max="29" width="13.6640625" style="383" customWidth="1"/>
    <col min="30" max="31" width="19.44140625" style="306" customWidth="1"/>
    <col min="32" max="16384" width="9.109375" style="306"/>
  </cols>
  <sheetData>
    <row r="2" spans="1:29" ht="18">
      <c r="A2" s="305" t="s">
        <v>375</v>
      </c>
      <c r="G2" s="307"/>
      <c r="V2" s="1027" t="s">
        <v>2716</v>
      </c>
      <c r="W2" s="1028"/>
      <c r="X2" s="1028"/>
      <c r="Y2" s="1028"/>
      <c r="Z2" s="1029"/>
    </row>
    <row r="3" spans="1:29" ht="63.6" customHeight="1">
      <c r="A3" s="308" t="s">
        <v>376</v>
      </c>
      <c r="B3" s="309" t="s">
        <v>2285</v>
      </c>
      <c r="C3" s="308" t="s">
        <v>377</v>
      </c>
      <c r="D3" s="309" t="s">
        <v>378</v>
      </c>
      <c r="E3" s="309" t="s">
        <v>2286</v>
      </c>
      <c r="F3" s="310"/>
      <c r="G3" s="311"/>
      <c r="H3" s="335"/>
      <c r="I3" s="309"/>
      <c r="J3" s="1021" t="s">
        <v>2997</v>
      </c>
      <c r="K3" s="1022"/>
      <c r="L3" s="1021" t="s">
        <v>2998</v>
      </c>
      <c r="M3" s="1023"/>
      <c r="N3" s="1023"/>
      <c r="O3" s="1022"/>
      <c r="P3" s="1021" t="s">
        <v>2310</v>
      </c>
      <c r="Q3" s="1023"/>
      <c r="R3" s="1023"/>
      <c r="S3" s="1022"/>
      <c r="T3" s="309" t="s">
        <v>43</v>
      </c>
      <c r="V3" s="335"/>
      <c r="W3" s="1023" t="s">
        <v>2309</v>
      </c>
      <c r="X3" s="1022"/>
      <c r="Y3" s="1021" t="s">
        <v>2310</v>
      </c>
      <c r="Z3" s="1022"/>
      <c r="AB3" s="1033" t="s">
        <v>2310</v>
      </c>
      <c r="AC3" s="1034"/>
    </row>
    <row r="4" spans="1:29" ht="27.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3513</v>
      </c>
      <c r="S4" s="315" t="s">
        <v>3506</v>
      </c>
      <c r="T4" s="314"/>
      <c r="V4" s="314" t="s">
        <v>60</v>
      </c>
      <c r="W4" s="315" t="s">
        <v>381</v>
      </c>
      <c r="X4" s="315" t="s">
        <v>177</v>
      </c>
      <c r="Y4" s="315" t="s">
        <v>382</v>
      </c>
      <c r="Z4" s="315" t="s">
        <v>177</v>
      </c>
      <c r="AB4" s="463" t="s">
        <v>382</v>
      </c>
      <c r="AC4" s="463" t="s">
        <v>177</v>
      </c>
    </row>
    <row r="5" spans="1:29" ht="6.75" customHeight="1">
      <c r="A5" s="316"/>
      <c r="B5" s="317"/>
      <c r="C5" s="316"/>
      <c r="D5" s="316"/>
      <c r="E5" s="317"/>
      <c r="F5" s="317"/>
      <c r="G5" s="316"/>
      <c r="H5" s="316"/>
      <c r="I5" s="316"/>
      <c r="J5" s="316"/>
      <c r="K5" s="316"/>
      <c r="L5" s="316"/>
      <c r="M5" s="316"/>
      <c r="N5" s="316"/>
      <c r="O5" s="316"/>
      <c r="P5" s="316"/>
      <c r="Q5" s="752"/>
      <c r="R5" s="316"/>
      <c r="S5" s="316"/>
      <c r="T5" s="317"/>
      <c r="V5" s="316"/>
      <c r="W5" s="316"/>
      <c r="X5" s="316"/>
      <c r="Y5" s="316"/>
      <c r="Z5" s="316"/>
      <c r="AB5" s="339"/>
      <c r="AC5" s="339"/>
    </row>
    <row r="6" spans="1:29">
      <c r="A6" s="318">
        <v>1</v>
      </c>
      <c r="B6" s="319" t="s">
        <v>383</v>
      </c>
      <c r="C6" s="318">
        <v>600</v>
      </c>
      <c r="D6" s="318">
        <v>7</v>
      </c>
      <c r="E6" s="319">
        <v>1</v>
      </c>
      <c r="F6" s="336" t="s">
        <v>696</v>
      </c>
      <c r="G6" s="318" t="s">
        <v>1432</v>
      </c>
      <c r="H6" s="328">
        <v>4.17</v>
      </c>
      <c r="I6" s="318">
        <v>1</v>
      </c>
      <c r="J6" s="318">
        <f>IF(N6&gt;0,1,0)</f>
        <v>1</v>
      </c>
      <c r="K6" s="328">
        <f t="shared" ref="K6:K23" si="0">H6*J6</f>
        <v>4.17</v>
      </c>
      <c r="L6" s="350" t="s">
        <v>2752</v>
      </c>
      <c r="M6" s="350" t="s">
        <v>2753</v>
      </c>
      <c r="N6" s="318">
        <v>1</v>
      </c>
      <c r="O6" s="318">
        <f t="shared" ref="O6:O32" si="1">H6*N6</f>
        <v>4.17</v>
      </c>
      <c r="P6" s="341">
        <v>1</v>
      </c>
      <c r="Q6" s="755">
        <f>R6-P6</f>
        <v>0</v>
      </c>
      <c r="R6" s="341">
        <v>1</v>
      </c>
      <c r="S6" s="318">
        <f>H6*R6</f>
        <v>4.17</v>
      </c>
      <c r="T6" s="319" t="s">
        <v>3419</v>
      </c>
      <c r="V6" s="328">
        <f>4.155</f>
        <v>4.1550000000000002</v>
      </c>
      <c r="W6" s="320">
        <f>2/4</f>
        <v>0.5</v>
      </c>
      <c r="X6" s="318">
        <f t="shared" ref="X6:X43" si="2">V6*W6</f>
        <v>2.0775000000000001</v>
      </c>
      <c r="Y6" s="320"/>
      <c r="Z6" s="318">
        <f t="shared" ref="Z6:Z43" si="3">V6*Y6</f>
        <v>0</v>
      </c>
      <c r="AB6" s="348">
        <f t="shared" ref="AB6:AB43" si="4">X6-O6</f>
        <v>-2.0924999999999998</v>
      </c>
      <c r="AC6" s="348">
        <f>Z6-S6</f>
        <v>-4.17</v>
      </c>
    </row>
    <row r="7" spans="1:29">
      <c r="A7" s="318"/>
      <c r="B7" s="319"/>
      <c r="C7" s="318"/>
      <c r="D7" s="318"/>
      <c r="E7" s="319"/>
      <c r="F7" s="319"/>
      <c r="G7" s="318" t="s">
        <v>1433</v>
      </c>
      <c r="H7" s="328">
        <v>4.49</v>
      </c>
      <c r="I7" s="318">
        <v>1</v>
      </c>
      <c r="J7" s="318">
        <f t="shared" ref="J7:J43" si="5">IF(N7&gt;0,1,0)</f>
        <v>1</v>
      </c>
      <c r="K7" s="328">
        <f t="shared" si="0"/>
        <v>4.49</v>
      </c>
      <c r="L7" s="318">
        <v>2026</v>
      </c>
      <c r="M7" s="318">
        <v>187</v>
      </c>
      <c r="N7" s="318">
        <v>1</v>
      </c>
      <c r="O7" s="318">
        <f t="shared" si="1"/>
        <v>4.49</v>
      </c>
      <c r="P7" s="341">
        <v>1</v>
      </c>
      <c r="Q7" s="755">
        <f t="shared" ref="Q7:Q43" si="6">R7-P7</f>
        <v>0</v>
      </c>
      <c r="R7" s="341">
        <v>1</v>
      </c>
      <c r="S7" s="318">
        <f t="shared" ref="S7:S28" si="7">H7*R7</f>
        <v>4.49</v>
      </c>
      <c r="T7" s="319" t="s">
        <v>3419</v>
      </c>
      <c r="V7" s="328">
        <v>4.49</v>
      </c>
      <c r="W7" s="320"/>
      <c r="X7" s="318">
        <f t="shared" si="2"/>
        <v>0</v>
      </c>
      <c r="Y7" s="464"/>
      <c r="Z7" s="318">
        <f t="shared" si="3"/>
        <v>0</v>
      </c>
      <c r="AB7" s="348">
        <f t="shared" si="4"/>
        <v>-4.49</v>
      </c>
      <c r="AC7" s="348">
        <f t="shared" ref="AC7:AC43" si="8">Z7-S7</f>
        <v>-4.49</v>
      </c>
    </row>
    <row r="8" spans="1:29">
      <c r="A8" s="318"/>
      <c r="B8" s="319"/>
      <c r="C8" s="318"/>
      <c r="D8" s="318"/>
      <c r="E8" s="319"/>
      <c r="F8" s="319"/>
      <c r="G8" s="318" t="s">
        <v>1434</v>
      </c>
      <c r="H8" s="328">
        <v>4.49</v>
      </c>
      <c r="I8" s="318">
        <v>1</v>
      </c>
      <c r="J8" s="318">
        <f t="shared" si="5"/>
        <v>1</v>
      </c>
      <c r="K8" s="328">
        <f t="shared" si="0"/>
        <v>4.49</v>
      </c>
      <c r="L8" s="350" t="s">
        <v>2296</v>
      </c>
      <c r="M8" s="318">
        <v>144.15600000000001</v>
      </c>
      <c r="N8" s="318">
        <v>1</v>
      </c>
      <c r="O8" s="318">
        <f t="shared" si="1"/>
        <v>4.49</v>
      </c>
      <c r="P8" s="341">
        <v>1</v>
      </c>
      <c r="Q8" s="755">
        <f t="shared" si="6"/>
        <v>0</v>
      </c>
      <c r="R8" s="341">
        <v>1</v>
      </c>
      <c r="S8" s="318">
        <f t="shared" si="7"/>
        <v>4.49</v>
      </c>
      <c r="T8" s="319"/>
      <c r="V8" s="328">
        <v>4.49</v>
      </c>
      <c r="W8" s="320">
        <v>1</v>
      </c>
      <c r="X8" s="318">
        <f t="shared" si="2"/>
        <v>4.49</v>
      </c>
      <c r="Y8" s="464">
        <v>1</v>
      </c>
      <c r="Z8" s="318">
        <f t="shared" si="3"/>
        <v>4.49</v>
      </c>
      <c r="AB8" s="348">
        <f t="shared" si="4"/>
        <v>0</v>
      </c>
      <c r="AC8" s="348">
        <f t="shared" si="8"/>
        <v>0</v>
      </c>
    </row>
    <row r="9" spans="1:29">
      <c r="A9" s="318"/>
      <c r="B9" s="319"/>
      <c r="C9" s="318"/>
      <c r="D9" s="318"/>
      <c r="E9" s="319"/>
      <c r="F9" s="319"/>
      <c r="G9" s="318" t="s">
        <v>1435</v>
      </c>
      <c r="H9" s="328">
        <v>4.49</v>
      </c>
      <c r="I9" s="318">
        <v>1</v>
      </c>
      <c r="J9" s="318">
        <f t="shared" si="5"/>
        <v>1</v>
      </c>
      <c r="K9" s="328">
        <f t="shared" si="0"/>
        <v>4.49</v>
      </c>
      <c r="L9" s="350" t="s">
        <v>2297</v>
      </c>
      <c r="M9" s="349">
        <v>145156</v>
      </c>
      <c r="N9" s="318">
        <v>1</v>
      </c>
      <c r="O9" s="318">
        <f t="shared" si="1"/>
        <v>4.49</v>
      </c>
      <c r="P9" s="341">
        <v>1</v>
      </c>
      <c r="Q9" s="755">
        <f t="shared" si="6"/>
        <v>0</v>
      </c>
      <c r="R9" s="341">
        <v>1</v>
      </c>
      <c r="S9" s="318">
        <f t="shared" si="7"/>
        <v>4.49</v>
      </c>
      <c r="T9" s="319"/>
      <c r="V9" s="328">
        <v>4.49</v>
      </c>
      <c r="W9" s="320">
        <v>1</v>
      </c>
      <c r="X9" s="318">
        <f t="shared" si="2"/>
        <v>4.49</v>
      </c>
      <c r="Y9" s="464">
        <v>1</v>
      </c>
      <c r="Z9" s="318">
        <f t="shared" si="3"/>
        <v>4.49</v>
      </c>
      <c r="AB9" s="348">
        <f t="shared" si="4"/>
        <v>0</v>
      </c>
      <c r="AC9" s="348">
        <f t="shared" si="8"/>
        <v>0</v>
      </c>
    </row>
    <row r="10" spans="1:29">
      <c r="A10" s="318"/>
      <c r="B10" s="319"/>
      <c r="C10" s="318"/>
      <c r="D10" s="318"/>
      <c r="E10" s="319"/>
      <c r="F10" s="319"/>
      <c r="G10" s="318" t="s">
        <v>1436</v>
      </c>
      <c r="H10" s="328">
        <v>4.49</v>
      </c>
      <c r="I10" s="318">
        <v>1</v>
      </c>
      <c r="J10" s="318">
        <f t="shared" si="5"/>
        <v>1</v>
      </c>
      <c r="K10" s="328">
        <f t="shared" si="0"/>
        <v>4.49</v>
      </c>
      <c r="L10" s="469" t="s">
        <v>340</v>
      </c>
      <c r="M10" s="470">
        <v>144145148</v>
      </c>
      <c r="N10" s="318">
        <v>1</v>
      </c>
      <c r="O10" s="318">
        <f t="shared" si="1"/>
        <v>4.49</v>
      </c>
      <c r="P10" s="341">
        <v>1</v>
      </c>
      <c r="Q10" s="755">
        <f t="shared" si="6"/>
        <v>0</v>
      </c>
      <c r="R10" s="341">
        <v>1</v>
      </c>
      <c r="S10" s="318">
        <f t="shared" si="7"/>
        <v>4.49</v>
      </c>
      <c r="T10" s="319"/>
      <c r="V10" s="328">
        <v>4.49</v>
      </c>
      <c r="W10" s="320">
        <v>1</v>
      </c>
      <c r="X10" s="318">
        <f t="shared" si="2"/>
        <v>4.49</v>
      </c>
      <c r="Y10" s="464">
        <v>1</v>
      </c>
      <c r="Z10" s="318">
        <f t="shared" si="3"/>
        <v>4.49</v>
      </c>
      <c r="AB10" s="348">
        <f t="shared" si="4"/>
        <v>0</v>
      </c>
      <c r="AC10" s="348">
        <f t="shared" si="8"/>
        <v>0</v>
      </c>
    </row>
    <row r="11" spans="1:29">
      <c r="A11" s="318"/>
      <c r="B11" s="319"/>
      <c r="C11" s="318"/>
      <c r="D11" s="318"/>
      <c r="E11" s="319"/>
      <c r="F11" s="319"/>
      <c r="G11" s="318" t="s">
        <v>1437</v>
      </c>
      <c r="H11" s="328">
        <v>4.49</v>
      </c>
      <c r="I11" s="318">
        <v>1</v>
      </c>
      <c r="J11" s="318">
        <f t="shared" si="5"/>
        <v>1</v>
      </c>
      <c r="K11" s="328">
        <f t="shared" si="0"/>
        <v>4.49</v>
      </c>
      <c r="L11" s="318" t="s">
        <v>367</v>
      </c>
      <c r="M11" s="318" t="s">
        <v>368</v>
      </c>
      <c r="N11" s="318">
        <v>1</v>
      </c>
      <c r="O11" s="318">
        <f t="shared" si="1"/>
        <v>4.49</v>
      </c>
      <c r="P11" s="341">
        <v>1</v>
      </c>
      <c r="Q11" s="755">
        <f t="shared" si="6"/>
        <v>0</v>
      </c>
      <c r="R11" s="341">
        <v>1</v>
      </c>
      <c r="S11" s="318">
        <f t="shared" si="7"/>
        <v>4.49</v>
      </c>
      <c r="T11" s="319"/>
      <c r="V11" s="328">
        <v>4.49</v>
      </c>
      <c r="W11" s="320">
        <v>1</v>
      </c>
      <c r="X11" s="318">
        <f t="shared" si="2"/>
        <v>4.49</v>
      </c>
      <c r="Y11" s="464">
        <v>1</v>
      </c>
      <c r="Z11" s="318">
        <f t="shared" si="3"/>
        <v>4.49</v>
      </c>
      <c r="AB11" s="348">
        <f t="shared" si="4"/>
        <v>0</v>
      </c>
      <c r="AC11" s="348">
        <f t="shared" si="8"/>
        <v>0</v>
      </c>
    </row>
    <row r="12" spans="1:29">
      <c r="A12" s="318"/>
      <c r="B12" s="319"/>
      <c r="C12" s="318"/>
      <c r="D12" s="318"/>
      <c r="E12" s="319"/>
      <c r="F12" s="319"/>
      <c r="G12" s="318" t="s">
        <v>1438</v>
      </c>
      <c r="H12" s="328">
        <v>4.49</v>
      </c>
      <c r="I12" s="318">
        <v>1</v>
      </c>
      <c r="J12" s="318">
        <f t="shared" si="5"/>
        <v>1</v>
      </c>
      <c r="K12" s="328">
        <f t="shared" si="0"/>
        <v>4.49</v>
      </c>
      <c r="L12" s="318" t="s">
        <v>367</v>
      </c>
      <c r="M12" s="318" t="s">
        <v>368</v>
      </c>
      <c r="N12" s="318">
        <v>1</v>
      </c>
      <c r="O12" s="318">
        <f t="shared" si="1"/>
        <v>4.49</v>
      </c>
      <c r="P12" s="341">
        <v>1</v>
      </c>
      <c r="Q12" s="755">
        <f t="shared" si="6"/>
        <v>0</v>
      </c>
      <c r="R12" s="341">
        <v>1</v>
      </c>
      <c r="S12" s="318">
        <f t="shared" si="7"/>
        <v>4.49</v>
      </c>
      <c r="T12" s="319"/>
      <c r="V12" s="328">
        <v>4.49</v>
      </c>
      <c r="W12" s="320">
        <v>1</v>
      </c>
      <c r="X12" s="318">
        <f t="shared" si="2"/>
        <v>4.49</v>
      </c>
      <c r="Y12" s="464">
        <v>1</v>
      </c>
      <c r="Z12" s="318">
        <f t="shared" si="3"/>
        <v>4.49</v>
      </c>
      <c r="AB12" s="348">
        <f t="shared" si="4"/>
        <v>0</v>
      </c>
      <c r="AC12" s="348">
        <f t="shared" si="8"/>
        <v>0</v>
      </c>
    </row>
    <row r="13" spans="1:29">
      <c r="A13" s="318"/>
      <c r="B13" s="319"/>
      <c r="C13" s="318"/>
      <c r="D13" s="318"/>
      <c r="E13" s="319"/>
      <c r="F13" s="319"/>
      <c r="G13" s="318" t="s">
        <v>1439</v>
      </c>
      <c r="H13" s="328">
        <v>4.49</v>
      </c>
      <c r="I13" s="318">
        <v>1</v>
      </c>
      <c r="J13" s="318">
        <f t="shared" si="5"/>
        <v>1</v>
      </c>
      <c r="K13" s="328">
        <f t="shared" si="0"/>
        <v>4.49</v>
      </c>
      <c r="L13" s="318">
        <v>1395</v>
      </c>
      <c r="M13" s="318" t="s">
        <v>256</v>
      </c>
      <c r="N13" s="318">
        <v>1</v>
      </c>
      <c r="O13" s="318">
        <f t="shared" si="1"/>
        <v>4.49</v>
      </c>
      <c r="P13" s="341">
        <v>1</v>
      </c>
      <c r="Q13" s="755">
        <f t="shared" si="6"/>
        <v>0</v>
      </c>
      <c r="R13" s="341">
        <v>1</v>
      </c>
      <c r="S13" s="318">
        <f t="shared" si="7"/>
        <v>4.49</v>
      </c>
      <c r="T13" s="319"/>
      <c r="V13" s="328">
        <v>4.49</v>
      </c>
      <c r="W13" s="320">
        <v>1</v>
      </c>
      <c r="X13" s="318">
        <f t="shared" si="2"/>
        <v>4.49</v>
      </c>
      <c r="Y13" s="464">
        <v>1</v>
      </c>
      <c r="Z13" s="318">
        <f t="shared" si="3"/>
        <v>4.49</v>
      </c>
      <c r="AB13" s="348">
        <f t="shared" si="4"/>
        <v>0</v>
      </c>
      <c r="AC13" s="348">
        <f t="shared" si="8"/>
        <v>0</v>
      </c>
    </row>
    <row r="14" spans="1:29">
      <c r="A14" s="318"/>
      <c r="B14" s="319"/>
      <c r="C14" s="318"/>
      <c r="D14" s="318"/>
      <c r="E14" s="319"/>
      <c r="F14" s="319"/>
      <c r="G14" s="318" t="s">
        <v>1440</v>
      </c>
      <c r="H14" s="328">
        <v>4.49</v>
      </c>
      <c r="I14" s="318">
        <v>1</v>
      </c>
      <c r="J14" s="318">
        <f t="shared" si="5"/>
        <v>1</v>
      </c>
      <c r="K14" s="328">
        <f t="shared" si="0"/>
        <v>4.49</v>
      </c>
      <c r="L14" s="352" t="s">
        <v>2877</v>
      </c>
      <c r="M14" s="350" t="s">
        <v>2876</v>
      </c>
      <c r="N14" s="318">
        <v>1</v>
      </c>
      <c r="O14" s="318">
        <f t="shared" si="1"/>
        <v>4.49</v>
      </c>
      <c r="P14" s="341">
        <v>1</v>
      </c>
      <c r="Q14" s="755">
        <f t="shared" si="6"/>
        <v>0</v>
      </c>
      <c r="R14" s="341">
        <v>1</v>
      </c>
      <c r="S14" s="318">
        <f t="shared" si="7"/>
        <v>4.49</v>
      </c>
      <c r="T14" s="319"/>
      <c r="V14" s="328">
        <v>4.49</v>
      </c>
      <c r="W14" s="320">
        <v>1</v>
      </c>
      <c r="X14" s="318">
        <f t="shared" si="2"/>
        <v>4.49</v>
      </c>
      <c r="Y14" s="464">
        <v>1</v>
      </c>
      <c r="Z14" s="318">
        <f t="shared" si="3"/>
        <v>4.49</v>
      </c>
      <c r="AB14" s="348">
        <f t="shared" si="4"/>
        <v>0</v>
      </c>
      <c r="AC14" s="348">
        <f t="shared" si="8"/>
        <v>0</v>
      </c>
    </row>
    <row r="15" spans="1:29">
      <c r="A15" s="318"/>
      <c r="B15" s="319"/>
      <c r="C15" s="318"/>
      <c r="D15" s="318"/>
      <c r="E15" s="319"/>
      <c r="F15" s="319"/>
      <c r="G15" s="318" t="s">
        <v>1441</v>
      </c>
      <c r="H15" s="328">
        <v>4.49</v>
      </c>
      <c r="I15" s="318">
        <v>1</v>
      </c>
      <c r="J15" s="318">
        <f t="shared" si="5"/>
        <v>1</v>
      </c>
      <c r="K15" s="328">
        <f t="shared" si="0"/>
        <v>4.49</v>
      </c>
      <c r="L15" s="352" t="s">
        <v>2763</v>
      </c>
      <c r="M15" s="350" t="s">
        <v>2841</v>
      </c>
      <c r="N15" s="318">
        <v>1</v>
      </c>
      <c r="O15" s="318">
        <f t="shared" si="1"/>
        <v>4.49</v>
      </c>
      <c r="P15" s="341">
        <v>1</v>
      </c>
      <c r="Q15" s="755">
        <f t="shared" si="6"/>
        <v>0</v>
      </c>
      <c r="R15" s="341">
        <v>1</v>
      </c>
      <c r="S15" s="318">
        <f t="shared" si="7"/>
        <v>4.49</v>
      </c>
      <c r="T15" s="319"/>
      <c r="V15" s="328">
        <v>4.49</v>
      </c>
      <c r="W15" s="320">
        <v>1</v>
      </c>
      <c r="X15" s="318">
        <f t="shared" si="2"/>
        <v>4.49</v>
      </c>
      <c r="Y15" s="464">
        <v>1</v>
      </c>
      <c r="Z15" s="318">
        <f t="shared" si="3"/>
        <v>4.49</v>
      </c>
      <c r="AB15" s="348">
        <f t="shared" si="4"/>
        <v>0</v>
      </c>
      <c r="AC15" s="348">
        <f t="shared" si="8"/>
        <v>0</v>
      </c>
    </row>
    <row r="16" spans="1:29">
      <c r="A16" s="318"/>
      <c r="B16" s="319"/>
      <c r="C16" s="318"/>
      <c r="D16" s="318"/>
      <c r="E16" s="319"/>
      <c r="F16" s="319"/>
      <c r="G16" s="318" t="s">
        <v>1442</v>
      </c>
      <c r="H16" s="328">
        <v>3.38</v>
      </c>
      <c r="I16" s="318">
        <v>1</v>
      </c>
      <c r="J16" s="318">
        <f t="shared" si="5"/>
        <v>1</v>
      </c>
      <c r="K16" s="328">
        <f t="shared" si="0"/>
        <v>3.38</v>
      </c>
      <c r="L16" s="318" t="s">
        <v>349</v>
      </c>
      <c r="M16" s="318">
        <v>150</v>
      </c>
      <c r="N16" s="318">
        <v>1</v>
      </c>
      <c r="O16" s="318">
        <f t="shared" si="1"/>
        <v>3.38</v>
      </c>
      <c r="P16" s="341">
        <v>1</v>
      </c>
      <c r="Q16" s="755">
        <f t="shared" si="6"/>
        <v>0</v>
      </c>
      <c r="R16" s="341">
        <v>1</v>
      </c>
      <c r="S16" s="318">
        <f t="shared" si="7"/>
        <v>3.38</v>
      </c>
      <c r="T16" s="319"/>
      <c r="V16" s="328">
        <f>3.365</f>
        <v>3.3650000000000002</v>
      </c>
      <c r="W16" s="320">
        <v>1</v>
      </c>
      <c r="X16" s="318">
        <f t="shared" si="2"/>
        <v>3.3650000000000002</v>
      </c>
      <c r="Y16" s="464">
        <v>1</v>
      </c>
      <c r="Z16" s="318">
        <f t="shared" si="3"/>
        <v>3.3650000000000002</v>
      </c>
      <c r="AB16" s="348">
        <f t="shared" si="4"/>
        <v>-1.499999999999968E-2</v>
      </c>
      <c r="AC16" s="348">
        <f t="shared" si="8"/>
        <v>-1.499999999999968E-2</v>
      </c>
    </row>
    <row r="17" spans="1:29">
      <c r="A17" s="318"/>
      <c r="B17" s="319"/>
      <c r="C17" s="318"/>
      <c r="D17" s="318"/>
      <c r="E17" s="319"/>
      <c r="F17" s="319" t="s">
        <v>1443</v>
      </c>
      <c r="G17" s="318" t="s">
        <v>1444</v>
      </c>
      <c r="H17" s="328">
        <v>3.38</v>
      </c>
      <c r="I17" s="318">
        <v>1</v>
      </c>
      <c r="J17" s="318">
        <f t="shared" si="5"/>
        <v>1</v>
      </c>
      <c r="K17" s="328">
        <f t="shared" si="0"/>
        <v>3.38</v>
      </c>
      <c r="L17" s="318" t="s">
        <v>349</v>
      </c>
      <c r="M17" s="318">
        <v>150</v>
      </c>
      <c r="N17" s="318">
        <v>1</v>
      </c>
      <c r="O17" s="318">
        <f t="shared" si="1"/>
        <v>3.38</v>
      </c>
      <c r="P17" s="341">
        <v>1</v>
      </c>
      <c r="Q17" s="755">
        <f t="shared" si="6"/>
        <v>0</v>
      </c>
      <c r="R17" s="341">
        <v>1</v>
      </c>
      <c r="S17" s="318">
        <f t="shared" si="7"/>
        <v>3.38</v>
      </c>
      <c r="T17" s="319"/>
      <c r="V17" s="328">
        <f>3.365</f>
        <v>3.3650000000000002</v>
      </c>
      <c r="W17" s="320">
        <v>1</v>
      </c>
      <c r="X17" s="318">
        <f t="shared" si="2"/>
        <v>3.3650000000000002</v>
      </c>
      <c r="Y17" s="464">
        <v>1</v>
      </c>
      <c r="Z17" s="318">
        <f t="shared" si="3"/>
        <v>3.3650000000000002</v>
      </c>
      <c r="AB17" s="348">
        <f t="shared" si="4"/>
        <v>-1.499999999999968E-2</v>
      </c>
      <c r="AC17" s="348">
        <f t="shared" si="8"/>
        <v>-1.499999999999968E-2</v>
      </c>
    </row>
    <row r="18" spans="1:29">
      <c r="A18" s="318"/>
      <c r="B18" s="319"/>
      <c r="C18" s="318"/>
      <c r="D18" s="318"/>
      <c r="E18" s="319"/>
      <c r="F18" s="319" t="s">
        <v>1443</v>
      </c>
      <c r="G18" s="318" t="s">
        <v>1445</v>
      </c>
      <c r="H18" s="328">
        <v>3.41</v>
      </c>
      <c r="I18" s="318">
        <v>1</v>
      </c>
      <c r="J18" s="318">
        <f t="shared" si="5"/>
        <v>1</v>
      </c>
      <c r="K18" s="328">
        <f t="shared" si="0"/>
        <v>3.41</v>
      </c>
      <c r="L18" s="350" t="s">
        <v>2807</v>
      </c>
      <c r="M18" s="350" t="s">
        <v>2806</v>
      </c>
      <c r="N18" s="318">
        <v>1</v>
      </c>
      <c r="O18" s="318">
        <f t="shared" si="1"/>
        <v>3.41</v>
      </c>
      <c r="P18" s="341">
        <v>1</v>
      </c>
      <c r="Q18" s="755">
        <f t="shared" si="6"/>
        <v>0</v>
      </c>
      <c r="R18" s="341">
        <v>1</v>
      </c>
      <c r="S18" s="318">
        <f t="shared" si="7"/>
        <v>3.41</v>
      </c>
      <c r="T18" s="319" t="s">
        <v>3420</v>
      </c>
      <c r="V18" s="328">
        <f>3.255</f>
        <v>3.2549999999999999</v>
      </c>
      <c r="W18" s="320"/>
      <c r="X18" s="318">
        <f t="shared" si="2"/>
        <v>0</v>
      </c>
      <c r="Y18" s="320"/>
      <c r="Z18" s="318">
        <f t="shared" si="3"/>
        <v>0</v>
      </c>
      <c r="AB18" s="348">
        <f t="shared" si="4"/>
        <v>-3.41</v>
      </c>
      <c r="AC18" s="348">
        <f t="shared" si="8"/>
        <v>-3.41</v>
      </c>
    </row>
    <row r="19" spans="1:29">
      <c r="A19" s="318"/>
      <c r="B19" s="319"/>
      <c r="C19" s="318"/>
      <c r="D19" s="318"/>
      <c r="E19" s="319"/>
      <c r="F19" s="319"/>
      <c r="G19" s="318" t="s">
        <v>1446</v>
      </c>
      <c r="H19" s="328">
        <v>3.77</v>
      </c>
      <c r="I19" s="318">
        <v>1</v>
      </c>
      <c r="J19" s="318">
        <f t="shared" si="5"/>
        <v>1</v>
      </c>
      <c r="K19" s="328">
        <f t="shared" si="0"/>
        <v>3.77</v>
      </c>
      <c r="L19" s="352" t="s">
        <v>2921</v>
      </c>
      <c r="M19" s="350" t="s">
        <v>2882</v>
      </c>
      <c r="N19" s="318">
        <v>1</v>
      </c>
      <c r="O19" s="318">
        <f t="shared" si="1"/>
        <v>3.77</v>
      </c>
      <c r="P19" s="341">
        <v>1</v>
      </c>
      <c r="Q19" s="755">
        <f t="shared" si="6"/>
        <v>0</v>
      </c>
      <c r="R19" s="341">
        <v>1</v>
      </c>
      <c r="S19" s="318">
        <f t="shared" si="7"/>
        <v>3.77</v>
      </c>
      <c r="T19" s="319" t="s">
        <v>3420</v>
      </c>
      <c r="V19" s="328">
        <f>3.255+0.507</f>
        <v>3.762</v>
      </c>
      <c r="W19" s="320"/>
      <c r="X19" s="318">
        <f t="shared" si="2"/>
        <v>0</v>
      </c>
      <c r="Y19" s="464"/>
      <c r="Z19" s="318">
        <f t="shared" si="3"/>
        <v>0</v>
      </c>
      <c r="AB19" s="348">
        <f t="shared" si="4"/>
        <v>-3.77</v>
      </c>
      <c r="AC19" s="348">
        <f t="shared" si="8"/>
        <v>-3.77</v>
      </c>
    </row>
    <row r="20" spans="1:29">
      <c r="A20" s="318"/>
      <c r="B20" s="319"/>
      <c r="C20" s="318"/>
      <c r="D20" s="318"/>
      <c r="E20" s="319"/>
      <c r="F20" s="319"/>
      <c r="G20" s="318" t="s">
        <v>1447</v>
      </c>
      <c r="H20" s="328">
        <v>3.92</v>
      </c>
      <c r="I20" s="318">
        <v>1</v>
      </c>
      <c r="J20" s="318">
        <f t="shared" si="5"/>
        <v>1</v>
      </c>
      <c r="K20" s="328">
        <f t="shared" si="0"/>
        <v>3.92</v>
      </c>
      <c r="L20" s="318" t="s">
        <v>349</v>
      </c>
      <c r="M20" s="318">
        <v>150</v>
      </c>
      <c r="N20" s="318">
        <v>1</v>
      </c>
      <c r="O20" s="318">
        <f t="shared" si="1"/>
        <v>3.92</v>
      </c>
      <c r="P20" s="341">
        <v>1</v>
      </c>
      <c r="Q20" s="755">
        <f t="shared" si="6"/>
        <v>0</v>
      </c>
      <c r="R20" s="341">
        <v>1</v>
      </c>
      <c r="S20" s="318">
        <f t="shared" si="7"/>
        <v>3.92</v>
      </c>
      <c r="T20" s="319" t="s">
        <v>3420</v>
      </c>
      <c r="V20" s="328">
        <f>3.91</f>
        <v>3.91</v>
      </c>
      <c r="W20" s="320">
        <v>1</v>
      </c>
      <c r="X20" s="318">
        <f t="shared" si="2"/>
        <v>3.91</v>
      </c>
      <c r="Y20" s="464"/>
      <c r="Z20" s="318">
        <f t="shared" si="3"/>
        <v>0</v>
      </c>
      <c r="AB20" s="348">
        <f t="shared" si="4"/>
        <v>-9.9999999999997868E-3</v>
      </c>
      <c r="AC20" s="348">
        <f t="shared" si="8"/>
        <v>-3.92</v>
      </c>
    </row>
    <row r="21" spans="1:29">
      <c r="A21" s="318"/>
      <c r="B21" s="319"/>
      <c r="C21" s="318"/>
      <c r="D21" s="318"/>
      <c r="E21" s="319"/>
      <c r="F21" s="319"/>
      <c r="G21" s="318" t="s">
        <v>1448</v>
      </c>
      <c r="H21" s="328">
        <v>3.92</v>
      </c>
      <c r="I21" s="318">
        <v>1</v>
      </c>
      <c r="J21" s="318">
        <f t="shared" si="5"/>
        <v>1</v>
      </c>
      <c r="K21" s="328">
        <f t="shared" si="0"/>
        <v>3.92</v>
      </c>
      <c r="L21" s="318">
        <v>1936</v>
      </c>
      <c r="M21" s="318">
        <v>175</v>
      </c>
      <c r="N21" s="318">
        <v>1</v>
      </c>
      <c r="O21" s="318">
        <f t="shared" si="1"/>
        <v>3.92</v>
      </c>
      <c r="P21" s="341">
        <v>1</v>
      </c>
      <c r="Q21" s="755">
        <f t="shared" si="6"/>
        <v>0</v>
      </c>
      <c r="R21" s="341">
        <v>1</v>
      </c>
      <c r="S21" s="318">
        <f t="shared" si="7"/>
        <v>3.92</v>
      </c>
      <c r="T21" s="319" t="s">
        <v>3420</v>
      </c>
      <c r="V21" s="328">
        <f>3.91</f>
        <v>3.91</v>
      </c>
      <c r="W21" s="320"/>
      <c r="X21" s="318">
        <f t="shared" si="2"/>
        <v>0</v>
      </c>
      <c r="Y21" s="464"/>
      <c r="Z21" s="318">
        <f t="shared" si="3"/>
        <v>0</v>
      </c>
      <c r="AB21" s="348">
        <f t="shared" si="4"/>
        <v>-3.92</v>
      </c>
      <c r="AC21" s="348">
        <f t="shared" si="8"/>
        <v>-3.92</v>
      </c>
    </row>
    <row r="22" spans="1:29">
      <c r="A22" s="318"/>
      <c r="B22" s="319"/>
      <c r="C22" s="318"/>
      <c r="D22" s="318"/>
      <c r="E22" s="319"/>
      <c r="F22" s="319"/>
      <c r="G22" s="318" t="s">
        <v>1449</v>
      </c>
      <c r="H22" s="328">
        <v>3.92</v>
      </c>
      <c r="I22" s="318">
        <v>1</v>
      </c>
      <c r="J22" s="318">
        <f t="shared" si="5"/>
        <v>1</v>
      </c>
      <c r="K22" s="328">
        <f t="shared" si="0"/>
        <v>3.92</v>
      </c>
      <c r="L22" s="350" t="s">
        <v>2831</v>
      </c>
      <c r="M22" s="350" t="s">
        <v>2838</v>
      </c>
      <c r="N22" s="318">
        <v>1</v>
      </c>
      <c r="O22" s="318">
        <f t="shared" si="1"/>
        <v>3.92</v>
      </c>
      <c r="P22" s="341">
        <v>1</v>
      </c>
      <c r="Q22" s="755">
        <f t="shared" si="6"/>
        <v>0</v>
      </c>
      <c r="R22" s="341">
        <v>1</v>
      </c>
      <c r="S22" s="318">
        <f t="shared" si="7"/>
        <v>3.92</v>
      </c>
      <c r="T22" s="319" t="s">
        <v>3420</v>
      </c>
      <c r="V22" s="328">
        <f>3.91</f>
        <v>3.91</v>
      </c>
      <c r="W22" s="320"/>
      <c r="X22" s="318">
        <f t="shared" si="2"/>
        <v>0</v>
      </c>
      <c r="Y22" s="464"/>
      <c r="Z22" s="318">
        <f t="shared" si="3"/>
        <v>0</v>
      </c>
      <c r="AB22" s="348">
        <f t="shared" si="4"/>
        <v>-3.92</v>
      </c>
      <c r="AC22" s="348">
        <f t="shared" si="8"/>
        <v>-3.92</v>
      </c>
    </row>
    <row r="23" spans="1:29">
      <c r="A23" s="318"/>
      <c r="B23" s="319"/>
      <c r="C23" s="318"/>
      <c r="D23" s="318"/>
      <c r="E23" s="319"/>
      <c r="F23" s="319" t="s">
        <v>1443</v>
      </c>
      <c r="G23" s="318" t="s">
        <v>1450</v>
      </c>
      <c r="H23" s="328">
        <v>3.92</v>
      </c>
      <c r="I23" s="318">
        <v>1</v>
      </c>
      <c r="J23" s="318">
        <f t="shared" si="5"/>
        <v>1</v>
      </c>
      <c r="K23" s="328">
        <f t="shared" si="0"/>
        <v>3.92</v>
      </c>
      <c r="L23" s="318" t="s">
        <v>349</v>
      </c>
      <c r="M23" s="318">
        <v>150</v>
      </c>
      <c r="N23" s="318">
        <v>1</v>
      </c>
      <c r="O23" s="318">
        <f t="shared" si="1"/>
        <v>3.92</v>
      </c>
      <c r="P23" s="341">
        <v>1</v>
      </c>
      <c r="Q23" s="755">
        <f t="shared" si="6"/>
        <v>0</v>
      </c>
      <c r="R23" s="341">
        <v>1</v>
      </c>
      <c r="S23" s="318">
        <f t="shared" si="7"/>
        <v>3.92</v>
      </c>
      <c r="T23" s="319" t="s">
        <v>3420</v>
      </c>
      <c r="V23" s="328">
        <f>3.91</f>
        <v>3.91</v>
      </c>
      <c r="W23" s="320">
        <v>1</v>
      </c>
      <c r="X23" s="318">
        <f t="shared" si="2"/>
        <v>3.91</v>
      </c>
      <c r="Y23" s="320"/>
      <c r="Z23" s="318">
        <f t="shared" si="3"/>
        <v>0</v>
      </c>
      <c r="AB23" s="348">
        <f t="shared" si="4"/>
        <v>-9.9999999999997868E-3</v>
      </c>
      <c r="AC23" s="348">
        <f t="shared" si="8"/>
        <v>-3.92</v>
      </c>
    </row>
    <row r="24" spans="1:29">
      <c r="A24" s="318"/>
      <c r="B24" s="319"/>
      <c r="C24" s="318"/>
      <c r="D24" s="318"/>
      <c r="E24" s="319"/>
      <c r="F24" s="319" t="s">
        <v>1443</v>
      </c>
      <c r="G24" s="318" t="s">
        <v>1451</v>
      </c>
      <c r="H24" s="328">
        <v>3.77</v>
      </c>
      <c r="I24" s="318">
        <v>1</v>
      </c>
      <c r="J24" s="318">
        <f t="shared" si="5"/>
        <v>1</v>
      </c>
      <c r="K24" s="328">
        <f>H24*J24</f>
        <v>3.77</v>
      </c>
      <c r="L24" s="352" t="s">
        <v>2884</v>
      </c>
      <c r="M24" s="350" t="s">
        <v>2883</v>
      </c>
      <c r="N24" s="318">
        <v>1</v>
      </c>
      <c r="O24" s="318">
        <f t="shared" si="1"/>
        <v>3.77</v>
      </c>
      <c r="P24" s="341">
        <v>1</v>
      </c>
      <c r="Q24" s="755">
        <f t="shared" si="6"/>
        <v>0</v>
      </c>
      <c r="R24" s="341">
        <v>1</v>
      </c>
      <c r="S24" s="318">
        <f t="shared" si="7"/>
        <v>3.77</v>
      </c>
      <c r="T24" s="319" t="s">
        <v>3420</v>
      </c>
      <c r="V24" s="328">
        <f>0.507+3.255</f>
        <v>3.762</v>
      </c>
      <c r="W24" s="320"/>
      <c r="X24" s="318">
        <f t="shared" si="2"/>
        <v>0</v>
      </c>
      <c r="Y24" s="320"/>
      <c r="Z24" s="318">
        <f t="shared" si="3"/>
        <v>0</v>
      </c>
      <c r="AB24" s="348">
        <f t="shared" si="4"/>
        <v>-3.77</v>
      </c>
      <c r="AC24" s="348">
        <f t="shared" si="8"/>
        <v>-3.77</v>
      </c>
    </row>
    <row r="25" spans="1:29" collapsed="1">
      <c r="A25" s="318"/>
      <c r="B25" s="319"/>
      <c r="C25" s="318"/>
      <c r="D25" s="318"/>
      <c r="E25" s="319"/>
      <c r="F25" s="319"/>
      <c r="G25" s="318" t="s">
        <v>1452</v>
      </c>
      <c r="H25" s="328">
        <v>3.41</v>
      </c>
      <c r="I25" s="318">
        <v>1</v>
      </c>
      <c r="J25" s="318">
        <f t="shared" si="5"/>
        <v>1</v>
      </c>
      <c r="K25" s="328">
        <f t="shared" ref="K25:K43" si="9">H25*J25</f>
        <v>3.41</v>
      </c>
      <c r="L25" s="352" t="s">
        <v>2923</v>
      </c>
      <c r="M25" s="350" t="s">
        <v>2883</v>
      </c>
      <c r="N25" s="318">
        <v>1</v>
      </c>
      <c r="O25" s="318">
        <f t="shared" si="1"/>
        <v>3.41</v>
      </c>
      <c r="P25" s="341">
        <v>1</v>
      </c>
      <c r="Q25" s="755">
        <f t="shared" si="6"/>
        <v>0</v>
      </c>
      <c r="R25" s="341">
        <v>1</v>
      </c>
      <c r="S25" s="318">
        <f t="shared" si="7"/>
        <v>3.41</v>
      </c>
      <c r="T25" s="319" t="s">
        <v>3420</v>
      </c>
      <c r="V25" s="328">
        <f>3.255+0.145</f>
        <v>3.4</v>
      </c>
      <c r="W25" s="320"/>
      <c r="X25" s="318">
        <f t="shared" si="2"/>
        <v>0</v>
      </c>
      <c r="Y25" s="320"/>
      <c r="Z25" s="318">
        <f t="shared" si="3"/>
        <v>0</v>
      </c>
      <c r="AB25" s="348">
        <f t="shared" si="4"/>
        <v>-3.41</v>
      </c>
      <c r="AC25" s="348">
        <f t="shared" si="8"/>
        <v>-3.41</v>
      </c>
    </row>
    <row r="26" spans="1:29">
      <c r="A26" s="318"/>
      <c r="B26" s="319"/>
      <c r="C26" s="318"/>
      <c r="D26" s="318"/>
      <c r="E26" s="319"/>
      <c r="F26" s="319"/>
      <c r="G26" s="318" t="s">
        <v>1453</v>
      </c>
      <c r="H26" s="328">
        <v>3.37</v>
      </c>
      <c r="I26" s="318">
        <v>1</v>
      </c>
      <c r="J26" s="318">
        <f t="shared" si="5"/>
        <v>1</v>
      </c>
      <c r="K26" s="328">
        <f t="shared" si="9"/>
        <v>3.37</v>
      </c>
      <c r="L26" s="352" t="s">
        <v>2754</v>
      </c>
      <c r="M26" s="350" t="s">
        <v>2755</v>
      </c>
      <c r="N26" s="318">
        <v>1</v>
      </c>
      <c r="O26" s="318">
        <f t="shared" si="1"/>
        <v>3.37</v>
      </c>
      <c r="P26" s="341">
        <v>1</v>
      </c>
      <c r="Q26" s="755">
        <f t="shared" si="6"/>
        <v>0</v>
      </c>
      <c r="R26" s="341">
        <v>1</v>
      </c>
      <c r="S26" s="318">
        <f t="shared" si="7"/>
        <v>3.37</v>
      </c>
      <c r="T26" s="319"/>
      <c r="V26" s="328">
        <v>3.3650000000000002</v>
      </c>
      <c r="W26" s="320">
        <f>1/4</f>
        <v>0.25</v>
      </c>
      <c r="X26" s="318">
        <f t="shared" si="2"/>
        <v>0.84125000000000005</v>
      </c>
      <c r="Y26" s="320"/>
      <c r="Z26" s="318">
        <f t="shared" si="3"/>
        <v>0</v>
      </c>
      <c r="AB26" s="348">
        <f t="shared" si="4"/>
        <v>-2.5287500000000001</v>
      </c>
      <c r="AC26" s="348">
        <f t="shared" si="8"/>
        <v>-3.37</v>
      </c>
    </row>
    <row r="27" spans="1:29">
      <c r="A27" s="318"/>
      <c r="B27" s="319"/>
      <c r="C27" s="318"/>
      <c r="D27" s="318"/>
      <c r="E27" s="319"/>
      <c r="F27" s="319"/>
      <c r="G27" s="318" t="s">
        <v>1454</v>
      </c>
      <c r="H27" s="328">
        <v>3.37</v>
      </c>
      <c r="I27" s="318">
        <v>1</v>
      </c>
      <c r="J27" s="318">
        <f t="shared" si="5"/>
        <v>1</v>
      </c>
      <c r="K27" s="328">
        <f t="shared" si="9"/>
        <v>3.37</v>
      </c>
      <c r="L27" s="350" t="s">
        <v>2782</v>
      </c>
      <c r="M27" s="318">
        <v>194</v>
      </c>
      <c r="N27" s="318">
        <v>1</v>
      </c>
      <c r="O27" s="318">
        <f t="shared" si="1"/>
        <v>3.37</v>
      </c>
      <c r="P27" s="341">
        <v>1</v>
      </c>
      <c r="Q27" s="755">
        <f t="shared" si="6"/>
        <v>0</v>
      </c>
      <c r="R27" s="341">
        <v>1</v>
      </c>
      <c r="S27" s="318">
        <f t="shared" si="7"/>
        <v>3.37</v>
      </c>
      <c r="T27" s="319"/>
      <c r="V27" s="328">
        <v>3.3650000000000002</v>
      </c>
      <c r="W27" s="458">
        <f>2/3</f>
        <v>0.66666666666666663</v>
      </c>
      <c r="X27" s="318">
        <f t="shared" si="2"/>
        <v>2.2433333333333332</v>
      </c>
      <c r="Y27" s="320"/>
      <c r="Z27" s="318">
        <f t="shared" si="3"/>
        <v>0</v>
      </c>
      <c r="AB27" s="458">
        <f t="shared" si="4"/>
        <v>-1.1266666666666669</v>
      </c>
      <c r="AC27" s="348">
        <f t="shared" si="8"/>
        <v>-3.37</v>
      </c>
    </row>
    <row r="28" spans="1:29" ht="20.399999999999999">
      <c r="A28" s="318"/>
      <c r="B28" s="319"/>
      <c r="C28" s="318"/>
      <c r="D28" s="318"/>
      <c r="E28" s="319"/>
      <c r="F28" s="336" t="s">
        <v>604</v>
      </c>
      <c r="G28" s="318" t="s">
        <v>1455</v>
      </c>
      <c r="H28" s="328">
        <v>4.49</v>
      </c>
      <c r="I28" s="318">
        <v>1</v>
      </c>
      <c r="J28" s="318">
        <f t="shared" si="5"/>
        <v>1</v>
      </c>
      <c r="K28" s="328">
        <f t="shared" si="9"/>
        <v>4.49</v>
      </c>
      <c r="L28" s="350" t="s">
        <v>2788</v>
      </c>
      <c r="M28" s="318">
        <v>193</v>
      </c>
      <c r="N28" s="318">
        <v>1</v>
      </c>
      <c r="O28" s="318">
        <f t="shared" si="1"/>
        <v>4.49</v>
      </c>
      <c r="P28" s="593">
        <v>1</v>
      </c>
      <c r="Q28" s="755">
        <f t="shared" si="6"/>
        <v>0</v>
      </c>
      <c r="R28" s="341">
        <v>1</v>
      </c>
      <c r="S28" s="318">
        <f t="shared" si="7"/>
        <v>4.49</v>
      </c>
      <c r="T28" s="319"/>
      <c r="V28" s="328">
        <v>4.49</v>
      </c>
      <c r="W28" s="320"/>
      <c r="X28" s="318">
        <f t="shared" si="2"/>
        <v>0</v>
      </c>
      <c r="Y28" s="320"/>
      <c r="Z28" s="318">
        <f t="shared" si="3"/>
        <v>0</v>
      </c>
      <c r="AB28" s="458">
        <f t="shared" si="4"/>
        <v>-4.49</v>
      </c>
      <c r="AC28" s="348">
        <f t="shared" si="8"/>
        <v>-4.49</v>
      </c>
    </row>
    <row r="29" spans="1:29">
      <c r="A29" s="318"/>
      <c r="B29" s="319"/>
      <c r="C29" s="318"/>
      <c r="D29" s="318"/>
      <c r="E29" s="319"/>
      <c r="F29" s="319"/>
      <c r="G29" s="649" t="s">
        <v>385</v>
      </c>
      <c r="H29" s="328">
        <v>4.49</v>
      </c>
      <c r="I29" s="318">
        <v>1</v>
      </c>
      <c r="J29" s="318">
        <f t="shared" si="5"/>
        <v>1</v>
      </c>
      <c r="K29" s="328">
        <f t="shared" si="9"/>
        <v>4.49</v>
      </c>
      <c r="L29" s="875" t="s">
        <v>3471</v>
      </c>
      <c r="M29" s="350" t="s">
        <v>2842</v>
      </c>
      <c r="N29" s="318">
        <v>1</v>
      </c>
      <c r="O29" s="619">
        <f t="shared" si="1"/>
        <v>4.49</v>
      </c>
      <c r="P29" s="633"/>
      <c r="Q29" s="755">
        <f>R29-P29</f>
        <v>0</v>
      </c>
      <c r="R29" s="341">
        <v>0</v>
      </c>
      <c r="S29" s="318">
        <f>H29*R29</f>
        <v>0</v>
      </c>
      <c r="T29" s="583" t="s">
        <v>3210</v>
      </c>
      <c r="V29" s="328">
        <v>4.49</v>
      </c>
      <c r="W29" s="318"/>
      <c r="X29" s="318">
        <f t="shared" si="2"/>
        <v>0</v>
      </c>
      <c r="Y29" s="318"/>
      <c r="Z29" s="318">
        <f t="shared" si="3"/>
        <v>0</v>
      </c>
      <c r="AB29" s="348">
        <f t="shared" si="4"/>
        <v>-4.49</v>
      </c>
      <c r="AC29" s="348">
        <f t="shared" si="8"/>
        <v>0</v>
      </c>
    </row>
    <row r="30" spans="1:29">
      <c r="A30" s="318"/>
      <c r="B30" s="319"/>
      <c r="C30" s="318"/>
      <c r="D30" s="318"/>
      <c r="E30" s="319"/>
      <c r="F30" s="319"/>
      <c r="G30" s="649" t="s">
        <v>386</v>
      </c>
      <c r="H30" s="328">
        <v>4.49</v>
      </c>
      <c r="I30" s="318">
        <v>1</v>
      </c>
      <c r="J30" s="318">
        <f t="shared" si="5"/>
        <v>1</v>
      </c>
      <c r="K30" s="328">
        <f t="shared" si="9"/>
        <v>4.49</v>
      </c>
      <c r="L30" s="875" t="s">
        <v>3471</v>
      </c>
      <c r="M30" s="350" t="s">
        <v>2842</v>
      </c>
      <c r="N30" s="318">
        <v>1</v>
      </c>
      <c r="O30" s="619">
        <f t="shared" si="1"/>
        <v>4.49</v>
      </c>
      <c r="P30" s="755">
        <v>1</v>
      </c>
      <c r="Q30" s="755">
        <f t="shared" si="6"/>
        <v>0</v>
      </c>
      <c r="R30" s="341">
        <v>1</v>
      </c>
      <c r="S30" s="318">
        <f t="shared" ref="S30:S43" si="10">H30*R30</f>
        <v>4.49</v>
      </c>
      <c r="T30" s="389" t="s">
        <v>3764</v>
      </c>
      <c r="V30" s="328">
        <v>4.49</v>
      </c>
      <c r="W30" s="318"/>
      <c r="X30" s="318">
        <f t="shared" si="2"/>
        <v>0</v>
      </c>
      <c r="Y30" s="318"/>
      <c r="Z30" s="318">
        <f t="shared" si="3"/>
        <v>0</v>
      </c>
      <c r="AB30" s="348">
        <f t="shared" si="4"/>
        <v>-4.49</v>
      </c>
      <c r="AC30" s="348">
        <f t="shared" si="8"/>
        <v>-4.49</v>
      </c>
    </row>
    <row r="31" spans="1:29">
      <c r="A31" s="318"/>
      <c r="B31" s="319"/>
      <c r="C31" s="318"/>
      <c r="D31" s="318"/>
      <c r="E31" s="319"/>
      <c r="F31" s="319"/>
      <c r="G31" s="649" t="s">
        <v>387</v>
      </c>
      <c r="H31" s="328">
        <v>4.49</v>
      </c>
      <c r="I31" s="318">
        <v>1</v>
      </c>
      <c r="J31" s="318">
        <v>1</v>
      </c>
      <c r="K31" s="328">
        <f t="shared" si="9"/>
        <v>4.49</v>
      </c>
      <c r="L31" s="350" t="s">
        <v>3470</v>
      </c>
      <c r="M31" s="318"/>
      <c r="N31" s="318">
        <v>1</v>
      </c>
      <c r="O31" s="619">
        <f t="shared" si="1"/>
        <v>4.49</v>
      </c>
      <c r="P31" s="755">
        <v>1</v>
      </c>
      <c r="Q31" s="755">
        <f t="shared" si="6"/>
        <v>0</v>
      </c>
      <c r="R31" s="341">
        <v>1</v>
      </c>
      <c r="S31" s="318">
        <f t="shared" si="10"/>
        <v>4.49</v>
      </c>
      <c r="T31" s="389" t="s">
        <v>3764</v>
      </c>
      <c r="V31" s="328">
        <v>4.49</v>
      </c>
      <c r="W31" s="318"/>
      <c r="X31" s="318">
        <f t="shared" si="2"/>
        <v>0</v>
      </c>
      <c r="Y31" s="318"/>
      <c r="Z31" s="318">
        <f t="shared" si="3"/>
        <v>0</v>
      </c>
      <c r="AB31" s="348">
        <f t="shared" si="4"/>
        <v>-4.49</v>
      </c>
      <c r="AC31" s="348">
        <f t="shared" si="8"/>
        <v>-4.49</v>
      </c>
    </row>
    <row r="32" spans="1:29">
      <c r="A32" s="318"/>
      <c r="B32" s="319"/>
      <c r="C32" s="318"/>
      <c r="D32" s="318"/>
      <c r="E32" s="319"/>
      <c r="F32" s="319"/>
      <c r="G32" s="649" t="s">
        <v>388</v>
      </c>
      <c r="H32" s="328">
        <v>4.49</v>
      </c>
      <c r="I32" s="318">
        <v>1</v>
      </c>
      <c r="J32" s="318">
        <v>1</v>
      </c>
      <c r="K32" s="328">
        <f t="shared" si="9"/>
        <v>4.49</v>
      </c>
      <c r="L32" s="350" t="s">
        <v>3470</v>
      </c>
      <c r="M32" s="318"/>
      <c r="N32" s="318">
        <v>1</v>
      </c>
      <c r="O32" s="619">
        <f t="shared" si="1"/>
        <v>4.49</v>
      </c>
      <c r="P32" s="755">
        <v>1</v>
      </c>
      <c r="Q32" s="755">
        <f t="shared" si="6"/>
        <v>0</v>
      </c>
      <c r="R32" s="341">
        <v>1</v>
      </c>
      <c r="S32" s="318">
        <f t="shared" si="10"/>
        <v>4.49</v>
      </c>
      <c r="T32" s="389" t="s">
        <v>3764</v>
      </c>
      <c r="V32" s="328">
        <v>4.49</v>
      </c>
      <c r="W32" s="318"/>
      <c r="X32" s="318">
        <f t="shared" si="2"/>
        <v>0</v>
      </c>
      <c r="Y32" s="318"/>
      <c r="Z32" s="318">
        <f t="shared" si="3"/>
        <v>0</v>
      </c>
      <c r="AB32" s="348">
        <f t="shared" si="4"/>
        <v>-4.49</v>
      </c>
      <c r="AC32" s="348">
        <f t="shared" si="8"/>
        <v>-4.49</v>
      </c>
    </row>
    <row r="33" spans="1:29" ht="20.399999999999999">
      <c r="A33" s="318"/>
      <c r="B33" s="319"/>
      <c r="C33" s="318"/>
      <c r="D33" s="318"/>
      <c r="E33" s="319"/>
      <c r="F33" s="336" t="s">
        <v>604</v>
      </c>
      <c r="G33" s="649" t="s">
        <v>1457</v>
      </c>
      <c r="H33" s="328">
        <v>4.49</v>
      </c>
      <c r="I33" s="318">
        <v>1</v>
      </c>
      <c r="J33" s="318">
        <v>1</v>
      </c>
      <c r="K33" s="328">
        <f t="shared" si="9"/>
        <v>4.49</v>
      </c>
      <c r="L33" s="350" t="s">
        <v>3178</v>
      </c>
      <c r="M33" s="318"/>
      <c r="N33" s="318">
        <v>1</v>
      </c>
      <c r="O33" s="619">
        <f t="shared" ref="O33:O43" si="11">H33*N33</f>
        <v>4.49</v>
      </c>
      <c r="P33" s="755">
        <v>1</v>
      </c>
      <c r="Q33" s="755">
        <f t="shared" si="6"/>
        <v>0</v>
      </c>
      <c r="R33" s="341">
        <v>1</v>
      </c>
      <c r="S33" s="318">
        <f t="shared" si="10"/>
        <v>4.49</v>
      </c>
      <c r="T33" s="389" t="s">
        <v>3764</v>
      </c>
      <c r="V33" s="328">
        <v>4.49</v>
      </c>
      <c r="W33" s="320"/>
      <c r="X33" s="318">
        <f t="shared" si="2"/>
        <v>0</v>
      </c>
      <c r="Y33" s="320"/>
      <c r="Z33" s="318">
        <f t="shared" si="3"/>
        <v>0</v>
      </c>
      <c r="AB33" s="458">
        <f t="shared" si="4"/>
        <v>-4.49</v>
      </c>
      <c r="AC33" s="348">
        <f t="shared" si="8"/>
        <v>-4.49</v>
      </c>
    </row>
    <row r="34" spans="1:29">
      <c r="A34" s="318"/>
      <c r="B34" s="319"/>
      <c r="C34" s="318"/>
      <c r="D34" s="318"/>
      <c r="E34" s="319"/>
      <c r="F34" s="319"/>
      <c r="G34" s="649" t="s">
        <v>1458</v>
      </c>
      <c r="H34" s="328">
        <v>4.49</v>
      </c>
      <c r="I34" s="318">
        <v>1</v>
      </c>
      <c r="J34" s="318">
        <f t="shared" si="5"/>
        <v>1</v>
      </c>
      <c r="K34" s="328">
        <f t="shared" si="9"/>
        <v>4.49</v>
      </c>
      <c r="L34" s="350" t="s">
        <v>3178</v>
      </c>
      <c r="M34" s="318"/>
      <c r="N34" s="318">
        <v>1</v>
      </c>
      <c r="O34" s="619">
        <f t="shared" si="11"/>
        <v>4.49</v>
      </c>
      <c r="P34" s="755">
        <v>1</v>
      </c>
      <c r="Q34" s="755">
        <f t="shared" si="6"/>
        <v>0</v>
      </c>
      <c r="R34" s="341">
        <v>1</v>
      </c>
      <c r="S34" s="318">
        <f t="shared" si="10"/>
        <v>4.49</v>
      </c>
      <c r="T34" s="389" t="s">
        <v>3764</v>
      </c>
      <c r="V34" s="328">
        <v>4.49</v>
      </c>
      <c r="W34" s="320"/>
      <c r="X34" s="318">
        <f t="shared" si="2"/>
        <v>0</v>
      </c>
      <c r="Y34" s="320"/>
      <c r="Z34" s="318">
        <f t="shared" si="3"/>
        <v>0</v>
      </c>
      <c r="AB34" s="458">
        <f t="shared" si="4"/>
        <v>-4.49</v>
      </c>
      <c r="AC34" s="348">
        <f t="shared" si="8"/>
        <v>-4.49</v>
      </c>
    </row>
    <row r="35" spans="1:29">
      <c r="A35" s="318"/>
      <c r="B35" s="319"/>
      <c r="C35" s="318"/>
      <c r="D35" s="318"/>
      <c r="E35" s="319"/>
      <c r="F35" s="319"/>
      <c r="G35" s="649" t="s">
        <v>1459</v>
      </c>
      <c r="H35" s="328">
        <v>4.49</v>
      </c>
      <c r="I35" s="318">
        <v>1</v>
      </c>
      <c r="J35" s="318">
        <f t="shared" si="5"/>
        <v>1</v>
      </c>
      <c r="K35" s="328">
        <f t="shared" si="9"/>
        <v>4.49</v>
      </c>
      <c r="L35" s="318">
        <v>2041</v>
      </c>
      <c r="M35" s="318">
        <v>189</v>
      </c>
      <c r="N35" s="318">
        <v>1</v>
      </c>
      <c r="O35" s="619">
        <f t="shared" si="11"/>
        <v>4.49</v>
      </c>
      <c r="P35" s="755">
        <v>1</v>
      </c>
      <c r="Q35" s="755">
        <f t="shared" si="6"/>
        <v>0</v>
      </c>
      <c r="R35" s="341">
        <v>1</v>
      </c>
      <c r="S35" s="318">
        <f t="shared" si="10"/>
        <v>4.49</v>
      </c>
      <c r="T35" s="389" t="s">
        <v>3702</v>
      </c>
      <c r="V35" s="328">
        <v>4.49</v>
      </c>
      <c r="W35" s="320"/>
      <c r="X35" s="318">
        <f t="shared" si="2"/>
        <v>0</v>
      </c>
      <c r="Y35" s="320"/>
      <c r="Z35" s="318">
        <f t="shared" si="3"/>
        <v>0</v>
      </c>
      <c r="AB35" s="458">
        <f t="shared" si="4"/>
        <v>-4.49</v>
      </c>
      <c r="AC35" s="348">
        <f t="shared" si="8"/>
        <v>-4.49</v>
      </c>
    </row>
    <row r="36" spans="1:29">
      <c r="A36" s="318"/>
      <c r="B36" s="319"/>
      <c r="C36" s="318"/>
      <c r="D36" s="318"/>
      <c r="E36" s="319"/>
      <c r="F36" s="319"/>
      <c r="G36" s="649" t="s">
        <v>1460</v>
      </c>
      <c r="H36" s="328">
        <v>4.49</v>
      </c>
      <c r="I36" s="318">
        <v>1</v>
      </c>
      <c r="J36" s="318">
        <f t="shared" si="5"/>
        <v>1</v>
      </c>
      <c r="K36" s="328">
        <f t="shared" si="9"/>
        <v>4.49</v>
      </c>
      <c r="L36" s="318">
        <v>2026</v>
      </c>
      <c r="M36" s="318">
        <v>187</v>
      </c>
      <c r="N36" s="318">
        <v>1</v>
      </c>
      <c r="O36" s="619">
        <f t="shared" si="11"/>
        <v>4.49</v>
      </c>
      <c r="P36" s="755">
        <v>1</v>
      </c>
      <c r="Q36" s="755">
        <f t="shared" si="6"/>
        <v>0</v>
      </c>
      <c r="R36" s="341">
        <v>1</v>
      </c>
      <c r="S36" s="318">
        <f t="shared" si="10"/>
        <v>4.49</v>
      </c>
      <c r="T36" s="389" t="s">
        <v>3702</v>
      </c>
      <c r="V36" s="328">
        <v>4.49</v>
      </c>
      <c r="W36" s="320"/>
      <c r="X36" s="318">
        <f t="shared" si="2"/>
        <v>0</v>
      </c>
      <c r="Y36" s="320"/>
      <c r="Z36" s="318">
        <f t="shared" si="3"/>
        <v>0</v>
      </c>
      <c r="AB36" s="458">
        <f t="shared" si="4"/>
        <v>-4.49</v>
      </c>
      <c r="AC36" s="348">
        <f t="shared" si="8"/>
        <v>-4.49</v>
      </c>
    </row>
    <row r="37" spans="1:29">
      <c r="A37" s="318"/>
      <c r="B37" s="319"/>
      <c r="C37" s="318"/>
      <c r="D37" s="318"/>
      <c r="E37" s="319"/>
      <c r="F37" s="319"/>
      <c r="G37" s="649" t="s">
        <v>1461</v>
      </c>
      <c r="H37" s="328">
        <v>4.17</v>
      </c>
      <c r="I37" s="318">
        <v>1</v>
      </c>
      <c r="J37" s="318">
        <f t="shared" si="5"/>
        <v>1</v>
      </c>
      <c r="K37" s="328">
        <f t="shared" si="9"/>
        <v>4.17</v>
      </c>
      <c r="L37" s="350" t="s">
        <v>2810</v>
      </c>
      <c r="M37" s="350" t="s">
        <v>2855</v>
      </c>
      <c r="N37" s="318">
        <v>1</v>
      </c>
      <c r="O37" s="619">
        <f t="shared" si="11"/>
        <v>4.17</v>
      </c>
      <c r="P37" s="755">
        <v>1</v>
      </c>
      <c r="Q37" s="755">
        <f t="shared" si="6"/>
        <v>0</v>
      </c>
      <c r="R37" s="341">
        <v>1</v>
      </c>
      <c r="S37" s="318">
        <f t="shared" si="10"/>
        <v>4.17</v>
      </c>
      <c r="T37" s="389" t="s">
        <v>3702</v>
      </c>
      <c r="V37" s="328">
        <v>4.1550000000000002</v>
      </c>
      <c r="W37" s="320"/>
      <c r="X37" s="318">
        <f t="shared" si="2"/>
        <v>0</v>
      </c>
      <c r="Y37" s="320"/>
      <c r="Z37" s="318">
        <f t="shared" si="3"/>
        <v>0</v>
      </c>
      <c r="AB37" s="458">
        <f t="shared" si="4"/>
        <v>-4.17</v>
      </c>
      <c r="AC37" s="348">
        <f t="shared" si="8"/>
        <v>-4.17</v>
      </c>
    </row>
    <row r="38" spans="1:29">
      <c r="A38" s="318"/>
      <c r="B38" s="319"/>
      <c r="C38" s="318"/>
      <c r="D38" s="318"/>
      <c r="E38" s="319"/>
      <c r="F38" s="319"/>
      <c r="G38" s="318" t="s">
        <v>1462</v>
      </c>
      <c r="H38" s="328">
        <v>5.01</v>
      </c>
      <c r="I38" s="318">
        <v>1</v>
      </c>
      <c r="J38" s="318">
        <f t="shared" si="5"/>
        <v>1</v>
      </c>
      <c r="K38" s="328">
        <f t="shared" si="9"/>
        <v>5.01</v>
      </c>
      <c r="L38" s="352" t="s">
        <v>2881</v>
      </c>
      <c r="M38" s="350" t="s">
        <v>2878</v>
      </c>
      <c r="N38" s="318">
        <v>1</v>
      </c>
      <c r="O38" s="619">
        <f t="shared" si="11"/>
        <v>5.01</v>
      </c>
      <c r="P38" s="755">
        <v>1</v>
      </c>
      <c r="Q38" s="755">
        <f t="shared" si="6"/>
        <v>0</v>
      </c>
      <c r="R38" s="341">
        <v>1</v>
      </c>
      <c r="S38" s="318">
        <f t="shared" si="10"/>
        <v>5.01</v>
      </c>
      <c r="T38" s="319"/>
      <c r="V38" s="328">
        <f>2.135-0.6+3.495</f>
        <v>5.0299999999999994</v>
      </c>
      <c r="W38" s="320"/>
      <c r="X38" s="318">
        <f t="shared" si="2"/>
        <v>0</v>
      </c>
      <c r="Y38" s="320"/>
      <c r="Z38" s="318">
        <f t="shared" si="3"/>
        <v>0</v>
      </c>
      <c r="AB38" s="458">
        <f t="shared" si="4"/>
        <v>-5.01</v>
      </c>
      <c r="AC38" s="348">
        <f t="shared" si="8"/>
        <v>-5.01</v>
      </c>
    </row>
    <row r="39" spans="1:29">
      <c r="A39" s="318"/>
      <c r="B39" s="319"/>
      <c r="C39" s="318"/>
      <c r="D39" s="318"/>
      <c r="E39" s="319"/>
      <c r="F39" s="319"/>
      <c r="G39" s="318" t="s">
        <v>1463</v>
      </c>
      <c r="H39" s="328">
        <v>4.49</v>
      </c>
      <c r="I39" s="318">
        <v>1</v>
      </c>
      <c r="J39" s="318">
        <f t="shared" si="5"/>
        <v>1</v>
      </c>
      <c r="K39" s="328">
        <f t="shared" si="9"/>
        <v>4.49</v>
      </c>
      <c r="L39" s="350" t="s">
        <v>2803</v>
      </c>
      <c r="M39" s="318">
        <v>205</v>
      </c>
      <c r="N39" s="318">
        <v>1</v>
      </c>
      <c r="O39" s="619">
        <f t="shared" si="11"/>
        <v>4.49</v>
      </c>
      <c r="P39" s="755">
        <v>1</v>
      </c>
      <c r="Q39" s="755">
        <f t="shared" si="6"/>
        <v>0</v>
      </c>
      <c r="R39" s="341">
        <v>1</v>
      </c>
      <c r="S39" s="318">
        <f t="shared" si="10"/>
        <v>4.49</v>
      </c>
      <c r="T39" s="319"/>
      <c r="V39" s="328">
        <v>4.49</v>
      </c>
      <c r="W39" s="320"/>
      <c r="X39" s="318">
        <f t="shared" si="2"/>
        <v>0</v>
      </c>
      <c r="Y39" s="320"/>
      <c r="Z39" s="318">
        <f t="shared" si="3"/>
        <v>0</v>
      </c>
      <c r="AB39" s="458">
        <f t="shared" si="4"/>
        <v>-4.49</v>
      </c>
      <c r="AC39" s="348">
        <f t="shared" si="8"/>
        <v>-4.49</v>
      </c>
    </row>
    <row r="40" spans="1:29">
      <c r="A40" s="318"/>
      <c r="B40" s="319"/>
      <c r="C40" s="318"/>
      <c r="D40" s="318"/>
      <c r="E40" s="319"/>
      <c r="F40" s="319"/>
      <c r="G40" s="318" t="s">
        <v>1464</v>
      </c>
      <c r="H40" s="328">
        <v>4.49</v>
      </c>
      <c r="I40" s="318">
        <v>1</v>
      </c>
      <c r="J40" s="318">
        <f t="shared" si="5"/>
        <v>1</v>
      </c>
      <c r="K40" s="328">
        <f t="shared" si="9"/>
        <v>4.49</v>
      </c>
      <c r="L40" s="350" t="s">
        <v>2804</v>
      </c>
      <c r="M40" s="318">
        <v>206</v>
      </c>
      <c r="N40" s="318">
        <v>1</v>
      </c>
      <c r="O40" s="619">
        <f t="shared" si="11"/>
        <v>4.49</v>
      </c>
      <c r="P40" s="755">
        <v>1</v>
      </c>
      <c r="Q40" s="755">
        <f t="shared" si="6"/>
        <v>0</v>
      </c>
      <c r="R40" s="341">
        <v>1</v>
      </c>
      <c r="S40" s="318">
        <f t="shared" si="10"/>
        <v>4.49</v>
      </c>
      <c r="T40" s="319"/>
      <c r="V40" s="328">
        <v>4.49</v>
      </c>
      <c r="W40" s="320"/>
      <c r="X40" s="318">
        <f t="shared" si="2"/>
        <v>0</v>
      </c>
      <c r="Y40" s="320"/>
      <c r="Z40" s="318">
        <f t="shared" si="3"/>
        <v>0</v>
      </c>
      <c r="AB40" s="458">
        <f t="shared" si="4"/>
        <v>-4.49</v>
      </c>
      <c r="AC40" s="348">
        <f t="shared" si="8"/>
        <v>-4.49</v>
      </c>
    </row>
    <row r="41" spans="1:29">
      <c r="A41" s="318"/>
      <c r="B41" s="319"/>
      <c r="C41" s="318"/>
      <c r="D41" s="318"/>
      <c r="E41" s="319"/>
      <c r="F41" s="319"/>
      <c r="G41" s="318" t="s">
        <v>1465</v>
      </c>
      <c r="H41" s="328">
        <v>4.49</v>
      </c>
      <c r="I41" s="318">
        <v>1</v>
      </c>
      <c r="J41" s="318">
        <f t="shared" si="5"/>
        <v>1</v>
      </c>
      <c r="K41" s="328">
        <f t="shared" si="9"/>
        <v>4.49</v>
      </c>
      <c r="L41" s="318">
        <v>2041</v>
      </c>
      <c r="M41" s="318">
        <v>189</v>
      </c>
      <c r="N41" s="318">
        <v>1</v>
      </c>
      <c r="O41" s="619">
        <f t="shared" si="11"/>
        <v>4.49</v>
      </c>
      <c r="P41" s="755">
        <v>1</v>
      </c>
      <c r="Q41" s="755">
        <f t="shared" si="6"/>
        <v>0</v>
      </c>
      <c r="R41" s="341">
        <v>1</v>
      </c>
      <c r="S41" s="318">
        <f t="shared" si="10"/>
        <v>4.49</v>
      </c>
      <c r="T41" s="319"/>
      <c r="V41" s="328">
        <v>4.49</v>
      </c>
      <c r="W41" s="320"/>
      <c r="X41" s="318">
        <f t="shared" si="2"/>
        <v>0</v>
      </c>
      <c r="Y41" s="320"/>
      <c r="Z41" s="318">
        <f t="shared" si="3"/>
        <v>0</v>
      </c>
      <c r="AB41" s="458">
        <f t="shared" si="4"/>
        <v>-4.49</v>
      </c>
      <c r="AC41" s="348">
        <f t="shared" si="8"/>
        <v>-4.49</v>
      </c>
    </row>
    <row r="42" spans="1:29">
      <c r="A42" s="318"/>
      <c r="B42" s="319"/>
      <c r="C42" s="318"/>
      <c r="D42" s="318"/>
      <c r="E42" s="319"/>
      <c r="F42" s="319"/>
      <c r="G42" s="318" t="s">
        <v>1466</v>
      </c>
      <c r="H42" s="328">
        <v>4.49</v>
      </c>
      <c r="I42" s="318">
        <v>1</v>
      </c>
      <c r="J42" s="318">
        <f t="shared" si="5"/>
        <v>1</v>
      </c>
      <c r="K42" s="328">
        <f t="shared" si="9"/>
        <v>4.49</v>
      </c>
      <c r="L42" s="571" t="s">
        <v>3104</v>
      </c>
      <c r="M42" s="352" t="s">
        <v>2919</v>
      </c>
      <c r="N42" s="318">
        <v>1</v>
      </c>
      <c r="O42" s="619">
        <f t="shared" si="11"/>
        <v>4.49</v>
      </c>
      <c r="P42" s="755">
        <v>1</v>
      </c>
      <c r="Q42" s="755">
        <f t="shared" si="6"/>
        <v>0</v>
      </c>
      <c r="R42" s="341">
        <v>1</v>
      </c>
      <c r="S42" s="318">
        <f t="shared" si="10"/>
        <v>4.49</v>
      </c>
      <c r="T42" s="319"/>
      <c r="V42" s="328">
        <v>4.49</v>
      </c>
      <c r="W42" s="320"/>
      <c r="X42" s="318">
        <f t="shared" si="2"/>
        <v>0</v>
      </c>
      <c r="Y42" s="320"/>
      <c r="Z42" s="318">
        <f t="shared" si="3"/>
        <v>0</v>
      </c>
      <c r="AB42" s="458">
        <f t="shared" si="4"/>
        <v>-4.49</v>
      </c>
      <c r="AC42" s="348">
        <f t="shared" si="8"/>
        <v>-4.49</v>
      </c>
    </row>
    <row r="43" spans="1:29">
      <c r="A43" s="318"/>
      <c r="B43" s="319"/>
      <c r="C43" s="318"/>
      <c r="D43" s="318"/>
      <c r="E43" s="319"/>
      <c r="F43" s="319" t="s">
        <v>696</v>
      </c>
      <c r="G43" s="318" t="s">
        <v>1467</v>
      </c>
      <c r="H43" s="328">
        <v>5.01</v>
      </c>
      <c r="I43" s="318">
        <v>1</v>
      </c>
      <c r="J43" s="318">
        <f t="shared" si="5"/>
        <v>1</v>
      </c>
      <c r="K43" s="328">
        <f t="shared" si="9"/>
        <v>5.01</v>
      </c>
      <c r="L43" s="571" t="s">
        <v>3089</v>
      </c>
      <c r="M43" s="350" t="s">
        <v>2878</v>
      </c>
      <c r="N43" s="318">
        <v>1</v>
      </c>
      <c r="O43" s="619">
        <f t="shared" si="11"/>
        <v>5.01</v>
      </c>
      <c r="P43" s="755">
        <v>1</v>
      </c>
      <c r="Q43" s="755">
        <f t="shared" si="6"/>
        <v>0</v>
      </c>
      <c r="R43" s="341">
        <v>1</v>
      </c>
      <c r="S43" s="318">
        <f t="shared" si="10"/>
        <v>5.01</v>
      </c>
      <c r="T43" s="319"/>
      <c r="V43" s="328">
        <f>2.135-0.6+3.495</f>
        <v>5.0299999999999994</v>
      </c>
      <c r="W43" s="320"/>
      <c r="X43" s="318">
        <f t="shared" si="2"/>
        <v>0</v>
      </c>
      <c r="Y43" s="320"/>
      <c r="Z43" s="318">
        <f t="shared" si="3"/>
        <v>0</v>
      </c>
      <c r="AB43" s="458">
        <f t="shared" si="4"/>
        <v>-5.01</v>
      </c>
      <c r="AC43" s="348">
        <f t="shared" si="8"/>
        <v>-5.01</v>
      </c>
    </row>
    <row r="44" spans="1:29">
      <c r="A44" s="318"/>
      <c r="B44" s="319"/>
      <c r="C44" s="318"/>
      <c r="D44" s="318"/>
      <c r="E44" s="319"/>
      <c r="F44" s="319"/>
      <c r="G44" s="318"/>
      <c r="H44" s="328"/>
      <c r="I44" s="318"/>
      <c r="J44" s="382" t="s">
        <v>389</v>
      </c>
      <c r="K44" s="338">
        <f>SUM(K6:K43)</f>
        <v>160.67999999999998</v>
      </c>
      <c r="L44" s="318"/>
      <c r="M44" s="318"/>
      <c r="N44" s="382" t="s">
        <v>389</v>
      </c>
      <c r="O44" s="759">
        <f>SUM(O6:O43)</f>
        <v>160.67999999999998</v>
      </c>
      <c r="P44" s="751" t="s">
        <v>389</v>
      </c>
      <c r="Q44" s="751"/>
      <c r="R44" s="382"/>
      <c r="S44" s="338">
        <f>SUM(S6:S43)</f>
        <v>156.19</v>
      </c>
      <c r="T44" s="319"/>
      <c r="V44" s="328"/>
      <c r="W44" s="321" t="s">
        <v>389</v>
      </c>
      <c r="X44" s="338">
        <f>SUM(X6:X43)</f>
        <v>55.632083333333348</v>
      </c>
      <c r="Y44" s="321" t="s">
        <v>389</v>
      </c>
      <c r="Z44" s="338">
        <f>SUM(Z6:Z43)</f>
        <v>42.650000000000013</v>
      </c>
      <c r="AB44" s="338"/>
      <c r="AC44" s="338"/>
    </row>
    <row r="45" spans="1:29" ht="6.75" customHeight="1">
      <c r="A45" s="316"/>
      <c r="B45" s="317"/>
      <c r="C45" s="316"/>
      <c r="D45" s="316"/>
      <c r="E45" s="317"/>
      <c r="F45" s="317"/>
      <c r="G45" s="316"/>
      <c r="H45" s="332"/>
      <c r="I45" s="316"/>
      <c r="J45" s="316"/>
      <c r="K45" s="316"/>
      <c r="L45" s="316"/>
      <c r="M45" s="316"/>
      <c r="N45" s="316"/>
      <c r="O45" s="749"/>
      <c r="P45" s="752"/>
      <c r="Q45" s="752"/>
      <c r="R45" s="316"/>
      <c r="S45" s="316"/>
      <c r="T45" s="317"/>
      <c r="V45" s="332"/>
      <c r="W45" s="316"/>
      <c r="X45" s="316"/>
      <c r="Y45" s="316"/>
      <c r="Z45" s="316"/>
      <c r="AB45" s="339"/>
      <c r="AC45" s="339"/>
    </row>
    <row r="46" spans="1:29">
      <c r="A46" s="318">
        <v>2</v>
      </c>
      <c r="B46" s="319" t="s">
        <v>383</v>
      </c>
      <c r="C46" s="318">
        <v>600</v>
      </c>
      <c r="D46" s="318">
        <v>8</v>
      </c>
      <c r="E46" s="319">
        <v>1</v>
      </c>
      <c r="F46" s="336" t="s">
        <v>696</v>
      </c>
      <c r="G46" s="318" t="s">
        <v>1468</v>
      </c>
      <c r="H46" s="328">
        <v>2.58</v>
      </c>
      <c r="I46" s="318">
        <v>1</v>
      </c>
      <c r="J46" s="318">
        <f t="shared" ref="J46:J75" si="12">IF(N46&gt;0,1,0)</f>
        <v>1</v>
      </c>
      <c r="K46" s="328">
        <f t="shared" ref="K46:K68" si="13">H46*J46</f>
        <v>2.58</v>
      </c>
      <c r="L46" s="350" t="s">
        <v>2926</v>
      </c>
      <c r="M46" s="350" t="s">
        <v>2925</v>
      </c>
      <c r="N46" s="318">
        <v>1</v>
      </c>
      <c r="O46" s="621">
        <f t="shared" ref="O46:O68" si="14">H46*N46</f>
        <v>2.58</v>
      </c>
      <c r="P46" s="755">
        <v>1</v>
      </c>
      <c r="Q46" s="755">
        <f t="shared" ref="Q46:Q68" si="15">R46-P46</f>
        <v>0</v>
      </c>
      <c r="R46" s="341">
        <v>1</v>
      </c>
      <c r="S46" s="318">
        <f t="shared" ref="S46" si="16">H46*R46</f>
        <v>2.58</v>
      </c>
      <c r="T46" s="319"/>
      <c r="V46" s="328">
        <f>2.055+1.155-0.6</f>
        <v>2.61</v>
      </c>
      <c r="W46" s="320">
        <v>1</v>
      </c>
      <c r="X46" s="328">
        <f t="shared" ref="X46:X68" si="17">V46*W46</f>
        <v>2.61</v>
      </c>
      <c r="Y46" s="464">
        <v>1</v>
      </c>
      <c r="Z46" s="328">
        <f t="shared" ref="Z46:Z68" si="18">V46*Y46</f>
        <v>2.61</v>
      </c>
      <c r="AB46" s="458">
        <f t="shared" ref="AB46:AB68" si="19">X46-O46</f>
        <v>2.9999999999999805E-2</v>
      </c>
      <c r="AC46" s="348">
        <f t="shared" ref="AC46:AC75" si="20">Z46-S46</f>
        <v>2.9999999999999805E-2</v>
      </c>
    </row>
    <row r="47" spans="1:29">
      <c r="A47" s="318"/>
      <c r="B47" s="319"/>
      <c r="C47" s="318"/>
      <c r="D47" s="318"/>
      <c r="E47" s="319"/>
      <c r="F47" s="319"/>
      <c r="G47" s="318" t="s">
        <v>1469</v>
      </c>
      <c r="H47" s="328">
        <v>4.49</v>
      </c>
      <c r="I47" s="318">
        <v>1</v>
      </c>
      <c r="J47" s="318">
        <f t="shared" si="12"/>
        <v>1</v>
      </c>
      <c r="K47" s="328">
        <f t="shared" si="13"/>
        <v>4.49</v>
      </c>
      <c r="L47" s="318">
        <v>1065</v>
      </c>
      <c r="M47" s="318"/>
      <c r="N47" s="318">
        <v>1</v>
      </c>
      <c r="O47" s="621">
        <f t="shared" si="14"/>
        <v>4.49</v>
      </c>
      <c r="P47" s="755">
        <v>1</v>
      </c>
      <c r="Q47" s="755">
        <f t="shared" si="15"/>
        <v>0</v>
      </c>
      <c r="R47" s="341">
        <v>1</v>
      </c>
      <c r="S47" s="318">
        <f t="shared" ref="S47:S68" si="21">H47*R47</f>
        <v>4.49</v>
      </c>
      <c r="T47" s="319"/>
      <c r="V47" s="328">
        <v>4.49</v>
      </c>
      <c r="W47" s="320">
        <v>1</v>
      </c>
      <c r="X47" s="328">
        <f t="shared" si="17"/>
        <v>4.49</v>
      </c>
      <c r="Y47" s="464">
        <v>1</v>
      </c>
      <c r="Z47" s="328">
        <f t="shared" si="18"/>
        <v>4.49</v>
      </c>
      <c r="AB47" s="458">
        <f t="shared" si="19"/>
        <v>0</v>
      </c>
      <c r="AC47" s="348">
        <f t="shared" si="20"/>
        <v>0</v>
      </c>
    </row>
    <row r="48" spans="1:29">
      <c r="A48" s="318"/>
      <c r="B48" s="319"/>
      <c r="C48" s="318"/>
      <c r="D48" s="318"/>
      <c r="E48" s="319"/>
      <c r="F48" s="319"/>
      <c r="G48" s="318" t="s">
        <v>1470</v>
      </c>
      <c r="H48" s="328">
        <v>4.49</v>
      </c>
      <c r="I48" s="318">
        <v>1</v>
      </c>
      <c r="J48" s="318">
        <f t="shared" si="12"/>
        <v>1</v>
      </c>
      <c r="K48" s="328">
        <f t="shared" si="13"/>
        <v>4.49</v>
      </c>
      <c r="L48" s="318">
        <v>1065</v>
      </c>
      <c r="M48" s="318"/>
      <c r="N48" s="318">
        <v>1</v>
      </c>
      <c r="O48" s="621">
        <f t="shared" si="14"/>
        <v>4.49</v>
      </c>
      <c r="P48" s="755">
        <v>1</v>
      </c>
      <c r="Q48" s="755">
        <f t="shared" si="15"/>
        <v>0</v>
      </c>
      <c r="R48" s="341">
        <v>1</v>
      </c>
      <c r="S48" s="318">
        <f t="shared" si="21"/>
        <v>4.49</v>
      </c>
      <c r="T48" s="319"/>
      <c r="V48" s="328">
        <v>4.49</v>
      </c>
      <c r="W48" s="320">
        <v>1</v>
      </c>
      <c r="X48" s="328">
        <f t="shared" si="17"/>
        <v>4.49</v>
      </c>
      <c r="Y48" s="464">
        <v>1</v>
      </c>
      <c r="Z48" s="328">
        <f t="shared" si="18"/>
        <v>4.49</v>
      </c>
      <c r="AB48" s="458">
        <f t="shared" si="19"/>
        <v>0</v>
      </c>
      <c r="AC48" s="348">
        <f t="shared" si="20"/>
        <v>0</v>
      </c>
    </row>
    <row r="49" spans="1:29">
      <c r="A49" s="318"/>
      <c r="B49" s="319"/>
      <c r="C49" s="318"/>
      <c r="D49" s="318"/>
      <c r="E49" s="319"/>
      <c r="F49" s="319"/>
      <c r="G49" s="318" t="s">
        <v>1471</v>
      </c>
      <c r="H49" s="328">
        <v>4.49</v>
      </c>
      <c r="I49" s="318">
        <v>1</v>
      </c>
      <c r="J49" s="318">
        <f t="shared" si="12"/>
        <v>1</v>
      </c>
      <c r="K49" s="328">
        <f t="shared" si="13"/>
        <v>4.49</v>
      </c>
      <c r="L49" s="318">
        <v>1065</v>
      </c>
      <c r="M49" s="318"/>
      <c r="N49" s="318">
        <v>1</v>
      </c>
      <c r="O49" s="621">
        <f t="shared" si="14"/>
        <v>4.49</v>
      </c>
      <c r="P49" s="755">
        <v>1</v>
      </c>
      <c r="Q49" s="755">
        <f t="shared" si="15"/>
        <v>0</v>
      </c>
      <c r="R49" s="341">
        <v>1</v>
      </c>
      <c r="S49" s="318">
        <f t="shared" si="21"/>
        <v>4.49</v>
      </c>
      <c r="T49" s="319"/>
      <c r="V49" s="328">
        <v>4.49</v>
      </c>
      <c r="W49" s="320">
        <v>1</v>
      </c>
      <c r="X49" s="328">
        <f t="shared" si="17"/>
        <v>4.49</v>
      </c>
      <c r="Y49" s="464">
        <v>1</v>
      </c>
      <c r="Z49" s="328">
        <f t="shared" si="18"/>
        <v>4.49</v>
      </c>
      <c r="AB49" s="458">
        <f t="shared" si="19"/>
        <v>0</v>
      </c>
      <c r="AC49" s="348">
        <f t="shared" si="20"/>
        <v>0</v>
      </c>
    </row>
    <row r="50" spans="1:29">
      <c r="A50" s="318"/>
      <c r="B50" s="319"/>
      <c r="C50" s="318"/>
      <c r="D50" s="318"/>
      <c r="E50" s="319"/>
      <c r="F50" s="319"/>
      <c r="G50" s="318" t="s">
        <v>1472</v>
      </c>
      <c r="H50" s="328">
        <v>4.49</v>
      </c>
      <c r="I50" s="318">
        <v>1</v>
      </c>
      <c r="J50" s="318">
        <f t="shared" si="12"/>
        <v>1</v>
      </c>
      <c r="K50" s="328">
        <f t="shared" si="13"/>
        <v>4.49</v>
      </c>
      <c r="L50" s="318">
        <v>1075</v>
      </c>
      <c r="M50" s="318"/>
      <c r="N50" s="318">
        <v>1</v>
      </c>
      <c r="O50" s="621">
        <f t="shared" si="14"/>
        <v>4.49</v>
      </c>
      <c r="P50" s="755">
        <v>1</v>
      </c>
      <c r="Q50" s="755">
        <f t="shared" si="15"/>
        <v>0</v>
      </c>
      <c r="R50" s="341">
        <v>1</v>
      </c>
      <c r="S50" s="318">
        <f t="shared" si="21"/>
        <v>4.49</v>
      </c>
      <c r="T50" s="319"/>
      <c r="V50" s="328">
        <v>4.49</v>
      </c>
      <c r="W50" s="320">
        <v>1</v>
      </c>
      <c r="X50" s="328">
        <f t="shared" si="17"/>
        <v>4.49</v>
      </c>
      <c r="Y50" s="464">
        <v>1</v>
      </c>
      <c r="Z50" s="328">
        <f t="shared" si="18"/>
        <v>4.49</v>
      </c>
      <c r="AB50" s="458">
        <f t="shared" si="19"/>
        <v>0</v>
      </c>
      <c r="AC50" s="348">
        <f t="shared" si="20"/>
        <v>0</v>
      </c>
    </row>
    <row r="51" spans="1:29">
      <c r="A51" s="318"/>
      <c r="B51" s="319"/>
      <c r="C51" s="318"/>
      <c r="D51" s="318"/>
      <c r="E51" s="319"/>
      <c r="F51" s="319"/>
      <c r="G51" s="318" t="s">
        <v>1473</v>
      </c>
      <c r="H51" s="328">
        <v>4.49</v>
      </c>
      <c r="I51" s="318">
        <v>1</v>
      </c>
      <c r="J51" s="318">
        <f t="shared" si="12"/>
        <v>1</v>
      </c>
      <c r="K51" s="328">
        <f t="shared" si="13"/>
        <v>4.49</v>
      </c>
      <c r="L51" s="318">
        <v>1065</v>
      </c>
      <c r="M51" s="318"/>
      <c r="N51" s="318">
        <v>1</v>
      </c>
      <c r="O51" s="621">
        <f t="shared" si="14"/>
        <v>4.49</v>
      </c>
      <c r="P51" s="755">
        <v>1</v>
      </c>
      <c r="Q51" s="755">
        <f t="shared" si="15"/>
        <v>0</v>
      </c>
      <c r="R51" s="341">
        <v>1</v>
      </c>
      <c r="S51" s="318">
        <f t="shared" si="21"/>
        <v>4.49</v>
      </c>
      <c r="T51" s="319"/>
      <c r="V51" s="328">
        <v>4.49</v>
      </c>
      <c r="W51" s="320">
        <v>1</v>
      </c>
      <c r="X51" s="328">
        <f t="shared" si="17"/>
        <v>4.49</v>
      </c>
      <c r="Y51" s="464">
        <v>1</v>
      </c>
      <c r="Z51" s="328">
        <f t="shared" si="18"/>
        <v>4.49</v>
      </c>
      <c r="AB51" s="458">
        <f t="shared" si="19"/>
        <v>0</v>
      </c>
      <c r="AC51" s="348">
        <f t="shared" si="20"/>
        <v>0</v>
      </c>
    </row>
    <row r="52" spans="1:29">
      <c r="A52" s="318"/>
      <c r="B52" s="319"/>
      <c r="C52" s="318"/>
      <c r="D52" s="318"/>
      <c r="E52" s="319"/>
      <c r="F52" s="319"/>
      <c r="G52" s="318" t="s">
        <v>1474</v>
      </c>
      <c r="H52" s="328">
        <v>4.49</v>
      </c>
      <c r="I52" s="318">
        <v>1</v>
      </c>
      <c r="J52" s="318">
        <f t="shared" si="12"/>
        <v>1</v>
      </c>
      <c r="K52" s="328">
        <f t="shared" si="13"/>
        <v>4.49</v>
      </c>
      <c r="L52" s="318">
        <v>1075</v>
      </c>
      <c r="M52" s="318"/>
      <c r="N52" s="318">
        <v>1</v>
      </c>
      <c r="O52" s="621">
        <f t="shared" si="14"/>
        <v>4.49</v>
      </c>
      <c r="P52" s="755">
        <v>1</v>
      </c>
      <c r="Q52" s="755">
        <f t="shared" si="15"/>
        <v>0</v>
      </c>
      <c r="R52" s="341">
        <v>1</v>
      </c>
      <c r="S52" s="318">
        <f t="shared" si="21"/>
        <v>4.49</v>
      </c>
      <c r="T52" s="319"/>
      <c r="V52" s="328">
        <v>4.49</v>
      </c>
      <c r="W52" s="320">
        <v>1</v>
      </c>
      <c r="X52" s="328">
        <f t="shared" si="17"/>
        <v>4.49</v>
      </c>
      <c r="Y52" s="464">
        <v>1</v>
      </c>
      <c r="Z52" s="328">
        <f t="shared" si="18"/>
        <v>4.49</v>
      </c>
      <c r="AB52" s="458">
        <f t="shared" si="19"/>
        <v>0</v>
      </c>
      <c r="AC52" s="348">
        <f t="shared" si="20"/>
        <v>0</v>
      </c>
    </row>
    <row r="53" spans="1:29">
      <c r="A53" s="318"/>
      <c r="B53" s="319"/>
      <c r="C53" s="318"/>
      <c r="D53" s="318"/>
      <c r="E53" s="319"/>
      <c r="F53" s="319"/>
      <c r="G53" s="318" t="s">
        <v>1475</v>
      </c>
      <c r="H53" s="328">
        <v>4.49</v>
      </c>
      <c r="I53" s="318">
        <v>1</v>
      </c>
      <c r="J53" s="318">
        <f t="shared" si="12"/>
        <v>1</v>
      </c>
      <c r="K53" s="328">
        <f t="shared" si="13"/>
        <v>4.49</v>
      </c>
      <c r="L53" s="318">
        <v>1113</v>
      </c>
      <c r="M53" s="318"/>
      <c r="N53" s="318">
        <v>1</v>
      </c>
      <c r="O53" s="621">
        <f t="shared" si="14"/>
        <v>4.49</v>
      </c>
      <c r="P53" s="755">
        <v>1</v>
      </c>
      <c r="Q53" s="755">
        <f t="shared" si="15"/>
        <v>0</v>
      </c>
      <c r="R53" s="341">
        <v>1</v>
      </c>
      <c r="S53" s="318">
        <f t="shared" si="21"/>
        <v>4.49</v>
      </c>
      <c r="T53" s="319"/>
      <c r="V53" s="328">
        <v>4.49</v>
      </c>
      <c r="W53" s="320">
        <v>1</v>
      </c>
      <c r="X53" s="328">
        <f t="shared" si="17"/>
        <v>4.49</v>
      </c>
      <c r="Y53" s="464">
        <v>1</v>
      </c>
      <c r="Z53" s="328">
        <f t="shared" si="18"/>
        <v>4.49</v>
      </c>
      <c r="AB53" s="458">
        <f t="shared" si="19"/>
        <v>0</v>
      </c>
      <c r="AC53" s="348">
        <f t="shared" si="20"/>
        <v>0</v>
      </c>
    </row>
    <row r="54" spans="1:29">
      <c r="A54" s="318"/>
      <c r="B54" s="319"/>
      <c r="C54" s="318"/>
      <c r="D54" s="318"/>
      <c r="E54" s="319"/>
      <c r="F54" s="319"/>
      <c r="G54" s="318" t="s">
        <v>1476</v>
      </c>
      <c r="H54" s="328">
        <v>4.49</v>
      </c>
      <c r="I54" s="318">
        <v>1</v>
      </c>
      <c r="J54" s="318">
        <f t="shared" si="12"/>
        <v>1</v>
      </c>
      <c r="K54" s="328">
        <f t="shared" si="13"/>
        <v>4.49</v>
      </c>
      <c r="L54" s="318">
        <v>1113</v>
      </c>
      <c r="M54" s="318"/>
      <c r="N54" s="318">
        <v>1</v>
      </c>
      <c r="O54" s="621">
        <f t="shared" si="14"/>
        <v>4.49</v>
      </c>
      <c r="P54" s="755">
        <v>1</v>
      </c>
      <c r="Q54" s="755">
        <f t="shared" si="15"/>
        <v>0</v>
      </c>
      <c r="R54" s="341">
        <v>1</v>
      </c>
      <c r="S54" s="318">
        <f t="shared" si="21"/>
        <v>4.49</v>
      </c>
      <c r="T54" s="319"/>
      <c r="V54" s="328">
        <v>4.49</v>
      </c>
      <c r="W54" s="320">
        <v>1</v>
      </c>
      <c r="X54" s="328">
        <f t="shared" si="17"/>
        <v>4.49</v>
      </c>
      <c r="Y54" s="464">
        <v>1</v>
      </c>
      <c r="Z54" s="328">
        <f t="shared" si="18"/>
        <v>4.49</v>
      </c>
      <c r="AB54" s="458">
        <f t="shared" si="19"/>
        <v>0</v>
      </c>
      <c r="AC54" s="348">
        <f t="shared" si="20"/>
        <v>0</v>
      </c>
    </row>
    <row r="55" spans="1:29">
      <c r="A55" s="318"/>
      <c r="B55" s="319"/>
      <c r="C55" s="318"/>
      <c r="D55" s="318"/>
      <c r="E55" s="319"/>
      <c r="F55" s="319"/>
      <c r="G55" s="318" t="s">
        <v>1477</v>
      </c>
      <c r="H55" s="328">
        <v>3.38</v>
      </c>
      <c r="I55" s="318">
        <v>1</v>
      </c>
      <c r="J55" s="318">
        <f t="shared" si="12"/>
        <v>1</v>
      </c>
      <c r="K55" s="328">
        <f t="shared" si="13"/>
        <v>3.38</v>
      </c>
      <c r="L55" s="318">
        <v>1191</v>
      </c>
      <c r="M55" s="318" t="s">
        <v>196</v>
      </c>
      <c r="N55" s="318">
        <v>1</v>
      </c>
      <c r="O55" s="621">
        <f t="shared" si="14"/>
        <v>3.38</v>
      </c>
      <c r="P55" s="755">
        <v>1</v>
      </c>
      <c r="Q55" s="755">
        <f t="shared" si="15"/>
        <v>0</v>
      </c>
      <c r="R55" s="341">
        <v>1</v>
      </c>
      <c r="S55" s="318">
        <f t="shared" si="21"/>
        <v>3.38</v>
      </c>
      <c r="T55" s="319"/>
      <c r="V55" s="328">
        <v>3.3650000000000002</v>
      </c>
      <c r="W55" s="320">
        <v>1</v>
      </c>
      <c r="X55" s="328">
        <f t="shared" si="17"/>
        <v>3.3650000000000002</v>
      </c>
      <c r="Y55" s="464">
        <v>1</v>
      </c>
      <c r="Z55" s="328">
        <f t="shared" si="18"/>
        <v>3.3650000000000002</v>
      </c>
      <c r="AB55" s="458">
        <f t="shared" si="19"/>
        <v>-1.499999999999968E-2</v>
      </c>
      <c r="AC55" s="348">
        <f t="shared" si="20"/>
        <v>-1.499999999999968E-2</v>
      </c>
    </row>
    <row r="56" spans="1:29">
      <c r="A56" s="318"/>
      <c r="B56" s="319"/>
      <c r="C56" s="318"/>
      <c r="D56" s="318"/>
      <c r="E56" s="319"/>
      <c r="F56" s="319"/>
      <c r="G56" s="318" t="s">
        <v>1478</v>
      </c>
      <c r="H56" s="328">
        <v>3.38</v>
      </c>
      <c r="I56" s="318">
        <v>1</v>
      </c>
      <c r="J56" s="318">
        <f t="shared" si="12"/>
        <v>1</v>
      </c>
      <c r="K56" s="328">
        <f t="shared" si="13"/>
        <v>3.38</v>
      </c>
      <c r="L56" s="318">
        <v>1191</v>
      </c>
      <c r="M56" s="318" t="s">
        <v>196</v>
      </c>
      <c r="N56" s="318">
        <v>1</v>
      </c>
      <c r="O56" s="621">
        <f t="shared" si="14"/>
        <v>3.38</v>
      </c>
      <c r="P56" s="755">
        <v>1</v>
      </c>
      <c r="Q56" s="755">
        <f t="shared" si="15"/>
        <v>0</v>
      </c>
      <c r="R56" s="341">
        <v>1</v>
      </c>
      <c r="S56" s="318">
        <f t="shared" si="21"/>
        <v>3.38</v>
      </c>
      <c r="T56" s="319"/>
      <c r="V56" s="328">
        <v>3.3650000000000002</v>
      </c>
      <c r="W56" s="320">
        <v>1</v>
      </c>
      <c r="X56" s="328">
        <f t="shared" si="17"/>
        <v>3.3650000000000002</v>
      </c>
      <c r="Y56" s="464">
        <v>1</v>
      </c>
      <c r="Z56" s="328">
        <f t="shared" si="18"/>
        <v>3.3650000000000002</v>
      </c>
      <c r="AB56" s="458">
        <f t="shared" si="19"/>
        <v>-1.499999999999968E-2</v>
      </c>
      <c r="AC56" s="348">
        <f t="shared" si="20"/>
        <v>-1.499999999999968E-2</v>
      </c>
    </row>
    <row r="57" spans="1:29">
      <c r="A57" s="318"/>
      <c r="B57" s="319"/>
      <c r="C57" s="318"/>
      <c r="D57" s="318"/>
      <c r="E57" s="319"/>
      <c r="F57" s="319" t="s">
        <v>1443</v>
      </c>
      <c r="G57" s="318" t="s">
        <v>1479</v>
      </c>
      <c r="H57" s="328">
        <v>3.41</v>
      </c>
      <c r="I57" s="318">
        <v>1</v>
      </c>
      <c r="J57" s="318">
        <f t="shared" si="12"/>
        <v>1</v>
      </c>
      <c r="K57" s="328">
        <f t="shared" si="13"/>
        <v>3.41</v>
      </c>
      <c r="L57" s="318">
        <v>1303</v>
      </c>
      <c r="M57" s="318" t="s">
        <v>172</v>
      </c>
      <c r="N57" s="318">
        <v>1</v>
      </c>
      <c r="O57" s="621">
        <f t="shared" si="14"/>
        <v>3.41</v>
      </c>
      <c r="P57" s="755">
        <v>1</v>
      </c>
      <c r="Q57" s="755">
        <f t="shared" si="15"/>
        <v>0</v>
      </c>
      <c r="R57" s="341">
        <v>1</v>
      </c>
      <c r="S57" s="318">
        <f t="shared" si="21"/>
        <v>3.41</v>
      </c>
      <c r="T57" s="319"/>
      <c r="V57" s="328">
        <f>3.255+0.145</f>
        <v>3.4</v>
      </c>
      <c r="W57" s="320">
        <v>1</v>
      </c>
      <c r="X57" s="328">
        <f t="shared" si="17"/>
        <v>3.4</v>
      </c>
      <c r="Y57" s="464">
        <v>1</v>
      </c>
      <c r="Z57" s="328">
        <f t="shared" si="18"/>
        <v>3.4</v>
      </c>
      <c r="AB57" s="458">
        <f t="shared" si="19"/>
        <v>-1.0000000000000231E-2</v>
      </c>
      <c r="AC57" s="348">
        <f t="shared" si="20"/>
        <v>-1.0000000000000231E-2</v>
      </c>
    </row>
    <row r="58" spans="1:29">
      <c r="A58" s="318"/>
      <c r="B58" s="319"/>
      <c r="C58" s="318"/>
      <c r="D58" s="318"/>
      <c r="E58" s="319"/>
      <c r="F58" s="319" t="s">
        <v>1443</v>
      </c>
      <c r="G58" s="318" t="s">
        <v>1480</v>
      </c>
      <c r="H58" s="328">
        <v>3.77</v>
      </c>
      <c r="I58" s="318">
        <v>1</v>
      </c>
      <c r="J58" s="318">
        <f t="shared" si="12"/>
        <v>1</v>
      </c>
      <c r="K58" s="328">
        <f t="shared" si="13"/>
        <v>3.77</v>
      </c>
      <c r="L58" s="318">
        <v>1303</v>
      </c>
      <c r="M58" s="318" t="s">
        <v>172</v>
      </c>
      <c r="N58" s="318">
        <v>1</v>
      </c>
      <c r="O58" s="621">
        <f t="shared" si="14"/>
        <v>3.77</v>
      </c>
      <c r="P58" s="755">
        <v>1</v>
      </c>
      <c r="Q58" s="755">
        <f t="shared" si="15"/>
        <v>0</v>
      </c>
      <c r="R58" s="341">
        <v>1</v>
      </c>
      <c r="S58" s="318">
        <f t="shared" si="21"/>
        <v>3.77</v>
      </c>
      <c r="T58" s="319"/>
      <c r="V58" s="328">
        <f>3.255+0.507</f>
        <v>3.762</v>
      </c>
      <c r="W58" s="320">
        <v>1</v>
      </c>
      <c r="X58" s="328">
        <f t="shared" si="17"/>
        <v>3.762</v>
      </c>
      <c r="Y58" s="464">
        <v>1</v>
      </c>
      <c r="Z58" s="328">
        <f t="shared" si="18"/>
        <v>3.762</v>
      </c>
      <c r="AB58" s="458">
        <f t="shared" si="19"/>
        <v>-8.0000000000000071E-3</v>
      </c>
      <c r="AC58" s="348">
        <f t="shared" si="20"/>
        <v>-8.0000000000000071E-3</v>
      </c>
    </row>
    <row r="59" spans="1:29">
      <c r="A59" s="318"/>
      <c r="B59" s="319"/>
      <c r="C59" s="318"/>
      <c r="D59" s="318"/>
      <c r="E59" s="319"/>
      <c r="F59" s="319"/>
      <c r="G59" s="318" t="s">
        <v>1481</v>
      </c>
      <c r="H59" s="328">
        <v>3.92</v>
      </c>
      <c r="I59" s="318">
        <v>1</v>
      </c>
      <c r="J59" s="318">
        <f t="shared" si="12"/>
        <v>1</v>
      </c>
      <c r="K59" s="328">
        <f t="shared" si="13"/>
        <v>3.92</v>
      </c>
      <c r="L59" s="318">
        <v>1075</v>
      </c>
      <c r="M59" s="318"/>
      <c r="N59" s="318">
        <v>1</v>
      </c>
      <c r="O59" s="621">
        <f t="shared" si="14"/>
        <v>3.92</v>
      </c>
      <c r="P59" s="755">
        <v>1</v>
      </c>
      <c r="Q59" s="755">
        <f t="shared" si="15"/>
        <v>0</v>
      </c>
      <c r="R59" s="341">
        <v>1</v>
      </c>
      <c r="S59" s="318">
        <f t="shared" si="21"/>
        <v>3.92</v>
      </c>
      <c r="T59" s="319"/>
      <c r="V59" s="328">
        <v>3.91</v>
      </c>
      <c r="W59" s="320">
        <v>1</v>
      </c>
      <c r="X59" s="328">
        <f t="shared" si="17"/>
        <v>3.91</v>
      </c>
      <c r="Y59" s="464">
        <v>1</v>
      </c>
      <c r="Z59" s="328">
        <f t="shared" si="18"/>
        <v>3.91</v>
      </c>
      <c r="AB59" s="458">
        <f t="shared" si="19"/>
        <v>-9.9999999999997868E-3</v>
      </c>
      <c r="AC59" s="348">
        <f t="shared" si="20"/>
        <v>-9.9999999999997868E-3</v>
      </c>
    </row>
    <row r="60" spans="1:29">
      <c r="A60" s="318"/>
      <c r="B60" s="319"/>
      <c r="C60" s="318"/>
      <c r="D60" s="318"/>
      <c r="E60" s="319"/>
      <c r="F60" s="319"/>
      <c r="G60" s="318" t="s">
        <v>1482</v>
      </c>
      <c r="H60" s="328">
        <v>3.92</v>
      </c>
      <c r="I60" s="318">
        <v>1</v>
      </c>
      <c r="J60" s="318">
        <f t="shared" si="12"/>
        <v>1</v>
      </c>
      <c r="K60" s="328">
        <f t="shared" si="13"/>
        <v>3.92</v>
      </c>
      <c r="L60" s="318">
        <v>1075</v>
      </c>
      <c r="M60" s="318"/>
      <c r="N60" s="318">
        <v>1</v>
      </c>
      <c r="O60" s="621">
        <f t="shared" si="14"/>
        <v>3.92</v>
      </c>
      <c r="P60" s="755">
        <v>1</v>
      </c>
      <c r="Q60" s="755">
        <f t="shared" si="15"/>
        <v>0</v>
      </c>
      <c r="R60" s="341">
        <v>1</v>
      </c>
      <c r="S60" s="318">
        <f t="shared" si="21"/>
        <v>3.92</v>
      </c>
      <c r="T60" s="319"/>
      <c r="V60" s="328">
        <v>3.91</v>
      </c>
      <c r="W60" s="320">
        <v>1</v>
      </c>
      <c r="X60" s="328">
        <f t="shared" si="17"/>
        <v>3.91</v>
      </c>
      <c r="Y60" s="464">
        <v>1</v>
      </c>
      <c r="Z60" s="328">
        <f t="shared" si="18"/>
        <v>3.91</v>
      </c>
      <c r="AB60" s="458">
        <f t="shared" si="19"/>
        <v>-9.9999999999997868E-3</v>
      </c>
      <c r="AC60" s="348">
        <f t="shared" si="20"/>
        <v>-9.9999999999997868E-3</v>
      </c>
    </row>
    <row r="61" spans="1:29">
      <c r="A61" s="318"/>
      <c r="B61" s="319"/>
      <c r="C61" s="318"/>
      <c r="D61" s="318"/>
      <c r="E61" s="319"/>
      <c r="F61" s="319"/>
      <c r="G61" s="318" t="s">
        <v>1483</v>
      </c>
      <c r="H61" s="328">
        <v>3.92</v>
      </c>
      <c r="I61" s="318">
        <v>1</v>
      </c>
      <c r="J61" s="318">
        <f t="shared" si="12"/>
        <v>1</v>
      </c>
      <c r="K61" s="328">
        <f t="shared" si="13"/>
        <v>3.92</v>
      </c>
      <c r="L61" s="318">
        <v>1065</v>
      </c>
      <c r="M61" s="318"/>
      <c r="N61" s="318">
        <v>1</v>
      </c>
      <c r="O61" s="621">
        <f t="shared" si="14"/>
        <v>3.92</v>
      </c>
      <c r="P61" s="755">
        <v>1</v>
      </c>
      <c r="Q61" s="755">
        <f t="shared" si="15"/>
        <v>0</v>
      </c>
      <c r="R61" s="341">
        <v>1</v>
      </c>
      <c r="S61" s="318">
        <f t="shared" si="21"/>
        <v>3.92</v>
      </c>
      <c r="T61" s="319"/>
      <c r="V61" s="328">
        <v>3.91</v>
      </c>
      <c r="W61" s="320">
        <v>1</v>
      </c>
      <c r="X61" s="328">
        <f t="shared" si="17"/>
        <v>3.91</v>
      </c>
      <c r="Y61" s="464">
        <v>1</v>
      </c>
      <c r="Z61" s="328">
        <f t="shared" si="18"/>
        <v>3.91</v>
      </c>
      <c r="AB61" s="458">
        <f t="shared" si="19"/>
        <v>-9.9999999999997868E-3</v>
      </c>
      <c r="AC61" s="348">
        <f t="shared" si="20"/>
        <v>-9.9999999999997868E-3</v>
      </c>
    </row>
    <row r="62" spans="1:29">
      <c r="A62" s="318"/>
      <c r="B62" s="319"/>
      <c r="C62" s="318"/>
      <c r="D62" s="318"/>
      <c r="E62" s="319"/>
      <c r="F62" s="319"/>
      <c r="G62" s="318" t="s">
        <v>1484</v>
      </c>
      <c r="H62" s="328">
        <v>3.92</v>
      </c>
      <c r="I62" s="318">
        <v>1</v>
      </c>
      <c r="J62" s="318">
        <f t="shared" si="12"/>
        <v>1</v>
      </c>
      <c r="K62" s="328">
        <f t="shared" si="13"/>
        <v>3.92</v>
      </c>
      <c r="L62" s="318">
        <v>1065</v>
      </c>
      <c r="M62" s="318"/>
      <c r="N62" s="318">
        <v>1</v>
      </c>
      <c r="O62" s="621">
        <f t="shared" si="14"/>
        <v>3.92</v>
      </c>
      <c r="P62" s="755">
        <v>1</v>
      </c>
      <c r="Q62" s="755">
        <f t="shared" si="15"/>
        <v>0</v>
      </c>
      <c r="R62" s="341">
        <v>1</v>
      </c>
      <c r="S62" s="318">
        <f t="shared" si="21"/>
        <v>3.92</v>
      </c>
      <c r="T62" s="319"/>
      <c r="V62" s="328">
        <v>3.91</v>
      </c>
      <c r="W62" s="320">
        <v>1</v>
      </c>
      <c r="X62" s="328">
        <f t="shared" si="17"/>
        <v>3.91</v>
      </c>
      <c r="Y62" s="464">
        <v>1</v>
      </c>
      <c r="Z62" s="328">
        <f t="shared" si="18"/>
        <v>3.91</v>
      </c>
      <c r="AB62" s="458">
        <f t="shared" si="19"/>
        <v>-9.9999999999997868E-3</v>
      </c>
      <c r="AC62" s="348">
        <f t="shared" si="20"/>
        <v>-9.9999999999997868E-3</v>
      </c>
    </row>
    <row r="63" spans="1:29">
      <c r="A63" s="318"/>
      <c r="B63" s="319"/>
      <c r="C63" s="318"/>
      <c r="D63" s="318"/>
      <c r="E63" s="319"/>
      <c r="F63" s="319"/>
      <c r="G63" s="318" t="s">
        <v>1485</v>
      </c>
      <c r="H63" s="328">
        <v>3.77</v>
      </c>
      <c r="I63" s="318">
        <v>1</v>
      </c>
      <c r="J63" s="318">
        <f t="shared" si="12"/>
        <v>1</v>
      </c>
      <c r="K63" s="328">
        <f t="shared" si="13"/>
        <v>3.77</v>
      </c>
      <c r="L63" s="318">
        <v>1315</v>
      </c>
      <c r="M63" s="318" t="s">
        <v>240</v>
      </c>
      <c r="N63" s="318">
        <v>1</v>
      </c>
      <c r="O63" s="621">
        <f t="shared" si="14"/>
        <v>3.77</v>
      </c>
      <c r="P63" s="755">
        <v>1</v>
      </c>
      <c r="Q63" s="755">
        <f t="shared" si="15"/>
        <v>0</v>
      </c>
      <c r="R63" s="341">
        <v>1</v>
      </c>
      <c r="S63" s="318">
        <f t="shared" si="21"/>
        <v>3.77</v>
      </c>
      <c r="T63" s="319"/>
      <c r="V63" s="328">
        <f>3.255+0.507</f>
        <v>3.762</v>
      </c>
      <c r="W63" s="320">
        <v>1</v>
      </c>
      <c r="X63" s="328">
        <f t="shared" si="17"/>
        <v>3.762</v>
      </c>
      <c r="Y63" s="464">
        <v>1</v>
      </c>
      <c r="Z63" s="328">
        <f t="shared" si="18"/>
        <v>3.762</v>
      </c>
      <c r="AB63" s="458">
        <f t="shared" si="19"/>
        <v>-8.0000000000000071E-3</v>
      </c>
      <c r="AC63" s="348">
        <f t="shared" si="20"/>
        <v>-8.0000000000000071E-3</v>
      </c>
    </row>
    <row r="64" spans="1:29">
      <c r="A64" s="318"/>
      <c r="B64" s="319"/>
      <c r="C64" s="318"/>
      <c r="D64" s="318"/>
      <c r="E64" s="319"/>
      <c r="F64" s="319" t="s">
        <v>1443</v>
      </c>
      <c r="G64" s="318" t="s">
        <v>1486</v>
      </c>
      <c r="H64" s="328">
        <v>3.41</v>
      </c>
      <c r="I64" s="318">
        <v>1</v>
      </c>
      <c r="J64" s="318">
        <f t="shared" si="12"/>
        <v>1</v>
      </c>
      <c r="K64" s="328">
        <f t="shared" si="13"/>
        <v>3.41</v>
      </c>
      <c r="L64" s="318">
        <v>1295</v>
      </c>
      <c r="M64" s="318" t="s">
        <v>233</v>
      </c>
      <c r="N64" s="318">
        <v>1</v>
      </c>
      <c r="O64" s="621">
        <f t="shared" si="14"/>
        <v>3.41</v>
      </c>
      <c r="P64" s="755">
        <v>1</v>
      </c>
      <c r="Q64" s="755">
        <f t="shared" si="15"/>
        <v>0</v>
      </c>
      <c r="R64" s="341">
        <v>1</v>
      </c>
      <c r="S64" s="318">
        <f t="shared" si="21"/>
        <v>3.41</v>
      </c>
      <c r="T64" s="319"/>
      <c r="V64" s="328">
        <f>3.255+0.145</f>
        <v>3.4</v>
      </c>
      <c r="W64" s="320">
        <v>1</v>
      </c>
      <c r="X64" s="328">
        <f t="shared" si="17"/>
        <v>3.4</v>
      </c>
      <c r="Y64" s="464">
        <v>1</v>
      </c>
      <c r="Z64" s="328">
        <f t="shared" si="18"/>
        <v>3.4</v>
      </c>
      <c r="AB64" s="458">
        <f t="shared" si="19"/>
        <v>-1.0000000000000231E-2</v>
      </c>
      <c r="AC64" s="348">
        <f t="shared" si="20"/>
        <v>-1.0000000000000231E-2</v>
      </c>
    </row>
    <row r="65" spans="1:29">
      <c r="A65" s="318"/>
      <c r="B65" s="319"/>
      <c r="C65" s="318"/>
      <c r="D65" s="318"/>
      <c r="E65" s="319"/>
      <c r="F65" s="319" t="s">
        <v>1443</v>
      </c>
      <c r="G65" s="318" t="s">
        <v>1487</v>
      </c>
      <c r="H65" s="328">
        <v>3.38</v>
      </c>
      <c r="I65" s="318">
        <v>1</v>
      </c>
      <c r="J65" s="318">
        <f t="shared" si="12"/>
        <v>1</v>
      </c>
      <c r="K65" s="328">
        <f t="shared" si="13"/>
        <v>3.38</v>
      </c>
      <c r="L65" s="318"/>
      <c r="M65" s="318"/>
      <c r="N65" s="318">
        <v>1</v>
      </c>
      <c r="O65" s="621">
        <f t="shared" si="14"/>
        <v>3.38</v>
      </c>
      <c r="P65" s="755">
        <v>1</v>
      </c>
      <c r="Q65" s="755">
        <f t="shared" si="15"/>
        <v>0</v>
      </c>
      <c r="R65" s="341">
        <v>1</v>
      </c>
      <c r="S65" s="318">
        <f t="shared" si="21"/>
        <v>3.38</v>
      </c>
      <c r="T65" s="319"/>
      <c r="V65" s="328">
        <v>3.3650000000000002</v>
      </c>
      <c r="W65" s="320">
        <v>1</v>
      </c>
      <c r="X65" s="328">
        <f t="shared" si="17"/>
        <v>3.3650000000000002</v>
      </c>
      <c r="Y65" s="464">
        <v>1</v>
      </c>
      <c r="Z65" s="328">
        <f t="shared" si="18"/>
        <v>3.3650000000000002</v>
      </c>
      <c r="AB65" s="458">
        <f t="shared" si="19"/>
        <v>-1.499999999999968E-2</v>
      </c>
      <c r="AC65" s="348">
        <f t="shared" si="20"/>
        <v>-1.499999999999968E-2</v>
      </c>
    </row>
    <row r="66" spans="1:29">
      <c r="A66" s="318"/>
      <c r="B66" s="319"/>
      <c r="C66" s="318"/>
      <c r="D66" s="318"/>
      <c r="E66" s="319"/>
      <c r="F66" s="319"/>
      <c r="G66" s="318" t="s">
        <v>1488</v>
      </c>
      <c r="H66" s="328">
        <v>3.38</v>
      </c>
      <c r="I66" s="318">
        <v>1</v>
      </c>
      <c r="J66" s="318">
        <f t="shared" si="12"/>
        <v>1</v>
      </c>
      <c r="K66" s="328">
        <f t="shared" si="13"/>
        <v>3.38</v>
      </c>
      <c r="L66" s="318"/>
      <c r="M66" s="318"/>
      <c r="N66" s="318">
        <v>1</v>
      </c>
      <c r="O66" s="621">
        <f t="shared" si="14"/>
        <v>3.38</v>
      </c>
      <c r="P66" s="755">
        <v>1</v>
      </c>
      <c r="Q66" s="755">
        <f t="shared" si="15"/>
        <v>0</v>
      </c>
      <c r="R66" s="341">
        <v>1</v>
      </c>
      <c r="S66" s="318">
        <f t="shared" si="21"/>
        <v>3.38</v>
      </c>
      <c r="T66" s="319"/>
      <c r="V66" s="328">
        <v>3.3650000000000002</v>
      </c>
      <c r="W66" s="320">
        <v>1</v>
      </c>
      <c r="X66" s="328">
        <f t="shared" si="17"/>
        <v>3.3650000000000002</v>
      </c>
      <c r="Y66" s="464">
        <v>1</v>
      </c>
      <c r="Z66" s="328">
        <f t="shared" si="18"/>
        <v>3.3650000000000002</v>
      </c>
      <c r="AB66" s="458">
        <f t="shared" si="19"/>
        <v>-1.499999999999968E-2</v>
      </c>
      <c r="AC66" s="348">
        <f t="shared" si="20"/>
        <v>-1.499999999999968E-2</v>
      </c>
    </row>
    <row r="67" spans="1:29">
      <c r="A67" s="318"/>
      <c r="B67" s="319"/>
      <c r="C67" s="318"/>
      <c r="D67" s="318"/>
      <c r="E67" s="319"/>
      <c r="F67" s="319"/>
      <c r="G67" s="318" t="s">
        <v>1489</v>
      </c>
      <c r="H67" s="328">
        <v>4.49</v>
      </c>
      <c r="I67" s="318">
        <v>1</v>
      </c>
      <c r="J67" s="318">
        <f t="shared" si="12"/>
        <v>1</v>
      </c>
      <c r="K67" s="328">
        <f t="shared" si="13"/>
        <v>4.49</v>
      </c>
      <c r="L67" s="318">
        <v>1065</v>
      </c>
      <c r="M67" s="318"/>
      <c r="N67" s="318">
        <v>1</v>
      </c>
      <c r="O67" s="621">
        <f t="shared" si="14"/>
        <v>4.49</v>
      </c>
      <c r="P67" s="755">
        <v>1</v>
      </c>
      <c r="Q67" s="755">
        <f t="shared" si="15"/>
        <v>0</v>
      </c>
      <c r="R67" s="341">
        <v>1</v>
      </c>
      <c r="S67" s="318">
        <f t="shared" si="21"/>
        <v>4.49</v>
      </c>
      <c r="T67" s="319"/>
      <c r="V67" s="328">
        <v>4.49</v>
      </c>
      <c r="W67" s="320">
        <v>1</v>
      </c>
      <c r="X67" s="328">
        <f t="shared" si="17"/>
        <v>4.49</v>
      </c>
      <c r="Y67" s="464">
        <v>1</v>
      </c>
      <c r="Z67" s="328">
        <f t="shared" si="18"/>
        <v>4.49</v>
      </c>
      <c r="AB67" s="458">
        <f t="shared" si="19"/>
        <v>0</v>
      </c>
      <c r="AC67" s="348">
        <f t="shared" si="20"/>
        <v>0</v>
      </c>
    </row>
    <row r="68" spans="1:29" ht="20.399999999999999">
      <c r="A68" s="318"/>
      <c r="B68" s="319"/>
      <c r="C68" s="318"/>
      <c r="D68" s="318"/>
      <c r="E68" s="319"/>
      <c r="F68" s="336" t="s">
        <v>604</v>
      </c>
      <c r="G68" s="318" t="s">
        <v>1490</v>
      </c>
      <c r="H68" s="328">
        <v>4.72</v>
      </c>
      <c r="I68" s="318">
        <v>1</v>
      </c>
      <c r="J68" s="318">
        <f t="shared" si="12"/>
        <v>1</v>
      </c>
      <c r="K68" s="328">
        <f t="shared" si="13"/>
        <v>4.72</v>
      </c>
      <c r="L68" s="350" t="s">
        <v>3074</v>
      </c>
      <c r="M68" s="318"/>
      <c r="N68" s="318">
        <v>1</v>
      </c>
      <c r="O68" s="621">
        <f t="shared" si="14"/>
        <v>4.72</v>
      </c>
      <c r="P68" s="755">
        <v>1</v>
      </c>
      <c r="Q68" s="755">
        <f t="shared" si="15"/>
        <v>0</v>
      </c>
      <c r="R68" s="341">
        <v>1</v>
      </c>
      <c r="S68" s="318">
        <f t="shared" si="21"/>
        <v>4.72</v>
      </c>
      <c r="T68" s="319" t="s">
        <v>3421</v>
      </c>
      <c r="V68" s="328">
        <v>4.49</v>
      </c>
      <c r="W68" s="320"/>
      <c r="X68" s="328">
        <f t="shared" si="17"/>
        <v>0</v>
      </c>
      <c r="Y68" s="320"/>
      <c r="Z68" s="328">
        <f t="shared" si="18"/>
        <v>0</v>
      </c>
      <c r="AB68" s="458">
        <f t="shared" si="19"/>
        <v>-4.72</v>
      </c>
      <c r="AC68" s="348">
        <f t="shared" si="20"/>
        <v>-4.72</v>
      </c>
    </row>
    <row r="69" spans="1:29">
      <c r="A69" s="584"/>
      <c r="B69" s="585"/>
      <c r="C69" s="584"/>
      <c r="D69" s="584"/>
      <c r="E69" s="585"/>
      <c r="F69" s="585" t="s">
        <v>384</v>
      </c>
      <c r="G69" s="584" t="s">
        <v>390</v>
      </c>
      <c r="H69" s="587"/>
      <c r="I69" s="584"/>
      <c r="J69" s="584"/>
      <c r="K69" s="584"/>
      <c r="L69" s="584"/>
      <c r="M69" s="584"/>
      <c r="N69" s="584"/>
      <c r="O69" s="634" t="s">
        <v>2321</v>
      </c>
      <c r="P69" s="763"/>
      <c r="Q69" s="763"/>
      <c r="R69" s="584"/>
      <c r="S69" s="588" t="s">
        <v>2321</v>
      </c>
      <c r="T69" s="1024" t="s">
        <v>1456</v>
      </c>
      <c r="V69" s="328"/>
      <c r="W69" s="318"/>
      <c r="X69" s="387" t="s">
        <v>2321</v>
      </c>
      <c r="Y69" s="318"/>
      <c r="Z69" s="387" t="s">
        <v>2321</v>
      </c>
      <c r="AB69" s="458"/>
      <c r="AC69" s="384"/>
    </row>
    <row r="70" spans="1:29">
      <c r="A70" s="584"/>
      <c r="B70" s="585"/>
      <c r="C70" s="584"/>
      <c r="D70" s="584"/>
      <c r="E70" s="585"/>
      <c r="F70" s="585" t="s">
        <v>384</v>
      </c>
      <c r="G70" s="584" t="s">
        <v>391</v>
      </c>
      <c r="H70" s="587"/>
      <c r="I70" s="584"/>
      <c r="J70" s="584"/>
      <c r="K70" s="584"/>
      <c r="L70" s="584"/>
      <c r="M70" s="584"/>
      <c r="N70" s="584"/>
      <c r="O70" s="634" t="s">
        <v>2321</v>
      </c>
      <c r="P70" s="763"/>
      <c r="Q70" s="763"/>
      <c r="R70" s="584"/>
      <c r="S70" s="588" t="s">
        <v>2321</v>
      </c>
      <c r="T70" s="1025"/>
      <c r="V70" s="328"/>
      <c r="W70" s="318"/>
      <c r="X70" s="387" t="s">
        <v>2321</v>
      </c>
      <c r="Y70" s="318"/>
      <c r="Z70" s="387" t="s">
        <v>2321</v>
      </c>
      <c r="AB70" s="458"/>
      <c r="AC70" s="384"/>
    </row>
    <row r="71" spans="1:29">
      <c r="A71" s="584"/>
      <c r="B71" s="585"/>
      <c r="C71" s="584"/>
      <c r="D71" s="584"/>
      <c r="E71" s="585"/>
      <c r="F71" s="585" t="s">
        <v>384</v>
      </c>
      <c r="G71" s="584" t="s">
        <v>392</v>
      </c>
      <c r="H71" s="587"/>
      <c r="I71" s="584"/>
      <c r="J71" s="584"/>
      <c r="K71" s="584"/>
      <c r="L71" s="584"/>
      <c r="M71" s="584"/>
      <c r="N71" s="584"/>
      <c r="O71" s="634" t="s">
        <v>2321</v>
      </c>
      <c r="P71" s="763"/>
      <c r="Q71" s="763"/>
      <c r="R71" s="584"/>
      <c r="S71" s="588" t="s">
        <v>2321</v>
      </c>
      <c r="T71" s="1025"/>
      <c r="V71" s="328"/>
      <c r="W71" s="318"/>
      <c r="X71" s="387" t="s">
        <v>2321</v>
      </c>
      <c r="Y71" s="318"/>
      <c r="Z71" s="387" t="s">
        <v>2321</v>
      </c>
      <c r="AB71" s="458"/>
      <c r="AC71" s="384"/>
    </row>
    <row r="72" spans="1:29">
      <c r="A72" s="584"/>
      <c r="B72" s="585"/>
      <c r="C72" s="584"/>
      <c r="D72" s="584"/>
      <c r="E72" s="585"/>
      <c r="F72" s="585" t="s">
        <v>384</v>
      </c>
      <c r="G72" s="584" t="s">
        <v>393</v>
      </c>
      <c r="H72" s="587"/>
      <c r="I72" s="584"/>
      <c r="J72" s="584"/>
      <c r="K72" s="584"/>
      <c r="L72" s="584"/>
      <c r="M72" s="584"/>
      <c r="N72" s="584"/>
      <c r="O72" s="634" t="s">
        <v>2321</v>
      </c>
      <c r="P72" s="763"/>
      <c r="Q72" s="763"/>
      <c r="R72" s="584"/>
      <c r="S72" s="588" t="s">
        <v>2321</v>
      </c>
      <c r="T72" s="1026"/>
      <c r="V72" s="328"/>
      <c r="W72" s="318"/>
      <c r="X72" s="387" t="s">
        <v>2321</v>
      </c>
      <c r="Y72" s="318"/>
      <c r="Z72" s="387" t="s">
        <v>2321</v>
      </c>
      <c r="AB72" s="458"/>
      <c r="AC72" s="384"/>
    </row>
    <row r="73" spans="1:29" ht="20.399999999999999">
      <c r="A73" s="318"/>
      <c r="B73" s="319"/>
      <c r="C73" s="318"/>
      <c r="D73" s="318"/>
      <c r="E73" s="319"/>
      <c r="F73" s="336" t="s">
        <v>604</v>
      </c>
      <c r="G73" s="318" t="s">
        <v>1491</v>
      </c>
      <c r="H73" s="328">
        <v>4.72</v>
      </c>
      <c r="I73" s="318">
        <v>1</v>
      </c>
      <c r="J73" s="318">
        <f t="shared" si="12"/>
        <v>1</v>
      </c>
      <c r="K73" s="328">
        <f>H73*J73</f>
        <v>4.72</v>
      </c>
      <c r="L73" s="352" t="s">
        <v>3087</v>
      </c>
      <c r="M73" s="318">
        <v>234</v>
      </c>
      <c r="N73" s="318">
        <v>1</v>
      </c>
      <c r="O73" s="621">
        <f>H73*N73</f>
        <v>4.72</v>
      </c>
      <c r="P73" s="755">
        <v>1</v>
      </c>
      <c r="Q73" s="755">
        <f t="shared" ref="Q73:Q75" si="22">R73-P73</f>
        <v>0</v>
      </c>
      <c r="R73" s="341">
        <v>1</v>
      </c>
      <c r="S73" s="318">
        <f t="shared" ref="S73" si="23">H73*R73</f>
        <v>4.72</v>
      </c>
      <c r="T73" s="319" t="s">
        <v>3421</v>
      </c>
      <c r="V73" s="328">
        <v>4.49</v>
      </c>
      <c r="W73" s="320"/>
      <c r="X73" s="328">
        <f>V73*W73</f>
        <v>0</v>
      </c>
      <c r="Y73" s="320"/>
      <c r="Z73" s="328">
        <f>V73*Y73</f>
        <v>0</v>
      </c>
      <c r="AB73" s="458">
        <f>X73-O73</f>
        <v>-4.72</v>
      </c>
      <c r="AC73" s="348">
        <f t="shared" si="20"/>
        <v>-4.72</v>
      </c>
    </row>
    <row r="74" spans="1:29">
      <c r="A74" s="318"/>
      <c r="B74" s="319"/>
      <c r="C74" s="318"/>
      <c r="D74" s="318"/>
      <c r="E74" s="319"/>
      <c r="F74" s="319"/>
      <c r="G74" s="318" t="s">
        <v>1492</v>
      </c>
      <c r="H74" s="328">
        <v>4.49</v>
      </c>
      <c r="I74" s="318">
        <v>1</v>
      </c>
      <c r="J74" s="318">
        <f t="shared" si="12"/>
        <v>1</v>
      </c>
      <c r="K74" s="328">
        <f>H74*J74</f>
        <v>4.49</v>
      </c>
      <c r="L74" s="318">
        <v>1065</v>
      </c>
      <c r="M74" s="318"/>
      <c r="N74" s="318">
        <v>1</v>
      </c>
      <c r="O74" s="621">
        <f>H74*N74</f>
        <v>4.49</v>
      </c>
      <c r="P74" s="755">
        <v>1</v>
      </c>
      <c r="Q74" s="755">
        <f t="shared" si="22"/>
        <v>0</v>
      </c>
      <c r="R74" s="341">
        <v>1</v>
      </c>
      <c r="S74" s="318">
        <f t="shared" ref="S74:S75" si="24">H74*R74</f>
        <v>4.49</v>
      </c>
      <c r="T74" s="319"/>
      <c r="V74" s="328">
        <v>4.49</v>
      </c>
      <c r="W74" s="320">
        <v>1</v>
      </c>
      <c r="X74" s="328">
        <f>V74*W74</f>
        <v>4.49</v>
      </c>
      <c r="Y74" s="464">
        <v>1</v>
      </c>
      <c r="Z74" s="328">
        <f>V74*Y74</f>
        <v>4.49</v>
      </c>
      <c r="AB74" s="458">
        <f>X74-O74</f>
        <v>0</v>
      </c>
      <c r="AC74" s="348">
        <f t="shared" si="20"/>
        <v>0</v>
      </c>
    </row>
    <row r="75" spans="1:29">
      <c r="A75" s="318"/>
      <c r="B75" s="319"/>
      <c r="C75" s="318"/>
      <c r="D75" s="318"/>
      <c r="E75" s="319"/>
      <c r="F75" s="336" t="s">
        <v>696</v>
      </c>
      <c r="G75" s="318" t="s">
        <v>1493</v>
      </c>
      <c r="H75" s="328">
        <v>2.57</v>
      </c>
      <c r="I75" s="318">
        <v>1</v>
      </c>
      <c r="J75" s="318">
        <f t="shared" si="12"/>
        <v>1</v>
      </c>
      <c r="K75" s="328">
        <f>H75*J75</f>
        <v>2.57</v>
      </c>
      <c r="L75" s="318">
        <v>1386</v>
      </c>
      <c r="M75" s="318" t="s">
        <v>246</v>
      </c>
      <c r="N75" s="318">
        <v>1</v>
      </c>
      <c r="O75" s="621">
        <f>H75*N75</f>
        <v>2.57</v>
      </c>
      <c r="P75" s="755">
        <v>1</v>
      </c>
      <c r="Q75" s="755">
        <f t="shared" si="22"/>
        <v>0</v>
      </c>
      <c r="R75" s="341">
        <v>1</v>
      </c>
      <c r="S75" s="318">
        <f t="shared" si="24"/>
        <v>2.57</v>
      </c>
      <c r="T75" s="319"/>
      <c r="V75" s="328">
        <f>1.15+0.6+2.055</f>
        <v>3.8050000000000002</v>
      </c>
      <c r="W75" s="320">
        <v>1</v>
      </c>
      <c r="X75" s="328">
        <f>V75*W75</f>
        <v>3.8050000000000002</v>
      </c>
      <c r="Y75" s="464">
        <v>1</v>
      </c>
      <c r="Z75" s="328">
        <f>V75*Y75</f>
        <v>3.8050000000000002</v>
      </c>
      <c r="AB75" s="458">
        <f>X75-O75</f>
        <v>1.2350000000000003</v>
      </c>
      <c r="AC75" s="348">
        <f t="shared" si="20"/>
        <v>1.2350000000000003</v>
      </c>
    </row>
    <row r="76" spans="1:29">
      <c r="A76" s="318"/>
      <c r="B76" s="319"/>
      <c r="C76" s="318"/>
      <c r="D76" s="318"/>
      <c r="E76" s="319"/>
      <c r="F76" s="319"/>
      <c r="G76" s="318"/>
      <c r="H76" s="318"/>
      <c r="I76" s="318"/>
      <c r="J76" s="382" t="s">
        <v>389</v>
      </c>
      <c r="K76" s="338">
        <f>SUM(K46:K75)</f>
        <v>103.04999999999998</v>
      </c>
      <c r="L76" s="318"/>
      <c r="M76" s="318"/>
      <c r="N76" s="382" t="s">
        <v>389</v>
      </c>
      <c r="O76" s="759">
        <f>SUM(O46:O75)</f>
        <v>103.04999999999998</v>
      </c>
      <c r="P76" s="751" t="s">
        <v>389</v>
      </c>
      <c r="Q76" s="751"/>
      <c r="R76" s="382"/>
      <c r="S76" s="338">
        <f>SUM(S46:S75)</f>
        <v>103.04999999999998</v>
      </c>
      <c r="T76" s="319"/>
      <c r="V76" s="318"/>
      <c r="W76" s="321" t="s">
        <v>389</v>
      </c>
      <c r="X76" s="338">
        <f>SUM(X46:X75)</f>
        <v>94.73899999999999</v>
      </c>
      <c r="Y76" s="321" t="s">
        <v>389</v>
      </c>
      <c r="Z76" s="338">
        <f>SUM(Z46:Z75)</f>
        <v>94.73899999999999</v>
      </c>
      <c r="AB76" s="458"/>
      <c r="AC76" s="338"/>
    </row>
    <row r="77" spans="1:29" ht="6.75" customHeight="1">
      <c r="A77" s="316"/>
      <c r="B77" s="317"/>
      <c r="C77" s="316"/>
      <c r="D77" s="316"/>
      <c r="E77" s="317"/>
      <c r="F77" s="317"/>
      <c r="G77" s="316"/>
      <c r="H77" s="316"/>
      <c r="I77" s="316"/>
      <c r="J77" s="316"/>
      <c r="K77" s="316"/>
      <c r="L77" s="316"/>
      <c r="M77" s="316"/>
      <c r="N77" s="316"/>
      <c r="O77" s="749"/>
      <c r="P77" s="752"/>
      <c r="Q77" s="752"/>
      <c r="R77" s="316"/>
      <c r="S77" s="316"/>
      <c r="T77" s="317"/>
      <c r="V77" s="316"/>
      <c r="W77" s="316"/>
      <c r="X77" s="316"/>
      <c r="Y77" s="316"/>
      <c r="Z77" s="316"/>
      <c r="AB77" s="339"/>
      <c r="AC77" s="339"/>
    </row>
    <row r="78" spans="1:29">
      <c r="A78" s="318">
        <v>3</v>
      </c>
      <c r="B78" s="319" t="s">
        <v>383</v>
      </c>
      <c r="C78" s="318">
        <v>600</v>
      </c>
      <c r="D78" s="318">
        <v>9</v>
      </c>
      <c r="E78" s="319">
        <v>1</v>
      </c>
      <c r="F78" s="319"/>
      <c r="G78" s="318" t="s">
        <v>1494</v>
      </c>
      <c r="H78" s="328">
        <v>4.17</v>
      </c>
      <c r="I78" s="318">
        <v>1</v>
      </c>
      <c r="J78" s="318">
        <f t="shared" ref="J78:J115" si="25">IF(N78&gt;0,1,0)</f>
        <v>1</v>
      </c>
      <c r="K78" s="328">
        <f t="shared" ref="K78:K101" si="26">H78*J78</f>
        <v>4.17</v>
      </c>
      <c r="L78" s="318" t="s">
        <v>315</v>
      </c>
      <c r="M78" s="318" t="s">
        <v>206</v>
      </c>
      <c r="N78" s="318">
        <v>1</v>
      </c>
      <c r="O78" s="621">
        <f t="shared" ref="O78:O101" si="27">H78*N78</f>
        <v>4.17</v>
      </c>
      <c r="P78" s="755">
        <v>1</v>
      </c>
      <c r="Q78" s="755">
        <f t="shared" ref="Q78:Q101" si="28">R78-P78</f>
        <v>0</v>
      </c>
      <c r="R78" s="341">
        <v>1</v>
      </c>
      <c r="S78" s="318">
        <f t="shared" ref="S78" si="29">H78*R78</f>
        <v>4.17</v>
      </c>
      <c r="T78" s="319"/>
      <c r="V78" s="328">
        <f>4.155</f>
        <v>4.1550000000000002</v>
      </c>
      <c r="W78" s="320">
        <v>1</v>
      </c>
      <c r="X78" s="328">
        <f t="shared" ref="X78:X101" si="30">V78*W78</f>
        <v>4.1550000000000002</v>
      </c>
      <c r="Y78" s="464">
        <v>1</v>
      </c>
      <c r="Z78" s="328">
        <f t="shared" ref="Z78:Z101" si="31">V78*Y78</f>
        <v>4.1550000000000002</v>
      </c>
      <c r="AB78" s="458">
        <f t="shared" ref="AB78:AB101" si="32">X78-O78</f>
        <v>-1.499999999999968E-2</v>
      </c>
      <c r="AC78" s="348">
        <f t="shared" ref="AC78:AC101" si="33">Z78-S78</f>
        <v>-1.499999999999968E-2</v>
      </c>
    </row>
    <row r="79" spans="1:29">
      <c r="A79" s="318"/>
      <c r="B79" s="319"/>
      <c r="C79" s="318"/>
      <c r="D79" s="318"/>
      <c r="E79" s="319"/>
      <c r="F79" s="319"/>
      <c r="G79" s="318" t="s">
        <v>1495</v>
      </c>
      <c r="H79" s="328">
        <v>4.49</v>
      </c>
      <c r="I79" s="318">
        <v>1</v>
      </c>
      <c r="J79" s="318">
        <f t="shared" si="25"/>
        <v>1</v>
      </c>
      <c r="K79" s="328">
        <f t="shared" si="26"/>
        <v>4.49</v>
      </c>
      <c r="L79" s="318" t="s">
        <v>314</v>
      </c>
      <c r="M79" s="318" t="s">
        <v>189</v>
      </c>
      <c r="N79" s="318">
        <v>1</v>
      </c>
      <c r="O79" s="621">
        <f t="shared" si="27"/>
        <v>4.49</v>
      </c>
      <c r="P79" s="755">
        <v>1</v>
      </c>
      <c r="Q79" s="755">
        <f t="shared" si="28"/>
        <v>0</v>
      </c>
      <c r="R79" s="341">
        <v>1</v>
      </c>
      <c r="S79" s="318">
        <f t="shared" ref="S79:S101" si="34">H79*R79</f>
        <v>4.49</v>
      </c>
      <c r="T79" s="319"/>
      <c r="V79" s="328">
        <v>4.49</v>
      </c>
      <c r="W79" s="320">
        <v>1</v>
      </c>
      <c r="X79" s="328">
        <f t="shared" si="30"/>
        <v>4.49</v>
      </c>
      <c r="Y79" s="464">
        <v>1</v>
      </c>
      <c r="Z79" s="328">
        <f t="shared" si="31"/>
        <v>4.49</v>
      </c>
      <c r="AB79" s="458">
        <f t="shared" si="32"/>
        <v>0</v>
      </c>
      <c r="AC79" s="348">
        <f t="shared" si="33"/>
        <v>0</v>
      </c>
    </row>
    <row r="80" spans="1:29">
      <c r="A80" s="318"/>
      <c r="B80" s="319"/>
      <c r="C80" s="318"/>
      <c r="D80" s="318"/>
      <c r="E80" s="319"/>
      <c r="F80" s="319"/>
      <c r="G80" s="318" t="s">
        <v>1496</v>
      </c>
      <c r="H80" s="328">
        <v>4.49</v>
      </c>
      <c r="I80" s="318">
        <v>1</v>
      </c>
      <c r="J80" s="318">
        <f t="shared" si="25"/>
        <v>1</v>
      </c>
      <c r="K80" s="328">
        <f t="shared" si="26"/>
        <v>4.49</v>
      </c>
      <c r="L80" s="318" t="s">
        <v>314</v>
      </c>
      <c r="M80" s="318" t="s">
        <v>189</v>
      </c>
      <c r="N80" s="318">
        <v>1</v>
      </c>
      <c r="O80" s="621">
        <f t="shared" si="27"/>
        <v>4.49</v>
      </c>
      <c r="P80" s="755">
        <v>1</v>
      </c>
      <c r="Q80" s="755">
        <f t="shared" si="28"/>
        <v>0</v>
      </c>
      <c r="R80" s="341">
        <v>1</v>
      </c>
      <c r="S80" s="318">
        <f t="shared" si="34"/>
        <v>4.49</v>
      </c>
      <c r="T80" s="319"/>
      <c r="V80" s="328">
        <v>4.49</v>
      </c>
      <c r="W80" s="320">
        <v>1</v>
      </c>
      <c r="X80" s="328">
        <f t="shared" si="30"/>
        <v>4.49</v>
      </c>
      <c r="Y80" s="464">
        <v>1</v>
      </c>
      <c r="Z80" s="328">
        <f t="shared" si="31"/>
        <v>4.49</v>
      </c>
      <c r="AB80" s="458">
        <f t="shared" si="32"/>
        <v>0</v>
      </c>
      <c r="AC80" s="348">
        <f t="shared" si="33"/>
        <v>0</v>
      </c>
    </row>
    <row r="81" spans="1:29">
      <c r="A81" s="318"/>
      <c r="B81" s="319"/>
      <c r="C81" s="318"/>
      <c r="D81" s="318"/>
      <c r="E81" s="319"/>
      <c r="F81" s="319"/>
      <c r="G81" s="318" t="s">
        <v>1497</v>
      </c>
      <c r="H81" s="328">
        <v>4.49</v>
      </c>
      <c r="I81" s="318">
        <v>1</v>
      </c>
      <c r="J81" s="318">
        <f t="shared" si="25"/>
        <v>1</v>
      </c>
      <c r="K81" s="328">
        <f t="shared" si="26"/>
        <v>4.49</v>
      </c>
      <c r="L81" s="318" t="s">
        <v>314</v>
      </c>
      <c r="M81" s="318" t="s">
        <v>189</v>
      </c>
      <c r="N81" s="318">
        <v>1</v>
      </c>
      <c r="O81" s="621">
        <f t="shared" si="27"/>
        <v>4.49</v>
      </c>
      <c r="P81" s="755">
        <v>1</v>
      </c>
      <c r="Q81" s="755">
        <f t="shared" si="28"/>
        <v>0</v>
      </c>
      <c r="R81" s="341">
        <v>1</v>
      </c>
      <c r="S81" s="318">
        <f t="shared" si="34"/>
        <v>4.49</v>
      </c>
      <c r="T81" s="319"/>
      <c r="V81" s="328">
        <v>4.49</v>
      </c>
      <c r="W81" s="320">
        <v>1</v>
      </c>
      <c r="X81" s="328">
        <f t="shared" si="30"/>
        <v>4.49</v>
      </c>
      <c r="Y81" s="464">
        <v>1</v>
      </c>
      <c r="Z81" s="328">
        <f t="shared" si="31"/>
        <v>4.49</v>
      </c>
      <c r="AB81" s="458">
        <f t="shared" si="32"/>
        <v>0</v>
      </c>
      <c r="AC81" s="348">
        <f t="shared" si="33"/>
        <v>0</v>
      </c>
    </row>
    <row r="82" spans="1:29">
      <c r="A82" s="318"/>
      <c r="B82" s="319"/>
      <c r="C82" s="318"/>
      <c r="D82" s="318"/>
      <c r="E82" s="319"/>
      <c r="F82" s="319"/>
      <c r="G82" s="318" t="s">
        <v>1498</v>
      </c>
      <c r="H82" s="328">
        <v>4.49</v>
      </c>
      <c r="I82" s="318">
        <v>1</v>
      </c>
      <c r="J82" s="318">
        <f t="shared" si="25"/>
        <v>1</v>
      </c>
      <c r="K82" s="328">
        <f t="shared" si="26"/>
        <v>4.49</v>
      </c>
      <c r="L82" s="318" t="s">
        <v>314</v>
      </c>
      <c r="M82" s="318" t="s">
        <v>189</v>
      </c>
      <c r="N82" s="318">
        <v>1</v>
      </c>
      <c r="O82" s="621">
        <f t="shared" si="27"/>
        <v>4.49</v>
      </c>
      <c r="P82" s="755">
        <v>1</v>
      </c>
      <c r="Q82" s="755">
        <f t="shared" si="28"/>
        <v>0</v>
      </c>
      <c r="R82" s="341">
        <v>1</v>
      </c>
      <c r="S82" s="318">
        <f t="shared" si="34"/>
        <v>4.49</v>
      </c>
      <c r="T82" s="319"/>
      <c r="V82" s="328">
        <v>4.49</v>
      </c>
      <c r="W82" s="320">
        <v>1</v>
      </c>
      <c r="X82" s="328">
        <f t="shared" si="30"/>
        <v>4.49</v>
      </c>
      <c r="Y82" s="464">
        <v>1</v>
      </c>
      <c r="Z82" s="328">
        <f t="shared" si="31"/>
        <v>4.49</v>
      </c>
      <c r="AB82" s="458">
        <f t="shared" si="32"/>
        <v>0</v>
      </c>
      <c r="AC82" s="348">
        <f t="shared" si="33"/>
        <v>0</v>
      </c>
    </row>
    <row r="83" spans="1:29">
      <c r="A83" s="318"/>
      <c r="B83" s="319"/>
      <c r="C83" s="318"/>
      <c r="D83" s="318"/>
      <c r="E83" s="319"/>
      <c r="F83" s="319"/>
      <c r="G83" s="318" t="s">
        <v>1499</v>
      </c>
      <c r="H83" s="328">
        <v>4.49</v>
      </c>
      <c r="I83" s="318">
        <v>1</v>
      </c>
      <c r="J83" s="318">
        <f t="shared" si="25"/>
        <v>1</v>
      </c>
      <c r="K83" s="328">
        <f t="shared" si="26"/>
        <v>4.49</v>
      </c>
      <c r="L83" s="318" t="s">
        <v>314</v>
      </c>
      <c r="M83" s="318" t="s">
        <v>189</v>
      </c>
      <c r="N83" s="318">
        <v>1</v>
      </c>
      <c r="O83" s="621">
        <f t="shared" si="27"/>
        <v>4.49</v>
      </c>
      <c r="P83" s="755">
        <v>1</v>
      </c>
      <c r="Q83" s="755">
        <f t="shared" si="28"/>
        <v>0</v>
      </c>
      <c r="R83" s="341">
        <v>1</v>
      </c>
      <c r="S83" s="318">
        <f t="shared" si="34"/>
        <v>4.49</v>
      </c>
      <c r="T83" s="319"/>
      <c r="V83" s="328">
        <v>4.49</v>
      </c>
      <c r="W83" s="320">
        <v>1</v>
      </c>
      <c r="X83" s="328">
        <f t="shared" si="30"/>
        <v>4.49</v>
      </c>
      <c r="Y83" s="464">
        <v>1</v>
      </c>
      <c r="Z83" s="328">
        <f t="shared" si="31"/>
        <v>4.49</v>
      </c>
      <c r="AB83" s="458">
        <f t="shared" si="32"/>
        <v>0</v>
      </c>
      <c r="AC83" s="348">
        <f t="shared" si="33"/>
        <v>0</v>
      </c>
    </row>
    <row r="84" spans="1:29">
      <c r="A84" s="318"/>
      <c r="B84" s="319"/>
      <c r="C84" s="318"/>
      <c r="D84" s="318"/>
      <c r="E84" s="319"/>
      <c r="F84" s="319"/>
      <c r="G84" s="318" t="s">
        <v>1500</v>
      </c>
      <c r="H84" s="328">
        <v>4.49</v>
      </c>
      <c r="I84" s="318">
        <v>1</v>
      </c>
      <c r="J84" s="318">
        <f t="shared" si="25"/>
        <v>1</v>
      </c>
      <c r="K84" s="328">
        <f t="shared" si="26"/>
        <v>4.49</v>
      </c>
      <c r="L84" s="318">
        <v>1171</v>
      </c>
      <c r="M84" s="318" t="s">
        <v>189</v>
      </c>
      <c r="N84" s="318">
        <v>1</v>
      </c>
      <c r="O84" s="621">
        <f t="shared" si="27"/>
        <v>4.49</v>
      </c>
      <c r="P84" s="755">
        <v>1</v>
      </c>
      <c r="Q84" s="755">
        <f t="shared" si="28"/>
        <v>0</v>
      </c>
      <c r="R84" s="341">
        <v>1</v>
      </c>
      <c r="S84" s="318">
        <f t="shared" si="34"/>
        <v>4.49</v>
      </c>
      <c r="T84" s="319"/>
      <c r="V84" s="328">
        <v>4.49</v>
      </c>
      <c r="W84" s="320">
        <v>1</v>
      </c>
      <c r="X84" s="328">
        <f t="shared" si="30"/>
        <v>4.49</v>
      </c>
      <c r="Y84" s="464">
        <v>1</v>
      </c>
      <c r="Z84" s="328">
        <f t="shared" si="31"/>
        <v>4.49</v>
      </c>
      <c r="AB84" s="458">
        <f t="shared" si="32"/>
        <v>0</v>
      </c>
      <c r="AC84" s="348">
        <f t="shared" si="33"/>
        <v>0</v>
      </c>
    </row>
    <row r="85" spans="1:29">
      <c r="A85" s="318"/>
      <c r="B85" s="319"/>
      <c r="C85" s="318"/>
      <c r="D85" s="318"/>
      <c r="E85" s="319"/>
      <c r="F85" s="319"/>
      <c r="G85" s="318" t="s">
        <v>1501</v>
      </c>
      <c r="H85" s="328">
        <v>4.49</v>
      </c>
      <c r="I85" s="318">
        <v>1</v>
      </c>
      <c r="J85" s="318">
        <f t="shared" si="25"/>
        <v>1</v>
      </c>
      <c r="K85" s="328">
        <f t="shared" si="26"/>
        <v>4.49</v>
      </c>
      <c r="L85" s="318" t="s">
        <v>188</v>
      </c>
      <c r="M85" s="318" t="s">
        <v>189</v>
      </c>
      <c r="N85" s="318">
        <v>1</v>
      </c>
      <c r="O85" s="621">
        <f t="shared" si="27"/>
        <v>4.49</v>
      </c>
      <c r="P85" s="755">
        <v>1</v>
      </c>
      <c r="Q85" s="755">
        <f t="shared" si="28"/>
        <v>0</v>
      </c>
      <c r="R85" s="341">
        <v>1</v>
      </c>
      <c r="S85" s="318">
        <f t="shared" si="34"/>
        <v>4.49</v>
      </c>
      <c r="T85" s="319"/>
      <c r="V85" s="328">
        <v>4.49</v>
      </c>
      <c r="W85" s="320">
        <v>1</v>
      </c>
      <c r="X85" s="328">
        <f t="shared" si="30"/>
        <v>4.49</v>
      </c>
      <c r="Y85" s="464">
        <v>1</v>
      </c>
      <c r="Z85" s="328">
        <f t="shared" si="31"/>
        <v>4.49</v>
      </c>
      <c r="AB85" s="458">
        <f t="shared" si="32"/>
        <v>0</v>
      </c>
      <c r="AC85" s="348">
        <f t="shared" si="33"/>
        <v>0</v>
      </c>
    </row>
    <row r="86" spans="1:29">
      <c r="A86" s="318"/>
      <c r="B86" s="319"/>
      <c r="C86" s="318"/>
      <c r="D86" s="318"/>
      <c r="E86" s="319"/>
      <c r="F86" s="319"/>
      <c r="G86" s="318" t="s">
        <v>1502</v>
      </c>
      <c r="H86" s="328">
        <v>4.49</v>
      </c>
      <c r="I86" s="318">
        <v>1</v>
      </c>
      <c r="J86" s="318">
        <f t="shared" si="25"/>
        <v>1</v>
      </c>
      <c r="K86" s="328">
        <f t="shared" si="26"/>
        <v>4.49</v>
      </c>
      <c r="L86" s="318" t="s">
        <v>188</v>
      </c>
      <c r="M86" s="318" t="s">
        <v>189</v>
      </c>
      <c r="N86" s="318">
        <v>1</v>
      </c>
      <c r="O86" s="621">
        <f t="shared" si="27"/>
        <v>4.49</v>
      </c>
      <c r="P86" s="755">
        <v>1</v>
      </c>
      <c r="Q86" s="755">
        <f t="shared" si="28"/>
        <v>0</v>
      </c>
      <c r="R86" s="341">
        <v>1</v>
      </c>
      <c r="S86" s="318">
        <f t="shared" si="34"/>
        <v>4.49</v>
      </c>
      <c r="T86" s="319"/>
      <c r="V86" s="328">
        <v>4.49</v>
      </c>
      <c r="W86" s="320">
        <v>1</v>
      </c>
      <c r="X86" s="328">
        <f t="shared" si="30"/>
        <v>4.49</v>
      </c>
      <c r="Y86" s="464">
        <v>1</v>
      </c>
      <c r="Z86" s="328">
        <f t="shared" si="31"/>
        <v>4.49</v>
      </c>
      <c r="AB86" s="458">
        <f t="shared" si="32"/>
        <v>0</v>
      </c>
      <c r="AC86" s="348">
        <f t="shared" si="33"/>
        <v>0</v>
      </c>
    </row>
    <row r="87" spans="1:29">
      <c r="A87" s="318"/>
      <c r="B87" s="319"/>
      <c r="C87" s="318"/>
      <c r="D87" s="318"/>
      <c r="E87" s="319"/>
      <c r="F87" s="319"/>
      <c r="G87" s="318" t="s">
        <v>1503</v>
      </c>
      <c r="H87" s="328">
        <v>4.49</v>
      </c>
      <c r="I87" s="318">
        <v>1</v>
      </c>
      <c r="J87" s="318">
        <f t="shared" si="25"/>
        <v>1</v>
      </c>
      <c r="K87" s="328">
        <f t="shared" si="26"/>
        <v>4.49</v>
      </c>
      <c r="L87" s="318">
        <v>1178</v>
      </c>
      <c r="M87" s="318" t="s">
        <v>190</v>
      </c>
      <c r="N87" s="318">
        <v>1</v>
      </c>
      <c r="O87" s="621">
        <f t="shared" si="27"/>
        <v>4.49</v>
      </c>
      <c r="P87" s="755">
        <v>1</v>
      </c>
      <c r="Q87" s="755">
        <f t="shared" si="28"/>
        <v>0</v>
      </c>
      <c r="R87" s="341">
        <v>1</v>
      </c>
      <c r="S87" s="318">
        <f t="shared" si="34"/>
        <v>4.49</v>
      </c>
      <c r="T87" s="319"/>
      <c r="V87" s="328">
        <v>4.49</v>
      </c>
      <c r="W87" s="320">
        <v>1</v>
      </c>
      <c r="X87" s="328">
        <f t="shared" si="30"/>
        <v>4.49</v>
      </c>
      <c r="Y87" s="464">
        <v>1</v>
      </c>
      <c r="Z87" s="328">
        <f t="shared" si="31"/>
        <v>4.49</v>
      </c>
      <c r="AB87" s="458">
        <f t="shared" si="32"/>
        <v>0</v>
      </c>
      <c r="AC87" s="348">
        <f t="shared" si="33"/>
        <v>0</v>
      </c>
    </row>
    <row r="88" spans="1:29">
      <c r="A88" s="318"/>
      <c r="B88" s="319"/>
      <c r="C88" s="318"/>
      <c r="D88" s="318"/>
      <c r="E88" s="319"/>
      <c r="F88" s="319"/>
      <c r="G88" s="318" t="s">
        <v>1504</v>
      </c>
      <c r="H88" s="328">
        <v>3.38</v>
      </c>
      <c r="I88" s="318">
        <v>1</v>
      </c>
      <c r="J88" s="318">
        <f t="shared" si="25"/>
        <v>1</v>
      </c>
      <c r="K88" s="328">
        <f t="shared" si="26"/>
        <v>3.38</v>
      </c>
      <c r="L88" s="318">
        <v>1219</v>
      </c>
      <c r="M88" s="318" t="s">
        <v>208</v>
      </c>
      <c r="N88" s="318">
        <v>1</v>
      </c>
      <c r="O88" s="621">
        <f t="shared" si="27"/>
        <v>3.38</v>
      </c>
      <c r="P88" s="755">
        <v>1</v>
      </c>
      <c r="Q88" s="755">
        <f t="shared" si="28"/>
        <v>0</v>
      </c>
      <c r="R88" s="341">
        <v>1</v>
      </c>
      <c r="S88" s="318">
        <f t="shared" si="34"/>
        <v>3.38</v>
      </c>
      <c r="T88" s="319"/>
      <c r="V88" s="328">
        <f>3.365</f>
        <v>3.3650000000000002</v>
      </c>
      <c r="W88" s="320">
        <v>1</v>
      </c>
      <c r="X88" s="328">
        <f t="shared" si="30"/>
        <v>3.3650000000000002</v>
      </c>
      <c r="Y88" s="464">
        <v>1</v>
      </c>
      <c r="Z88" s="328">
        <f t="shared" si="31"/>
        <v>3.3650000000000002</v>
      </c>
      <c r="AB88" s="458">
        <f t="shared" si="32"/>
        <v>-1.499999999999968E-2</v>
      </c>
      <c r="AC88" s="348">
        <f t="shared" si="33"/>
        <v>-1.499999999999968E-2</v>
      </c>
    </row>
    <row r="89" spans="1:29">
      <c r="A89" s="318"/>
      <c r="B89" s="319"/>
      <c r="C89" s="318"/>
      <c r="D89" s="318"/>
      <c r="E89" s="319"/>
      <c r="F89" s="319"/>
      <c r="G89" s="318" t="s">
        <v>1505</v>
      </c>
      <c r="H89" s="328">
        <v>3.38</v>
      </c>
      <c r="I89" s="318">
        <v>1</v>
      </c>
      <c r="J89" s="318">
        <f t="shared" si="25"/>
        <v>1</v>
      </c>
      <c r="K89" s="328">
        <f t="shared" si="26"/>
        <v>3.38</v>
      </c>
      <c r="L89" s="318">
        <v>1199</v>
      </c>
      <c r="M89" s="318" t="s">
        <v>198</v>
      </c>
      <c r="N89" s="318">
        <v>1</v>
      </c>
      <c r="O89" s="621">
        <f t="shared" si="27"/>
        <v>3.38</v>
      </c>
      <c r="P89" s="755">
        <v>1</v>
      </c>
      <c r="Q89" s="755">
        <f t="shared" si="28"/>
        <v>0</v>
      </c>
      <c r="R89" s="341">
        <v>1</v>
      </c>
      <c r="S89" s="318">
        <f t="shared" si="34"/>
        <v>3.38</v>
      </c>
      <c r="T89" s="319"/>
      <c r="V89" s="328">
        <f>3.365</f>
        <v>3.3650000000000002</v>
      </c>
      <c r="W89" s="320">
        <v>1</v>
      </c>
      <c r="X89" s="328">
        <f t="shared" si="30"/>
        <v>3.3650000000000002</v>
      </c>
      <c r="Y89" s="464">
        <v>1</v>
      </c>
      <c r="Z89" s="328">
        <f t="shared" si="31"/>
        <v>3.3650000000000002</v>
      </c>
      <c r="AB89" s="458">
        <f t="shared" si="32"/>
        <v>-1.499999999999968E-2</v>
      </c>
      <c r="AC89" s="348">
        <f t="shared" si="33"/>
        <v>-1.499999999999968E-2</v>
      </c>
    </row>
    <row r="90" spans="1:29">
      <c r="A90" s="318"/>
      <c r="B90" s="319"/>
      <c r="C90" s="318"/>
      <c r="D90" s="318"/>
      <c r="E90" s="319"/>
      <c r="F90" s="319" t="s">
        <v>1443</v>
      </c>
      <c r="G90" s="318" t="s">
        <v>1506</v>
      </c>
      <c r="H90" s="328">
        <v>3.41</v>
      </c>
      <c r="I90" s="318">
        <v>1</v>
      </c>
      <c r="J90" s="318">
        <f t="shared" si="25"/>
        <v>1</v>
      </c>
      <c r="K90" s="328">
        <f t="shared" si="26"/>
        <v>3.41</v>
      </c>
      <c r="L90" s="318"/>
      <c r="M90" s="318"/>
      <c r="N90" s="318">
        <v>1</v>
      </c>
      <c r="O90" s="621">
        <f t="shared" si="27"/>
        <v>3.41</v>
      </c>
      <c r="P90" s="755">
        <v>1</v>
      </c>
      <c r="Q90" s="755">
        <f t="shared" si="28"/>
        <v>0</v>
      </c>
      <c r="R90" s="341">
        <v>1</v>
      </c>
      <c r="S90" s="318">
        <f t="shared" si="34"/>
        <v>3.41</v>
      </c>
      <c r="T90" s="319"/>
      <c r="V90" s="328">
        <f>3.255+0.145</f>
        <v>3.4</v>
      </c>
      <c r="W90" s="320">
        <v>1</v>
      </c>
      <c r="X90" s="328">
        <f t="shared" si="30"/>
        <v>3.4</v>
      </c>
      <c r="Y90" s="464">
        <v>1</v>
      </c>
      <c r="Z90" s="328">
        <f t="shared" si="31"/>
        <v>3.4</v>
      </c>
      <c r="AB90" s="458">
        <f t="shared" si="32"/>
        <v>-1.0000000000000231E-2</v>
      </c>
      <c r="AC90" s="348">
        <f t="shared" si="33"/>
        <v>-1.0000000000000231E-2</v>
      </c>
    </row>
    <row r="91" spans="1:29">
      <c r="A91" s="318"/>
      <c r="B91" s="319"/>
      <c r="C91" s="318"/>
      <c r="D91" s="318"/>
      <c r="E91" s="319"/>
      <c r="F91" s="319" t="s">
        <v>1443</v>
      </c>
      <c r="G91" s="318" t="s">
        <v>1507</v>
      </c>
      <c r="H91" s="328">
        <v>3.77</v>
      </c>
      <c r="I91" s="318">
        <v>1</v>
      </c>
      <c r="J91" s="318">
        <f t="shared" si="25"/>
        <v>1</v>
      </c>
      <c r="K91" s="328">
        <f t="shared" si="26"/>
        <v>3.77</v>
      </c>
      <c r="L91" s="318"/>
      <c r="M91" s="318"/>
      <c r="N91" s="318">
        <v>1</v>
      </c>
      <c r="O91" s="621">
        <f t="shared" si="27"/>
        <v>3.77</v>
      </c>
      <c r="P91" s="755">
        <v>1</v>
      </c>
      <c r="Q91" s="755">
        <f t="shared" si="28"/>
        <v>0</v>
      </c>
      <c r="R91" s="341">
        <v>1</v>
      </c>
      <c r="S91" s="318">
        <f t="shared" si="34"/>
        <v>3.77</v>
      </c>
      <c r="T91" s="319"/>
      <c r="V91" s="328">
        <f>3.255+0.507</f>
        <v>3.762</v>
      </c>
      <c r="W91" s="320">
        <v>1</v>
      </c>
      <c r="X91" s="328">
        <f t="shared" si="30"/>
        <v>3.762</v>
      </c>
      <c r="Y91" s="464">
        <v>1</v>
      </c>
      <c r="Z91" s="328">
        <f t="shared" si="31"/>
        <v>3.762</v>
      </c>
      <c r="AB91" s="458">
        <f t="shared" si="32"/>
        <v>-8.0000000000000071E-3</v>
      </c>
      <c r="AC91" s="348">
        <f t="shared" si="33"/>
        <v>-8.0000000000000071E-3</v>
      </c>
    </row>
    <row r="92" spans="1:29">
      <c r="A92" s="318"/>
      <c r="B92" s="319"/>
      <c r="C92" s="318"/>
      <c r="D92" s="318"/>
      <c r="E92" s="319"/>
      <c r="F92" s="319"/>
      <c r="G92" s="318" t="s">
        <v>1508</v>
      </c>
      <c r="H92" s="328">
        <v>3.92</v>
      </c>
      <c r="I92" s="318">
        <v>1</v>
      </c>
      <c r="J92" s="318">
        <f t="shared" si="25"/>
        <v>1</v>
      </c>
      <c r="K92" s="328">
        <f t="shared" si="26"/>
        <v>3.92</v>
      </c>
      <c r="L92" s="318">
        <v>1178</v>
      </c>
      <c r="M92" s="318" t="s">
        <v>190</v>
      </c>
      <c r="N92" s="318">
        <v>1</v>
      </c>
      <c r="O92" s="621">
        <f t="shared" si="27"/>
        <v>3.92</v>
      </c>
      <c r="P92" s="755">
        <v>1</v>
      </c>
      <c r="Q92" s="755">
        <f t="shared" si="28"/>
        <v>0</v>
      </c>
      <c r="R92" s="341">
        <v>1</v>
      </c>
      <c r="S92" s="318">
        <f t="shared" si="34"/>
        <v>3.92</v>
      </c>
      <c r="T92" s="319"/>
      <c r="V92" s="328">
        <f>3.91</f>
        <v>3.91</v>
      </c>
      <c r="W92" s="320">
        <v>1</v>
      </c>
      <c r="X92" s="328">
        <f t="shared" si="30"/>
        <v>3.91</v>
      </c>
      <c r="Y92" s="464">
        <v>1</v>
      </c>
      <c r="Z92" s="328">
        <f t="shared" si="31"/>
        <v>3.91</v>
      </c>
      <c r="AB92" s="458">
        <f t="shared" si="32"/>
        <v>-9.9999999999997868E-3</v>
      </c>
      <c r="AC92" s="348">
        <f t="shared" si="33"/>
        <v>-9.9999999999997868E-3</v>
      </c>
    </row>
    <row r="93" spans="1:29">
      <c r="A93" s="318"/>
      <c r="B93" s="319"/>
      <c r="C93" s="318"/>
      <c r="D93" s="318"/>
      <c r="E93" s="319"/>
      <c r="F93" s="319"/>
      <c r="G93" s="318" t="s">
        <v>1509</v>
      </c>
      <c r="H93" s="328">
        <v>3.92</v>
      </c>
      <c r="I93" s="318">
        <v>1</v>
      </c>
      <c r="J93" s="318">
        <f t="shared" si="25"/>
        <v>1</v>
      </c>
      <c r="K93" s="328">
        <f t="shared" si="26"/>
        <v>3.92</v>
      </c>
      <c r="L93" s="318">
        <v>1178</v>
      </c>
      <c r="M93" s="318" t="s">
        <v>190</v>
      </c>
      <c r="N93" s="318">
        <v>1</v>
      </c>
      <c r="O93" s="621">
        <f t="shared" si="27"/>
        <v>3.92</v>
      </c>
      <c r="P93" s="755">
        <v>1</v>
      </c>
      <c r="Q93" s="755">
        <f t="shared" si="28"/>
        <v>0</v>
      </c>
      <c r="R93" s="341">
        <v>1</v>
      </c>
      <c r="S93" s="318">
        <f t="shared" si="34"/>
        <v>3.92</v>
      </c>
      <c r="T93" s="319"/>
      <c r="V93" s="328">
        <f>3.91</f>
        <v>3.91</v>
      </c>
      <c r="W93" s="320">
        <v>1</v>
      </c>
      <c r="X93" s="328">
        <f t="shared" si="30"/>
        <v>3.91</v>
      </c>
      <c r="Y93" s="464">
        <v>1</v>
      </c>
      <c r="Z93" s="328">
        <f t="shared" si="31"/>
        <v>3.91</v>
      </c>
      <c r="AB93" s="458">
        <f t="shared" si="32"/>
        <v>-9.9999999999997868E-3</v>
      </c>
      <c r="AC93" s="348">
        <f t="shared" si="33"/>
        <v>-9.9999999999997868E-3</v>
      </c>
    </row>
    <row r="94" spans="1:29">
      <c r="A94" s="318"/>
      <c r="B94" s="319"/>
      <c r="C94" s="318"/>
      <c r="D94" s="318"/>
      <c r="E94" s="319"/>
      <c r="F94" s="319"/>
      <c r="G94" s="318" t="s">
        <v>1510</v>
      </c>
      <c r="H94" s="328">
        <v>3.92</v>
      </c>
      <c r="I94" s="318">
        <v>1</v>
      </c>
      <c r="J94" s="318">
        <f t="shared" si="25"/>
        <v>1</v>
      </c>
      <c r="K94" s="328">
        <f t="shared" si="26"/>
        <v>3.92</v>
      </c>
      <c r="L94" s="318">
        <v>1178</v>
      </c>
      <c r="M94" s="318" t="s">
        <v>190</v>
      </c>
      <c r="N94" s="318">
        <v>1</v>
      </c>
      <c r="O94" s="621">
        <f t="shared" si="27"/>
        <v>3.92</v>
      </c>
      <c r="P94" s="755">
        <v>1</v>
      </c>
      <c r="Q94" s="755">
        <f t="shared" si="28"/>
        <v>0</v>
      </c>
      <c r="R94" s="341">
        <v>1</v>
      </c>
      <c r="S94" s="318">
        <f t="shared" si="34"/>
        <v>3.92</v>
      </c>
      <c r="T94" s="319"/>
      <c r="V94" s="328">
        <f>3.91</f>
        <v>3.91</v>
      </c>
      <c r="W94" s="320">
        <v>1</v>
      </c>
      <c r="X94" s="328">
        <f t="shared" si="30"/>
        <v>3.91</v>
      </c>
      <c r="Y94" s="464">
        <v>1</v>
      </c>
      <c r="Z94" s="328">
        <f t="shared" si="31"/>
        <v>3.91</v>
      </c>
      <c r="AB94" s="458">
        <f t="shared" si="32"/>
        <v>-9.9999999999997868E-3</v>
      </c>
      <c r="AC94" s="348">
        <f t="shared" si="33"/>
        <v>-9.9999999999997868E-3</v>
      </c>
    </row>
    <row r="95" spans="1:29">
      <c r="A95" s="318"/>
      <c r="B95" s="319"/>
      <c r="C95" s="318"/>
      <c r="D95" s="318"/>
      <c r="E95" s="319"/>
      <c r="F95" s="319"/>
      <c r="G95" s="318" t="s">
        <v>1511</v>
      </c>
      <c r="H95" s="328">
        <v>3.92</v>
      </c>
      <c r="I95" s="318">
        <v>1</v>
      </c>
      <c r="J95" s="318">
        <f t="shared" si="25"/>
        <v>1</v>
      </c>
      <c r="K95" s="328">
        <f t="shared" si="26"/>
        <v>3.92</v>
      </c>
      <c r="L95" s="318">
        <v>1178</v>
      </c>
      <c r="M95" s="318" t="s">
        <v>190</v>
      </c>
      <c r="N95" s="318">
        <v>1</v>
      </c>
      <c r="O95" s="621">
        <f t="shared" si="27"/>
        <v>3.92</v>
      </c>
      <c r="P95" s="755">
        <v>1</v>
      </c>
      <c r="Q95" s="755">
        <f t="shared" si="28"/>
        <v>0</v>
      </c>
      <c r="R95" s="341">
        <v>1</v>
      </c>
      <c r="S95" s="318">
        <f t="shared" si="34"/>
        <v>3.92</v>
      </c>
      <c r="T95" s="319"/>
      <c r="V95" s="328">
        <f>3.91</f>
        <v>3.91</v>
      </c>
      <c r="W95" s="320">
        <v>1</v>
      </c>
      <c r="X95" s="328">
        <f t="shared" si="30"/>
        <v>3.91</v>
      </c>
      <c r="Y95" s="464">
        <v>1</v>
      </c>
      <c r="Z95" s="328">
        <f t="shared" si="31"/>
        <v>3.91</v>
      </c>
      <c r="AB95" s="458">
        <f t="shared" si="32"/>
        <v>-9.9999999999997868E-3</v>
      </c>
      <c r="AC95" s="348">
        <f t="shared" si="33"/>
        <v>-9.9999999999997868E-3</v>
      </c>
    </row>
    <row r="96" spans="1:29">
      <c r="A96" s="318"/>
      <c r="B96" s="319"/>
      <c r="C96" s="318"/>
      <c r="D96" s="318"/>
      <c r="E96" s="319"/>
      <c r="F96" s="319" t="s">
        <v>1443</v>
      </c>
      <c r="G96" s="318" t="s">
        <v>1512</v>
      </c>
      <c r="H96" s="328">
        <v>3.77</v>
      </c>
      <c r="I96" s="318">
        <v>1</v>
      </c>
      <c r="J96" s="318">
        <f t="shared" si="25"/>
        <v>1</v>
      </c>
      <c r="K96" s="328">
        <f t="shared" si="26"/>
        <v>3.77</v>
      </c>
      <c r="L96" s="318"/>
      <c r="M96" s="318"/>
      <c r="N96" s="318">
        <v>1</v>
      </c>
      <c r="O96" s="621">
        <f t="shared" si="27"/>
        <v>3.77</v>
      </c>
      <c r="P96" s="755">
        <v>1</v>
      </c>
      <c r="Q96" s="755">
        <f t="shared" si="28"/>
        <v>0</v>
      </c>
      <c r="R96" s="341">
        <v>1</v>
      </c>
      <c r="S96" s="318">
        <f t="shared" si="34"/>
        <v>3.77</v>
      </c>
      <c r="T96" s="319"/>
      <c r="V96" s="328">
        <f>0.507+3.255</f>
        <v>3.762</v>
      </c>
      <c r="W96" s="320">
        <v>1</v>
      </c>
      <c r="X96" s="328">
        <f t="shared" si="30"/>
        <v>3.762</v>
      </c>
      <c r="Y96" s="464">
        <v>1</v>
      </c>
      <c r="Z96" s="328">
        <f t="shared" si="31"/>
        <v>3.762</v>
      </c>
      <c r="AB96" s="458">
        <f t="shared" si="32"/>
        <v>-8.0000000000000071E-3</v>
      </c>
      <c r="AC96" s="348">
        <f t="shared" si="33"/>
        <v>-8.0000000000000071E-3</v>
      </c>
    </row>
    <row r="97" spans="1:29">
      <c r="A97" s="318"/>
      <c r="B97" s="319"/>
      <c r="C97" s="318"/>
      <c r="D97" s="318"/>
      <c r="E97" s="319"/>
      <c r="F97" s="319" t="s">
        <v>1443</v>
      </c>
      <c r="G97" s="318" t="s">
        <v>1513</v>
      </c>
      <c r="H97" s="328">
        <v>3.41</v>
      </c>
      <c r="I97" s="318">
        <v>1</v>
      </c>
      <c r="J97" s="318">
        <f t="shared" si="25"/>
        <v>1</v>
      </c>
      <c r="K97" s="328">
        <f t="shared" si="26"/>
        <v>3.41</v>
      </c>
      <c r="L97" s="318"/>
      <c r="M97" s="318"/>
      <c r="N97" s="318">
        <v>1</v>
      </c>
      <c r="O97" s="621">
        <f t="shared" si="27"/>
        <v>3.41</v>
      </c>
      <c r="P97" s="755">
        <v>1</v>
      </c>
      <c r="Q97" s="755">
        <f t="shared" si="28"/>
        <v>0</v>
      </c>
      <c r="R97" s="341">
        <v>1</v>
      </c>
      <c r="S97" s="318">
        <f t="shared" si="34"/>
        <v>3.41</v>
      </c>
      <c r="T97" s="319"/>
      <c r="V97" s="328">
        <f>3.255+0.145</f>
        <v>3.4</v>
      </c>
      <c r="W97" s="320">
        <v>1</v>
      </c>
      <c r="X97" s="328">
        <f t="shared" si="30"/>
        <v>3.4</v>
      </c>
      <c r="Y97" s="464">
        <v>1</v>
      </c>
      <c r="Z97" s="328">
        <f t="shared" si="31"/>
        <v>3.4</v>
      </c>
      <c r="AB97" s="458">
        <f t="shared" si="32"/>
        <v>-1.0000000000000231E-2</v>
      </c>
      <c r="AC97" s="348">
        <f t="shared" si="33"/>
        <v>-1.0000000000000231E-2</v>
      </c>
    </row>
    <row r="98" spans="1:29">
      <c r="A98" s="318"/>
      <c r="B98" s="319"/>
      <c r="C98" s="318"/>
      <c r="D98" s="318"/>
      <c r="E98" s="319"/>
      <c r="F98" s="319"/>
      <c r="G98" s="318" t="s">
        <v>1514</v>
      </c>
      <c r="H98" s="328">
        <v>3.38</v>
      </c>
      <c r="I98" s="318">
        <v>1</v>
      </c>
      <c r="J98" s="318">
        <f t="shared" si="25"/>
        <v>1</v>
      </c>
      <c r="K98" s="328">
        <f t="shared" si="26"/>
        <v>3.38</v>
      </c>
      <c r="L98" s="318" t="s">
        <v>205</v>
      </c>
      <c r="M98" s="318" t="s">
        <v>206</v>
      </c>
      <c r="N98" s="318">
        <v>1</v>
      </c>
      <c r="O98" s="621">
        <f t="shared" si="27"/>
        <v>3.38</v>
      </c>
      <c r="P98" s="755">
        <v>1</v>
      </c>
      <c r="Q98" s="755">
        <f t="shared" si="28"/>
        <v>0</v>
      </c>
      <c r="R98" s="341">
        <v>1</v>
      </c>
      <c r="S98" s="318">
        <f t="shared" si="34"/>
        <v>3.38</v>
      </c>
      <c r="T98" s="319"/>
      <c r="V98" s="328">
        <v>3.3650000000000002</v>
      </c>
      <c r="W98" s="320">
        <v>1</v>
      </c>
      <c r="X98" s="328">
        <f t="shared" si="30"/>
        <v>3.3650000000000002</v>
      </c>
      <c r="Y98" s="464">
        <v>1</v>
      </c>
      <c r="Z98" s="328">
        <f t="shared" si="31"/>
        <v>3.3650000000000002</v>
      </c>
      <c r="AB98" s="458">
        <f t="shared" si="32"/>
        <v>-1.499999999999968E-2</v>
      </c>
      <c r="AC98" s="348">
        <f t="shared" si="33"/>
        <v>-1.499999999999968E-2</v>
      </c>
    </row>
    <row r="99" spans="1:29">
      <c r="A99" s="318"/>
      <c r="B99" s="319"/>
      <c r="C99" s="318"/>
      <c r="D99" s="318"/>
      <c r="E99" s="319"/>
      <c r="F99" s="319"/>
      <c r="G99" s="318" t="s">
        <v>1515</v>
      </c>
      <c r="H99" s="328">
        <v>3.38</v>
      </c>
      <c r="I99" s="318">
        <v>1</v>
      </c>
      <c r="J99" s="318">
        <f t="shared" si="25"/>
        <v>1</v>
      </c>
      <c r="K99" s="328">
        <f t="shared" si="26"/>
        <v>3.38</v>
      </c>
      <c r="L99" s="318" t="s">
        <v>205</v>
      </c>
      <c r="M99" s="318" t="s">
        <v>206</v>
      </c>
      <c r="N99" s="318">
        <v>1</v>
      </c>
      <c r="O99" s="621">
        <f t="shared" si="27"/>
        <v>3.38</v>
      </c>
      <c r="P99" s="755">
        <v>1</v>
      </c>
      <c r="Q99" s="755">
        <f t="shared" si="28"/>
        <v>0</v>
      </c>
      <c r="R99" s="341">
        <v>1</v>
      </c>
      <c r="S99" s="318">
        <f t="shared" si="34"/>
        <v>3.38</v>
      </c>
      <c r="T99" s="319"/>
      <c r="V99" s="328">
        <v>3.3650000000000002</v>
      </c>
      <c r="W99" s="320">
        <v>1</v>
      </c>
      <c r="X99" s="328">
        <f t="shared" si="30"/>
        <v>3.3650000000000002</v>
      </c>
      <c r="Y99" s="464">
        <v>1</v>
      </c>
      <c r="Z99" s="328">
        <f t="shared" si="31"/>
        <v>3.3650000000000002</v>
      </c>
      <c r="AB99" s="458">
        <f t="shared" si="32"/>
        <v>-1.499999999999968E-2</v>
      </c>
      <c r="AC99" s="348">
        <f t="shared" si="33"/>
        <v>-1.499999999999968E-2</v>
      </c>
    </row>
    <row r="100" spans="1:29">
      <c r="A100" s="318"/>
      <c r="B100" s="319"/>
      <c r="C100" s="318"/>
      <c r="D100" s="318"/>
      <c r="E100" s="319"/>
      <c r="F100" s="336"/>
      <c r="G100" s="318" t="s">
        <v>1516</v>
      </c>
      <c r="H100" s="328">
        <v>4.49</v>
      </c>
      <c r="I100" s="318">
        <v>1</v>
      </c>
      <c r="J100" s="318">
        <f t="shared" si="25"/>
        <v>1</v>
      </c>
      <c r="K100" s="328">
        <f t="shared" si="26"/>
        <v>4.49</v>
      </c>
      <c r="L100" s="318">
        <v>1178</v>
      </c>
      <c r="M100" s="318" t="s">
        <v>190</v>
      </c>
      <c r="N100" s="318">
        <v>1</v>
      </c>
      <c r="O100" s="621">
        <f t="shared" si="27"/>
        <v>4.49</v>
      </c>
      <c r="P100" s="755">
        <v>1</v>
      </c>
      <c r="Q100" s="755">
        <f t="shared" si="28"/>
        <v>0</v>
      </c>
      <c r="R100" s="341">
        <v>1</v>
      </c>
      <c r="S100" s="318">
        <f t="shared" si="34"/>
        <v>4.49</v>
      </c>
      <c r="T100" s="319"/>
      <c r="V100" s="328">
        <v>4.49</v>
      </c>
      <c r="W100" s="320">
        <v>1</v>
      </c>
      <c r="X100" s="328">
        <f t="shared" si="30"/>
        <v>4.49</v>
      </c>
      <c r="Y100" s="464">
        <v>1</v>
      </c>
      <c r="Z100" s="328">
        <f t="shared" si="31"/>
        <v>4.49</v>
      </c>
      <c r="AB100" s="458">
        <f t="shared" si="32"/>
        <v>0</v>
      </c>
      <c r="AC100" s="348">
        <f t="shared" si="33"/>
        <v>0</v>
      </c>
    </row>
    <row r="101" spans="1:29" ht="20.399999999999999">
      <c r="A101" s="318"/>
      <c r="B101" s="319"/>
      <c r="C101" s="318"/>
      <c r="D101" s="318"/>
      <c r="E101" s="319"/>
      <c r="F101" s="336" t="s">
        <v>604</v>
      </c>
      <c r="G101" s="318" t="s">
        <v>1517</v>
      </c>
      <c r="H101" s="328">
        <v>4.72</v>
      </c>
      <c r="I101" s="318">
        <v>1</v>
      </c>
      <c r="J101" s="318">
        <f t="shared" si="25"/>
        <v>1</v>
      </c>
      <c r="K101" s="328">
        <f t="shared" si="26"/>
        <v>4.72</v>
      </c>
      <c r="L101" s="352" t="s">
        <v>3086</v>
      </c>
      <c r="M101" s="350" t="s">
        <v>2747</v>
      </c>
      <c r="N101" s="318">
        <v>1</v>
      </c>
      <c r="O101" s="621">
        <f t="shared" si="27"/>
        <v>4.72</v>
      </c>
      <c r="P101" s="755">
        <v>1</v>
      </c>
      <c r="Q101" s="755">
        <f t="shared" si="28"/>
        <v>0</v>
      </c>
      <c r="R101" s="341">
        <v>1</v>
      </c>
      <c r="S101" s="318">
        <f t="shared" si="34"/>
        <v>4.72</v>
      </c>
      <c r="T101" s="319" t="s">
        <v>3422</v>
      </c>
      <c r="V101" s="328">
        <v>4.49</v>
      </c>
      <c r="W101" s="320"/>
      <c r="X101" s="328">
        <f t="shared" si="30"/>
        <v>0</v>
      </c>
      <c r="Y101" s="320"/>
      <c r="Z101" s="328">
        <f t="shared" si="31"/>
        <v>0</v>
      </c>
      <c r="AB101" s="458">
        <f t="shared" si="32"/>
        <v>-4.72</v>
      </c>
      <c r="AC101" s="348">
        <f t="shared" si="33"/>
        <v>-4.72</v>
      </c>
    </row>
    <row r="102" spans="1:29">
      <c r="A102" s="584"/>
      <c r="B102" s="585"/>
      <c r="C102" s="584"/>
      <c r="D102" s="584"/>
      <c r="E102" s="585"/>
      <c r="F102" s="585" t="s">
        <v>384</v>
      </c>
      <c r="G102" s="584" t="s">
        <v>394</v>
      </c>
      <c r="H102" s="587"/>
      <c r="I102" s="584"/>
      <c r="J102" s="584"/>
      <c r="K102" s="584"/>
      <c r="L102" s="586"/>
      <c r="M102" s="586"/>
      <c r="N102" s="584"/>
      <c r="O102" s="634" t="s">
        <v>2321</v>
      </c>
      <c r="P102" s="763"/>
      <c r="Q102" s="763"/>
      <c r="R102" s="584"/>
      <c r="S102" s="588" t="s">
        <v>2321</v>
      </c>
      <c r="T102" s="1024" t="s">
        <v>1456</v>
      </c>
      <c r="V102" s="328"/>
      <c r="W102" s="318"/>
      <c r="X102" s="387" t="s">
        <v>2321</v>
      </c>
      <c r="Y102" s="318"/>
      <c r="Z102" s="387" t="s">
        <v>2321</v>
      </c>
      <c r="AB102" s="348"/>
      <c r="AC102" s="384"/>
    </row>
    <row r="103" spans="1:29">
      <c r="A103" s="584"/>
      <c r="B103" s="585"/>
      <c r="C103" s="584"/>
      <c r="D103" s="584"/>
      <c r="E103" s="585"/>
      <c r="F103" s="585" t="s">
        <v>384</v>
      </c>
      <c r="G103" s="584" t="s">
        <v>395</v>
      </c>
      <c r="H103" s="587"/>
      <c r="I103" s="584"/>
      <c r="J103" s="584"/>
      <c r="K103" s="584"/>
      <c r="L103" s="586"/>
      <c r="M103" s="586"/>
      <c r="N103" s="584"/>
      <c r="O103" s="634" t="s">
        <v>2321</v>
      </c>
      <c r="P103" s="763"/>
      <c r="Q103" s="763"/>
      <c r="R103" s="584"/>
      <c r="S103" s="588" t="s">
        <v>2321</v>
      </c>
      <c r="T103" s="1025"/>
      <c r="V103" s="328"/>
      <c r="W103" s="318"/>
      <c r="X103" s="387" t="s">
        <v>2321</v>
      </c>
      <c r="Y103" s="318"/>
      <c r="Z103" s="387" t="s">
        <v>2321</v>
      </c>
      <c r="AB103" s="348"/>
      <c r="AC103" s="384"/>
    </row>
    <row r="104" spans="1:29">
      <c r="A104" s="584"/>
      <c r="B104" s="585"/>
      <c r="C104" s="584"/>
      <c r="D104" s="584"/>
      <c r="E104" s="585"/>
      <c r="F104" s="585" t="s">
        <v>384</v>
      </c>
      <c r="G104" s="584" t="s">
        <v>396</v>
      </c>
      <c r="H104" s="587"/>
      <c r="I104" s="584"/>
      <c r="J104" s="584"/>
      <c r="K104" s="584"/>
      <c r="L104" s="586"/>
      <c r="M104" s="586"/>
      <c r="N104" s="584"/>
      <c r="O104" s="634" t="s">
        <v>2321</v>
      </c>
      <c r="P104" s="763"/>
      <c r="Q104" s="763"/>
      <c r="R104" s="584"/>
      <c r="S104" s="588" t="s">
        <v>2321</v>
      </c>
      <c r="T104" s="1025"/>
      <c r="V104" s="328"/>
      <c r="W104" s="318"/>
      <c r="X104" s="387" t="s">
        <v>2321</v>
      </c>
      <c r="Y104" s="318"/>
      <c r="Z104" s="387" t="s">
        <v>2321</v>
      </c>
      <c r="AB104" s="348"/>
      <c r="AC104" s="384"/>
    </row>
    <row r="105" spans="1:29">
      <c r="A105" s="584"/>
      <c r="B105" s="585"/>
      <c r="C105" s="584"/>
      <c r="D105" s="584"/>
      <c r="E105" s="585"/>
      <c r="F105" s="585" t="s">
        <v>384</v>
      </c>
      <c r="G105" s="584" t="s">
        <v>397</v>
      </c>
      <c r="H105" s="587"/>
      <c r="I105" s="584"/>
      <c r="J105" s="584"/>
      <c r="K105" s="584"/>
      <c r="L105" s="586"/>
      <c r="M105" s="586"/>
      <c r="N105" s="584"/>
      <c r="O105" s="634" t="s">
        <v>2321</v>
      </c>
      <c r="P105" s="763"/>
      <c r="Q105" s="763"/>
      <c r="R105" s="584"/>
      <c r="S105" s="588" t="s">
        <v>2321</v>
      </c>
      <c r="T105" s="1026"/>
      <c r="V105" s="328"/>
      <c r="W105" s="318"/>
      <c r="X105" s="387" t="s">
        <v>2321</v>
      </c>
      <c r="Y105" s="318"/>
      <c r="Z105" s="387" t="s">
        <v>2321</v>
      </c>
      <c r="AB105" s="348"/>
      <c r="AC105" s="384"/>
    </row>
    <row r="106" spans="1:29" ht="20.399999999999999">
      <c r="A106" s="318"/>
      <c r="B106" s="319"/>
      <c r="C106" s="318"/>
      <c r="D106" s="318"/>
      <c r="E106" s="319"/>
      <c r="F106" s="336" t="s">
        <v>604</v>
      </c>
      <c r="G106" s="318" t="s">
        <v>1518</v>
      </c>
      <c r="H106" s="328">
        <v>4.72</v>
      </c>
      <c r="I106" s="318">
        <v>1</v>
      </c>
      <c r="J106" s="318">
        <f t="shared" si="25"/>
        <v>1</v>
      </c>
      <c r="K106" s="328">
        <f t="shared" ref="K106:K115" si="35">H106*J106</f>
        <v>4.72</v>
      </c>
      <c r="L106" s="352" t="s">
        <v>3086</v>
      </c>
      <c r="M106" s="350" t="s">
        <v>2747</v>
      </c>
      <c r="N106" s="318">
        <v>1</v>
      </c>
      <c r="O106" s="621">
        <f t="shared" ref="O106:O115" si="36">H106*N106</f>
        <v>4.72</v>
      </c>
      <c r="P106" s="755">
        <v>1</v>
      </c>
      <c r="Q106" s="755">
        <f t="shared" ref="Q106:Q115" si="37">R106-P106</f>
        <v>0</v>
      </c>
      <c r="R106" s="341">
        <v>1</v>
      </c>
      <c r="S106" s="318">
        <f t="shared" ref="S106" si="38">H106*R106</f>
        <v>4.72</v>
      </c>
      <c r="T106" s="319" t="s">
        <v>3422</v>
      </c>
      <c r="V106" s="328">
        <v>4.49</v>
      </c>
      <c r="W106" s="320"/>
      <c r="X106" s="328">
        <f t="shared" ref="X106:X115" si="39">V106*W106</f>
        <v>0</v>
      </c>
      <c r="Y106" s="320"/>
      <c r="Z106" s="328">
        <f t="shared" ref="Z106:Z115" si="40">V106*Y106</f>
        <v>0</v>
      </c>
      <c r="AB106" s="458">
        <f t="shared" ref="AB106:AB115" si="41">X106-O106</f>
        <v>-4.72</v>
      </c>
      <c r="AC106" s="348">
        <f t="shared" ref="AC106:AC115" si="42">Z106-S106</f>
        <v>-4.72</v>
      </c>
    </row>
    <row r="107" spans="1:29">
      <c r="A107" s="318"/>
      <c r="B107" s="319"/>
      <c r="C107" s="318"/>
      <c r="D107" s="318"/>
      <c r="E107" s="319"/>
      <c r="F107" s="319"/>
      <c r="G107" s="318" t="s">
        <v>1519</v>
      </c>
      <c r="H107" s="328">
        <v>4.49</v>
      </c>
      <c r="I107" s="318">
        <v>1</v>
      </c>
      <c r="J107" s="318">
        <f t="shared" si="25"/>
        <v>1</v>
      </c>
      <c r="K107" s="328">
        <f t="shared" si="35"/>
        <v>4.49</v>
      </c>
      <c r="L107" s="318">
        <v>1178</v>
      </c>
      <c r="M107" s="318" t="s">
        <v>190</v>
      </c>
      <c r="N107" s="318">
        <v>1</v>
      </c>
      <c r="O107" s="621">
        <f t="shared" si="36"/>
        <v>4.49</v>
      </c>
      <c r="P107" s="755">
        <v>1</v>
      </c>
      <c r="Q107" s="755">
        <f t="shared" si="37"/>
        <v>0</v>
      </c>
      <c r="R107" s="341">
        <v>1</v>
      </c>
      <c r="S107" s="318">
        <f t="shared" ref="S107:S115" si="43">H107*R107</f>
        <v>4.49</v>
      </c>
      <c r="T107" s="319"/>
      <c r="V107" s="328">
        <v>4.49</v>
      </c>
      <c r="W107" s="320">
        <v>1</v>
      </c>
      <c r="X107" s="328">
        <f t="shared" si="39"/>
        <v>4.49</v>
      </c>
      <c r="Y107" s="464">
        <v>1</v>
      </c>
      <c r="Z107" s="328">
        <f t="shared" si="40"/>
        <v>4.49</v>
      </c>
      <c r="AB107" s="458">
        <f t="shared" si="41"/>
        <v>0</v>
      </c>
      <c r="AC107" s="348">
        <f t="shared" si="42"/>
        <v>0</v>
      </c>
    </row>
    <row r="108" spans="1:29">
      <c r="A108" s="318"/>
      <c r="B108" s="319"/>
      <c r="C108" s="318"/>
      <c r="D108" s="318"/>
      <c r="E108" s="319"/>
      <c r="F108" s="319"/>
      <c r="G108" s="318" t="s">
        <v>1520</v>
      </c>
      <c r="H108" s="328">
        <v>4.49</v>
      </c>
      <c r="I108" s="318">
        <v>1</v>
      </c>
      <c r="J108" s="318">
        <f t="shared" si="25"/>
        <v>1</v>
      </c>
      <c r="K108" s="328">
        <f t="shared" si="35"/>
        <v>4.49</v>
      </c>
      <c r="L108" s="318">
        <v>1178</v>
      </c>
      <c r="M108" s="318" t="s">
        <v>190</v>
      </c>
      <c r="N108" s="318">
        <v>1</v>
      </c>
      <c r="O108" s="621">
        <f t="shared" si="36"/>
        <v>4.49</v>
      </c>
      <c r="P108" s="755">
        <v>1</v>
      </c>
      <c r="Q108" s="755">
        <f t="shared" si="37"/>
        <v>0</v>
      </c>
      <c r="R108" s="341">
        <v>1</v>
      </c>
      <c r="S108" s="318">
        <f t="shared" si="43"/>
        <v>4.49</v>
      </c>
      <c r="T108" s="319"/>
      <c r="V108" s="328">
        <v>4.49</v>
      </c>
      <c r="W108" s="320">
        <v>1</v>
      </c>
      <c r="X108" s="328">
        <f t="shared" si="39"/>
        <v>4.49</v>
      </c>
      <c r="Y108" s="464">
        <v>1</v>
      </c>
      <c r="Z108" s="328">
        <f t="shared" si="40"/>
        <v>4.49</v>
      </c>
      <c r="AB108" s="458">
        <f t="shared" si="41"/>
        <v>0</v>
      </c>
      <c r="AC108" s="348">
        <f t="shared" si="42"/>
        <v>0</v>
      </c>
    </row>
    <row r="109" spans="1:29">
      <c r="A109" s="318"/>
      <c r="B109" s="319"/>
      <c r="C109" s="318"/>
      <c r="D109" s="318"/>
      <c r="E109" s="319"/>
      <c r="F109" s="319"/>
      <c r="G109" s="318" t="s">
        <v>1521</v>
      </c>
      <c r="H109" s="328">
        <v>4.17</v>
      </c>
      <c r="I109" s="318">
        <v>1</v>
      </c>
      <c r="J109" s="318">
        <f t="shared" si="25"/>
        <v>1</v>
      </c>
      <c r="K109" s="328">
        <f t="shared" si="35"/>
        <v>4.17</v>
      </c>
      <c r="L109" s="318" t="s">
        <v>205</v>
      </c>
      <c r="M109" s="318" t="s">
        <v>206</v>
      </c>
      <c r="N109" s="318">
        <v>1</v>
      </c>
      <c r="O109" s="621">
        <f t="shared" si="36"/>
        <v>4.17</v>
      </c>
      <c r="P109" s="755">
        <v>1</v>
      </c>
      <c r="Q109" s="755">
        <f t="shared" si="37"/>
        <v>0</v>
      </c>
      <c r="R109" s="341">
        <v>1</v>
      </c>
      <c r="S109" s="318">
        <f t="shared" si="43"/>
        <v>4.17</v>
      </c>
      <c r="T109" s="319"/>
      <c r="V109" s="328">
        <v>4.1550000000000002</v>
      </c>
      <c r="W109" s="320">
        <v>1</v>
      </c>
      <c r="X109" s="328">
        <f t="shared" si="39"/>
        <v>4.1550000000000002</v>
      </c>
      <c r="Y109" s="464">
        <v>1</v>
      </c>
      <c r="Z109" s="328">
        <f t="shared" si="40"/>
        <v>4.1550000000000002</v>
      </c>
      <c r="AB109" s="458">
        <f t="shared" si="41"/>
        <v>-1.499999999999968E-2</v>
      </c>
      <c r="AC109" s="348">
        <f t="shared" si="42"/>
        <v>-1.499999999999968E-2</v>
      </c>
    </row>
    <row r="110" spans="1:29">
      <c r="A110" s="318"/>
      <c r="B110" s="319"/>
      <c r="C110" s="318"/>
      <c r="D110" s="318"/>
      <c r="E110" s="319"/>
      <c r="F110" s="336" t="s">
        <v>696</v>
      </c>
      <c r="G110" s="318" t="s">
        <v>1522</v>
      </c>
      <c r="H110" s="328">
        <v>5.01</v>
      </c>
      <c r="I110" s="318">
        <v>1</v>
      </c>
      <c r="J110" s="318">
        <f t="shared" si="25"/>
        <v>1</v>
      </c>
      <c r="K110" s="328">
        <f t="shared" si="35"/>
        <v>5.01</v>
      </c>
      <c r="L110" s="318" t="s">
        <v>254</v>
      </c>
      <c r="M110" s="318" t="s">
        <v>255</v>
      </c>
      <c r="N110" s="318">
        <v>1</v>
      </c>
      <c r="O110" s="621">
        <f t="shared" si="36"/>
        <v>5.01</v>
      </c>
      <c r="P110" s="755">
        <v>1</v>
      </c>
      <c r="Q110" s="755">
        <f t="shared" si="37"/>
        <v>0</v>
      </c>
      <c r="R110" s="341">
        <v>1</v>
      </c>
      <c r="S110" s="318">
        <f t="shared" si="43"/>
        <v>5.01</v>
      </c>
      <c r="T110" s="319"/>
      <c r="V110" s="328">
        <f>2.135-0.6+3.495</f>
        <v>5.0299999999999994</v>
      </c>
      <c r="W110" s="320">
        <v>1</v>
      </c>
      <c r="X110" s="328">
        <f t="shared" si="39"/>
        <v>5.0299999999999994</v>
      </c>
      <c r="Y110" s="464">
        <v>1</v>
      </c>
      <c r="Z110" s="328">
        <f t="shared" si="40"/>
        <v>5.0299999999999994</v>
      </c>
      <c r="AB110" s="458">
        <f t="shared" si="41"/>
        <v>1.9999999999999574E-2</v>
      </c>
      <c r="AC110" s="348">
        <f t="shared" si="42"/>
        <v>1.9999999999999574E-2</v>
      </c>
    </row>
    <row r="111" spans="1:29">
      <c r="A111" s="318"/>
      <c r="B111" s="319"/>
      <c r="C111" s="318"/>
      <c r="D111" s="318"/>
      <c r="E111" s="319"/>
      <c r="F111" s="319"/>
      <c r="G111" s="318" t="s">
        <v>1523</v>
      </c>
      <c r="H111" s="328">
        <v>4.49</v>
      </c>
      <c r="I111" s="318">
        <v>1</v>
      </c>
      <c r="J111" s="318">
        <f t="shared" si="25"/>
        <v>1</v>
      </c>
      <c r="K111" s="328">
        <f t="shared" si="35"/>
        <v>4.49</v>
      </c>
      <c r="L111" s="318" t="s">
        <v>191</v>
      </c>
      <c r="M111" s="318" t="s">
        <v>192</v>
      </c>
      <c r="N111" s="318">
        <v>1</v>
      </c>
      <c r="O111" s="621">
        <f t="shared" si="36"/>
        <v>4.49</v>
      </c>
      <c r="P111" s="755">
        <v>1</v>
      </c>
      <c r="Q111" s="755">
        <f t="shared" si="37"/>
        <v>0</v>
      </c>
      <c r="R111" s="341">
        <v>1</v>
      </c>
      <c r="S111" s="318">
        <f t="shared" si="43"/>
        <v>4.49</v>
      </c>
      <c r="T111" s="319"/>
      <c r="V111" s="328">
        <v>4.49</v>
      </c>
      <c r="W111" s="320">
        <v>1</v>
      </c>
      <c r="X111" s="328">
        <f t="shared" si="39"/>
        <v>4.49</v>
      </c>
      <c r="Y111" s="464">
        <v>1</v>
      </c>
      <c r="Z111" s="328">
        <f t="shared" si="40"/>
        <v>4.49</v>
      </c>
      <c r="AB111" s="458">
        <f t="shared" si="41"/>
        <v>0</v>
      </c>
      <c r="AC111" s="348">
        <f t="shared" si="42"/>
        <v>0</v>
      </c>
    </row>
    <row r="112" spans="1:29">
      <c r="A112" s="318"/>
      <c r="B112" s="319"/>
      <c r="C112" s="318"/>
      <c r="D112" s="318"/>
      <c r="E112" s="319"/>
      <c r="F112" s="319"/>
      <c r="G112" s="318" t="s">
        <v>1524</v>
      </c>
      <c r="H112" s="328">
        <v>4.49</v>
      </c>
      <c r="I112" s="318">
        <v>1</v>
      </c>
      <c r="J112" s="318">
        <f t="shared" si="25"/>
        <v>1</v>
      </c>
      <c r="K112" s="328">
        <f t="shared" si="35"/>
        <v>4.49</v>
      </c>
      <c r="L112" s="318" t="s">
        <v>191</v>
      </c>
      <c r="M112" s="318" t="s">
        <v>192</v>
      </c>
      <c r="N112" s="318">
        <v>1</v>
      </c>
      <c r="O112" s="621">
        <f t="shared" si="36"/>
        <v>4.49</v>
      </c>
      <c r="P112" s="755">
        <v>1</v>
      </c>
      <c r="Q112" s="755">
        <f t="shared" si="37"/>
        <v>0</v>
      </c>
      <c r="R112" s="341">
        <v>1</v>
      </c>
      <c r="S112" s="318">
        <f t="shared" si="43"/>
        <v>4.49</v>
      </c>
      <c r="T112" s="319"/>
      <c r="V112" s="328">
        <v>4.49</v>
      </c>
      <c r="W112" s="320">
        <v>1</v>
      </c>
      <c r="X112" s="328">
        <f t="shared" si="39"/>
        <v>4.49</v>
      </c>
      <c r="Y112" s="464">
        <v>1</v>
      </c>
      <c r="Z112" s="457">
        <f t="shared" si="40"/>
        <v>4.49</v>
      </c>
      <c r="AB112" s="458">
        <f t="shared" si="41"/>
        <v>0</v>
      </c>
      <c r="AC112" s="455">
        <f t="shared" si="42"/>
        <v>0</v>
      </c>
    </row>
    <row r="113" spans="1:29">
      <c r="A113" s="318"/>
      <c r="B113" s="319"/>
      <c r="C113" s="318"/>
      <c r="D113" s="318"/>
      <c r="E113" s="319"/>
      <c r="F113" s="319"/>
      <c r="G113" s="318" t="s">
        <v>1525</v>
      </c>
      <c r="H113" s="328">
        <v>4.49</v>
      </c>
      <c r="I113" s="318">
        <v>1</v>
      </c>
      <c r="J113" s="318">
        <f t="shared" si="25"/>
        <v>1</v>
      </c>
      <c r="K113" s="328">
        <f t="shared" si="35"/>
        <v>4.49</v>
      </c>
      <c r="L113" s="318" t="s">
        <v>191</v>
      </c>
      <c r="M113" s="318" t="s">
        <v>192</v>
      </c>
      <c r="N113" s="318">
        <v>1</v>
      </c>
      <c r="O113" s="621">
        <f t="shared" si="36"/>
        <v>4.49</v>
      </c>
      <c r="P113" s="755">
        <v>1</v>
      </c>
      <c r="Q113" s="755">
        <f t="shared" si="37"/>
        <v>0</v>
      </c>
      <c r="R113" s="341">
        <v>1</v>
      </c>
      <c r="S113" s="318">
        <f t="shared" si="43"/>
        <v>4.49</v>
      </c>
      <c r="T113" s="319" t="s">
        <v>3327</v>
      </c>
      <c r="V113" s="328">
        <v>4.49</v>
      </c>
      <c r="W113" s="320">
        <v>1</v>
      </c>
      <c r="X113" s="328">
        <f t="shared" si="39"/>
        <v>4.49</v>
      </c>
      <c r="Y113" s="320"/>
      <c r="Z113" s="328">
        <f t="shared" si="40"/>
        <v>0</v>
      </c>
      <c r="AB113" s="458">
        <f t="shared" si="41"/>
        <v>0</v>
      </c>
      <c r="AC113" s="348">
        <f t="shared" si="42"/>
        <v>-4.49</v>
      </c>
    </row>
    <row r="114" spans="1:29">
      <c r="A114" s="318"/>
      <c r="B114" s="319"/>
      <c r="C114" s="318"/>
      <c r="D114" s="318"/>
      <c r="E114" s="319"/>
      <c r="F114" s="319"/>
      <c r="G114" s="318" t="s">
        <v>1526</v>
      </c>
      <c r="H114" s="328">
        <v>4.49</v>
      </c>
      <c r="I114" s="318">
        <v>1</v>
      </c>
      <c r="J114" s="318">
        <f t="shared" si="25"/>
        <v>1</v>
      </c>
      <c r="K114" s="328">
        <f t="shared" si="35"/>
        <v>4.49</v>
      </c>
      <c r="L114" s="318" t="s">
        <v>191</v>
      </c>
      <c r="M114" s="318" t="s">
        <v>192</v>
      </c>
      <c r="N114" s="318">
        <v>1</v>
      </c>
      <c r="O114" s="621">
        <f t="shared" si="36"/>
        <v>4.49</v>
      </c>
      <c r="P114" s="755">
        <v>1</v>
      </c>
      <c r="Q114" s="755">
        <f t="shared" si="37"/>
        <v>0</v>
      </c>
      <c r="R114" s="341">
        <v>1</v>
      </c>
      <c r="S114" s="318">
        <f t="shared" si="43"/>
        <v>4.49</v>
      </c>
      <c r="T114" s="319" t="s">
        <v>3327</v>
      </c>
      <c r="V114" s="328">
        <v>4.49</v>
      </c>
      <c r="W114" s="320">
        <v>1</v>
      </c>
      <c r="X114" s="328">
        <f t="shared" si="39"/>
        <v>4.49</v>
      </c>
      <c r="Y114" s="320"/>
      <c r="Z114" s="328">
        <f t="shared" si="40"/>
        <v>0</v>
      </c>
      <c r="AB114" s="458">
        <f t="shared" si="41"/>
        <v>0</v>
      </c>
      <c r="AC114" s="348">
        <f t="shared" si="42"/>
        <v>-4.49</v>
      </c>
    </row>
    <row r="115" spans="1:29">
      <c r="A115" s="318"/>
      <c r="B115" s="319"/>
      <c r="C115" s="318"/>
      <c r="D115" s="318"/>
      <c r="E115" s="319"/>
      <c r="F115" s="336" t="s">
        <v>696</v>
      </c>
      <c r="G115" s="318" t="s">
        <v>1527</v>
      </c>
      <c r="H115" s="328">
        <v>5.01</v>
      </c>
      <c r="I115" s="318">
        <v>1</v>
      </c>
      <c r="J115" s="318">
        <f t="shared" si="25"/>
        <v>1</v>
      </c>
      <c r="K115" s="328">
        <f t="shared" si="35"/>
        <v>5.01</v>
      </c>
      <c r="L115" s="318" t="s">
        <v>254</v>
      </c>
      <c r="M115" s="318" t="s">
        <v>255</v>
      </c>
      <c r="N115" s="318">
        <v>1</v>
      </c>
      <c r="O115" s="621">
        <f t="shared" si="36"/>
        <v>5.01</v>
      </c>
      <c r="P115" s="755">
        <v>1</v>
      </c>
      <c r="Q115" s="755">
        <f t="shared" si="37"/>
        <v>0</v>
      </c>
      <c r="R115" s="341">
        <v>1</v>
      </c>
      <c r="S115" s="318">
        <f t="shared" si="43"/>
        <v>5.01</v>
      </c>
      <c r="T115" s="319"/>
      <c r="V115" s="328">
        <f>3.5+2.135-0.6</f>
        <v>5.0350000000000001</v>
      </c>
      <c r="W115" s="320">
        <v>1</v>
      </c>
      <c r="X115" s="328">
        <f t="shared" si="39"/>
        <v>5.0350000000000001</v>
      </c>
      <c r="Y115" s="464">
        <v>1</v>
      </c>
      <c r="Z115" s="328">
        <f t="shared" si="40"/>
        <v>5.0350000000000001</v>
      </c>
      <c r="AB115" s="458">
        <f t="shared" si="41"/>
        <v>2.5000000000000355E-2</v>
      </c>
      <c r="AC115" s="348">
        <f t="shared" si="42"/>
        <v>2.5000000000000355E-2</v>
      </c>
    </row>
    <row r="116" spans="1:29">
      <c r="A116" s="318"/>
      <c r="B116" s="319"/>
      <c r="C116" s="318"/>
      <c r="D116" s="318"/>
      <c r="E116" s="319"/>
      <c r="F116" s="319"/>
      <c r="G116" s="318"/>
      <c r="H116" s="328"/>
      <c r="I116" s="318"/>
      <c r="J116" s="382" t="s">
        <v>389</v>
      </c>
      <c r="K116" s="338">
        <f>SUM(K78:K115)</f>
        <v>143.19999999999999</v>
      </c>
      <c r="L116" s="318"/>
      <c r="M116" s="318"/>
      <c r="N116" s="382" t="s">
        <v>389</v>
      </c>
      <c r="O116" s="759">
        <f>SUM(O78:O115)</f>
        <v>143.19999999999999</v>
      </c>
      <c r="P116" s="751" t="s">
        <v>389</v>
      </c>
      <c r="Q116" s="751"/>
      <c r="R116" s="382"/>
      <c r="S116" s="338">
        <f>SUM(S78:S115)</f>
        <v>143.19999999999999</v>
      </c>
      <c r="T116" s="319"/>
      <c r="V116" s="328">
        <f>SUM(V78:V115)</f>
        <v>142.619</v>
      </c>
      <c r="W116" s="321" t="s">
        <v>389</v>
      </c>
      <c r="X116" s="338">
        <f>SUM(X78:X115)</f>
        <v>133.63899999999998</v>
      </c>
      <c r="Y116" s="321" t="s">
        <v>389</v>
      </c>
      <c r="Z116" s="338">
        <f>SUM(Z78:Z115)</f>
        <v>124.65899999999998</v>
      </c>
      <c r="AB116" s="338"/>
      <c r="AC116" s="338"/>
    </row>
    <row r="117" spans="1:29" ht="6.75" customHeight="1">
      <c r="A117" s="316"/>
      <c r="B117" s="317"/>
      <c r="C117" s="316"/>
      <c r="D117" s="316"/>
      <c r="E117" s="317"/>
      <c r="F117" s="317"/>
      <c r="G117" s="316"/>
      <c r="H117" s="316"/>
      <c r="I117" s="316"/>
      <c r="J117" s="316"/>
      <c r="K117" s="316"/>
      <c r="L117" s="316"/>
      <c r="M117" s="316"/>
      <c r="N117" s="316"/>
      <c r="O117" s="760"/>
      <c r="P117" s="752"/>
      <c r="Q117" s="752"/>
      <c r="R117" s="316"/>
      <c r="S117" s="332"/>
      <c r="T117" s="317"/>
      <c r="V117" s="316"/>
      <c r="W117" s="316"/>
      <c r="X117" s="332"/>
      <c r="Y117" s="316"/>
      <c r="Z117" s="332"/>
      <c r="AB117" s="339"/>
      <c r="AC117" s="339"/>
    </row>
    <row r="118" spans="1:29">
      <c r="A118" s="318">
        <v>4</v>
      </c>
      <c r="B118" s="319" t="s">
        <v>383</v>
      </c>
      <c r="C118" s="318">
        <v>600</v>
      </c>
      <c r="D118" s="318">
        <v>10</v>
      </c>
      <c r="E118" s="319">
        <v>1</v>
      </c>
      <c r="F118" s="319"/>
      <c r="G118" s="318" t="s">
        <v>1528</v>
      </c>
      <c r="H118" s="328">
        <v>4.17</v>
      </c>
      <c r="I118" s="318">
        <v>1</v>
      </c>
      <c r="J118" s="318">
        <f t="shared" ref="J118:J155" si="44">IF(N118&gt;0,1,0)</f>
        <v>1</v>
      </c>
      <c r="K118" s="328">
        <f t="shared" ref="K118:K141" si="45">H118*J118</f>
        <v>4.17</v>
      </c>
      <c r="L118" s="318" t="s">
        <v>317</v>
      </c>
      <c r="M118" s="318">
        <v>116</v>
      </c>
      <c r="N118" s="318">
        <v>1</v>
      </c>
      <c r="O118" s="621">
        <f t="shared" ref="O118:O141" si="46">H118*N118</f>
        <v>4.17</v>
      </c>
      <c r="P118" s="755">
        <v>1</v>
      </c>
      <c r="Q118" s="755">
        <f t="shared" ref="Q118:Q141" si="47">R118-P118</f>
        <v>0</v>
      </c>
      <c r="R118" s="341">
        <v>1</v>
      </c>
      <c r="S118" s="318">
        <f t="shared" ref="S118" si="48">H118*R118</f>
        <v>4.17</v>
      </c>
      <c r="T118" s="319"/>
      <c r="V118" s="328">
        <f>4.155</f>
        <v>4.1550000000000002</v>
      </c>
      <c r="W118" s="320">
        <v>1</v>
      </c>
      <c r="X118" s="328">
        <f t="shared" ref="X118:X141" si="49">V118*W118</f>
        <v>4.1550000000000002</v>
      </c>
      <c r="Y118" s="464">
        <v>1</v>
      </c>
      <c r="Z118" s="328">
        <f t="shared" ref="Z118:Z141" si="50">V118*Y118</f>
        <v>4.1550000000000002</v>
      </c>
      <c r="AB118" s="458">
        <f t="shared" ref="AB118:AB141" si="51">X118-O118</f>
        <v>-1.499999999999968E-2</v>
      </c>
      <c r="AC118" s="348">
        <f t="shared" ref="AC118:AC141" si="52">Z118-S118</f>
        <v>-1.499999999999968E-2</v>
      </c>
    </row>
    <row r="119" spans="1:29">
      <c r="A119" s="318"/>
      <c r="B119" s="319"/>
      <c r="C119" s="318"/>
      <c r="D119" s="318"/>
      <c r="E119" s="319"/>
      <c r="F119" s="319"/>
      <c r="G119" s="318" t="s">
        <v>1529</v>
      </c>
      <c r="H119" s="328">
        <v>4.49</v>
      </c>
      <c r="I119" s="318">
        <v>1</v>
      </c>
      <c r="J119" s="318">
        <f t="shared" si="44"/>
        <v>1</v>
      </c>
      <c r="K119" s="328">
        <f t="shared" si="45"/>
        <v>4.49</v>
      </c>
      <c r="L119" s="350" t="s">
        <v>2719</v>
      </c>
      <c r="M119" s="350" t="s">
        <v>2735</v>
      </c>
      <c r="N119" s="318">
        <v>1</v>
      </c>
      <c r="O119" s="621">
        <f t="shared" si="46"/>
        <v>4.49</v>
      </c>
      <c r="P119" s="755">
        <v>1</v>
      </c>
      <c r="Q119" s="755">
        <f t="shared" si="47"/>
        <v>0</v>
      </c>
      <c r="R119" s="341">
        <v>1</v>
      </c>
      <c r="S119" s="318">
        <f t="shared" ref="S119:S141" si="53">H119*R119</f>
        <v>4.49</v>
      </c>
      <c r="T119" s="319"/>
      <c r="V119" s="328">
        <v>4.49</v>
      </c>
      <c r="W119" s="320">
        <v>1</v>
      </c>
      <c r="X119" s="328">
        <f t="shared" si="49"/>
        <v>4.49</v>
      </c>
      <c r="Y119" s="464">
        <v>1</v>
      </c>
      <c r="Z119" s="328">
        <f t="shared" si="50"/>
        <v>4.49</v>
      </c>
      <c r="AB119" s="458">
        <f t="shared" si="51"/>
        <v>0</v>
      </c>
      <c r="AC119" s="348">
        <f t="shared" si="52"/>
        <v>0</v>
      </c>
    </row>
    <row r="120" spans="1:29">
      <c r="A120" s="318"/>
      <c r="B120" s="319"/>
      <c r="C120" s="318"/>
      <c r="D120" s="318"/>
      <c r="E120" s="319"/>
      <c r="F120" s="319"/>
      <c r="G120" s="318" t="s">
        <v>1530</v>
      </c>
      <c r="H120" s="328">
        <v>4.49</v>
      </c>
      <c r="I120" s="318">
        <v>1</v>
      </c>
      <c r="J120" s="318">
        <f t="shared" si="44"/>
        <v>1</v>
      </c>
      <c r="K120" s="328">
        <f t="shared" si="45"/>
        <v>4.49</v>
      </c>
      <c r="L120" s="318" t="s">
        <v>316</v>
      </c>
      <c r="M120" s="318" t="s">
        <v>196</v>
      </c>
      <c r="N120" s="318">
        <v>1</v>
      </c>
      <c r="O120" s="621">
        <f t="shared" si="46"/>
        <v>4.49</v>
      </c>
      <c r="P120" s="755">
        <v>1</v>
      </c>
      <c r="Q120" s="755">
        <f t="shared" si="47"/>
        <v>0</v>
      </c>
      <c r="R120" s="341">
        <v>1</v>
      </c>
      <c r="S120" s="318">
        <f t="shared" si="53"/>
        <v>4.49</v>
      </c>
      <c r="T120" s="319"/>
      <c r="V120" s="328">
        <v>4.49</v>
      </c>
      <c r="W120" s="320">
        <v>1</v>
      </c>
      <c r="X120" s="328">
        <f t="shared" si="49"/>
        <v>4.49</v>
      </c>
      <c r="Y120" s="464">
        <v>1</v>
      </c>
      <c r="Z120" s="328">
        <f t="shared" si="50"/>
        <v>4.49</v>
      </c>
      <c r="AB120" s="458">
        <f t="shared" si="51"/>
        <v>0</v>
      </c>
      <c r="AC120" s="348">
        <f t="shared" si="52"/>
        <v>0</v>
      </c>
    </row>
    <row r="121" spans="1:29">
      <c r="A121" s="318"/>
      <c r="B121" s="319"/>
      <c r="C121" s="318"/>
      <c r="D121" s="318"/>
      <c r="E121" s="319"/>
      <c r="F121" s="319"/>
      <c r="G121" s="318" t="s">
        <v>1531</v>
      </c>
      <c r="H121" s="328">
        <v>4.49</v>
      </c>
      <c r="I121" s="318">
        <v>1</v>
      </c>
      <c r="J121" s="318">
        <f t="shared" si="44"/>
        <v>1</v>
      </c>
      <c r="K121" s="328">
        <f t="shared" si="45"/>
        <v>4.49</v>
      </c>
      <c r="L121" s="318">
        <v>1191</v>
      </c>
      <c r="M121" s="318" t="s">
        <v>196</v>
      </c>
      <c r="N121" s="318">
        <v>1</v>
      </c>
      <c r="O121" s="621">
        <f t="shared" si="46"/>
        <v>4.49</v>
      </c>
      <c r="P121" s="755">
        <v>1</v>
      </c>
      <c r="Q121" s="755">
        <f t="shared" si="47"/>
        <v>0</v>
      </c>
      <c r="R121" s="341">
        <v>1</v>
      </c>
      <c r="S121" s="318">
        <f t="shared" si="53"/>
        <v>4.49</v>
      </c>
      <c r="T121" s="319"/>
      <c r="V121" s="328">
        <v>4.49</v>
      </c>
      <c r="W121" s="320">
        <v>1</v>
      </c>
      <c r="X121" s="328">
        <f t="shared" si="49"/>
        <v>4.49</v>
      </c>
      <c r="Y121" s="464"/>
      <c r="Z121" s="328">
        <f t="shared" si="50"/>
        <v>0</v>
      </c>
      <c r="AB121" s="458">
        <f t="shared" si="51"/>
        <v>0</v>
      </c>
      <c r="AC121" s="348">
        <f t="shared" si="52"/>
        <v>-4.49</v>
      </c>
    </row>
    <row r="122" spans="1:29">
      <c r="A122" s="318"/>
      <c r="B122" s="319"/>
      <c r="C122" s="318"/>
      <c r="D122" s="318"/>
      <c r="E122" s="319"/>
      <c r="F122" s="319"/>
      <c r="G122" s="318" t="s">
        <v>1532</v>
      </c>
      <c r="H122" s="328">
        <v>4.49</v>
      </c>
      <c r="I122" s="318">
        <v>1</v>
      </c>
      <c r="J122" s="318">
        <f t="shared" si="44"/>
        <v>1</v>
      </c>
      <c r="K122" s="328">
        <f t="shared" si="45"/>
        <v>4.49</v>
      </c>
      <c r="L122" s="318">
        <v>1191</v>
      </c>
      <c r="M122" s="318" t="s">
        <v>196</v>
      </c>
      <c r="N122" s="318">
        <v>1</v>
      </c>
      <c r="O122" s="621">
        <f t="shared" si="46"/>
        <v>4.49</v>
      </c>
      <c r="P122" s="755">
        <v>1</v>
      </c>
      <c r="Q122" s="755">
        <f t="shared" si="47"/>
        <v>0</v>
      </c>
      <c r="R122" s="341">
        <v>1</v>
      </c>
      <c r="S122" s="318">
        <f t="shared" si="53"/>
        <v>4.49</v>
      </c>
      <c r="T122" s="319"/>
      <c r="V122" s="328">
        <v>4.49</v>
      </c>
      <c r="W122" s="320">
        <v>1</v>
      </c>
      <c r="X122" s="328">
        <f t="shared" si="49"/>
        <v>4.49</v>
      </c>
      <c r="Y122" s="464">
        <v>1</v>
      </c>
      <c r="Z122" s="328">
        <f t="shared" si="50"/>
        <v>4.49</v>
      </c>
      <c r="AB122" s="458">
        <f t="shared" si="51"/>
        <v>0</v>
      </c>
      <c r="AC122" s="348">
        <f t="shared" si="52"/>
        <v>0</v>
      </c>
    </row>
    <row r="123" spans="1:29">
      <c r="A123" s="318"/>
      <c r="B123" s="319"/>
      <c r="C123" s="318"/>
      <c r="D123" s="318"/>
      <c r="E123" s="319"/>
      <c r="F123" s="319"/>
      <c r="G123" s="318" t="s">
        <v>1533</v>
      </c>
      <c r="H123" s="328">
        <v>4.49</v>
      </c>
      <c r="I123" s="318">
        <v>1</v>
      </c>
      <c r="J123" s="318">
        <f t="shared" si="44"/>
        <v>1</v>
      </c>
      <c r="K123" s="328">
        <f t="shared" si="45"/>
        <v>4.49</v>
      </c>
      <c r="L123" s="318">
        <v>1191</v>
      </c>
      <c r="M123" s="318" t="s">
        <v>196</v>
      </c>
      <c r="N123" s="318">
        <v>1</v>
      </c>
      <c r="O123" s="621">
        <f t="shared" si="46"/>
        <v>4.49</v>
      </c>
      <c r="P123" s="755">
        <v>1</v>
      </c>
      <c r="Q123" s="755">
        <f t="shared" si="47"/>
        <v>0</v>
      </c>
      <c r="R123" s="341">
        <v>1</v>
      </c>
      <c r="S123" s="318">
        <f t="shared" si="53"/>
        <v>4.49</v>
      </c>
      <c r="T123" s="319"/>
      <c r="V123" s="328">
        <v>4.49</v>
      </c>
      <c r="W123" s="320">
        <v>1</v>
      </c>
      <c r="X123" s="328">
        <f t="shared" si="49"/>
        <v>4.49</v>
      </c>
      <c r="Y123" s="464">
        <v>1</v>
      </c>
      <c r="Z123" s="328">
        <f t="shared" si="50"/>
        <v>4.49</v>
      </c>
      <c r="AB123" s="458">
        <f t="shared" si="51"/>
        <v>0</v>
      </c>
      <c r="AC123" s="348">
        <f t="shared" si="52"/>
        <v>0</v>
      </c>
    </row>
    <row r="124" spans="1:29">
      <c r="A124" s="318"/>
      <c r="B124" s="319"/>
      <c r="C124" s="318"/>
      <c r="D124" s="318"/>
      <c r="E124" s="319"/>
      <c r="F124" s="319"/>
      <c r="G124" s="318" t="s">
        <v>1534</v>
      </c>
      <c r="H124" s="328">
        <v>4.49</v>
      </c>
      <c r="I124" s="318">
        <v>1</v>
      </c>
      <c r="J124" s="318">
        <f t="shared" si="44"/>
        <v>1</v>
      </c>
      <c r="K124" s="328">
        <f t="shared" si="45"/>
        <v>4.49</v>
      </c>
      <c r="L124" s="318"/>
      <c r="M124" s="318"/>
      <c r="N124" s="318">
        <v>1</v>
      </c>
      <c r="O124" s="621">
        <f t="shared" si="46"/>
        <v>4.49</v>
      </c>
      <c r="P124" s="755">
        <v>1</v>
      </c>
      <c r="Q124" s="755">
        <f t="shared" si="47"/>
        <v>0</v>
      </c>
      <c r="R124" s="341">
        <v>1</v>
      </c>
      <c r="S124" s="318">
        <f t="shared" si="53"/>
        <v>4.49</v>
      </c>
      <c r="T124" s="319"/>
      <c r="V124" s="328">
        <v>4.49</v>
      </c>
      <c r="W124" s="320">
        <v>1</v>
      </c>
      <c r="X124" s="328">
        <f t="shared" si="49"/>
        <v>4.49</v>
      </c>
      <c r="Y124" s="464">
        <v>1</v>
      </c>
      <c r="Z124" s="328">
        <f t="shared" si="50"/>
        <v>4.49</v>
      </c>
      <c r="AB124" s="458">
        <f t="shared" si="51"/>
        <v>0</v>
      </c>
      <c r="AC124" s="348">
        <f t="shared" si="52"/>
        <v>0</v>
      </c>
    </row>
    <row r="125" spans="1:29">
      <c r="A125" s="318"/>
      <c r="B125" s="319"/>
      <c r="C125" s="318"/>
      <c r="D125" s="318"/>
      <c r="E125" s="319"/>
      <c r="F125" s="319"/>
      <c r="G125" s="318" t="s">
        <v>1535</v>
      </c>
      <c r="H125" s="328">
        <v>4.49</v>
      </c>
      <c r="I125" s="318">
        <v>1</v>
      </c>
      <c r="J125" s="318">
        <f t="shared" si="44"/>
        <v>1</v>
      </c>
      <c r="K125" s="328">
        <f t="shared" si="45"/>
        <v>4.49</v>
      </c>
      <c r="L125" s="318">
        <v>1205</v>
      </c>
      <c r="M125" s="318" t="s">
        <v>201</v>
      </c>
      <c r="N125" s="318">
        <v>1</v>
      </c>
      <c r="O125" s="621">
        <f t="shared" si="46"/>
        <v>4.49</v>
      </c>
      <c r="P125" s="755">
        <v>1</v>
      </c>
      <c r="Q125" s="755">
        <f t="shared" si="47"/>
        <v>0</v>
      </c>
      <c r="R125" s="341">
        <v>1</v>
      </c>
      <c r="S125" s="318">
        <f t="shared" si="53"/>
        <v>4.49</v>
      </c>
      <c r="T125" s="319"/>
      <c r="V125" s="328">
        <v>4.49</v>
      </c>
      <c r="W125" s="320">
        <v>1</v>
      </c>
      <c r="X125" s="328">
        <f t="shared" si="49"/>
        <v>4.49</v>
      </c>
      <c r="Y125" s="464">
        <v>1</v>
      </c>
      <c r="Z125" s="328">
        <f t="shared" si="50"/>
        <v>4.49</v>
      </c>
      <c r="AB125" s="458">
        <f t="shared" si="51"/>
        <v>0</v>
      </c>
      <c r="AC125" s="348">
        <f t="shared" si="52"/>
        <v>0</v>
      </c>
    </row>
    <row r="126" spans="1:29">
      <c r="A126" s="318"/>
      <c r="B126" s="319"/>
      <c r="C126" s="318"/>
      <c r="D126" s="318"/>
      <c r="E126" s="319"/>
      <c r="F126" s="319"/>
      <c r="G126" s="318" t="s">
        <v>1536</v>
      </c>
      <c r="H126" s="328">
        <v>4.49</v>
      </c>
      <c r="I126" s="318">
        <v>1</v>
      </c>
      <c r="J126" s="318">
        <f t="shared" si="44"/>
        <v>1</v>
      </c>
      <c r="K126" s="328">
        <f t="shared" si="45"/>
        <v>4.49</v>
      </c>
      <c r="L126" s="318">
        <v>1205</v>
      </c>
      <c r="M126" s="318" t="s">
        <v>201</v>
      </c>
      <c r="N126" s="318">
        <v>1</v>
      </c>
      <c r="O126" s="621">
        <f t="shared" si="46"/>
        <v>4.49</v>
      </c>
      <c r="P126" s="755">
        <v>1</v>
      </c>
      <c r="Q126" s="755">
        <f t="shared" si="47"/>
        <v>0</v>
      </c>
      <c r="R126" s="341">
        <v>1</v>
      </c>
      <c r="S126" s="318">
        <f t="shared" si="53"/>
        <v>4.49</v>
      </c>
      <c r="T126" s="319"/>
      <c r="V126" s="328">
        <v>4.49</v>
      </c>
      <c r="W126" s="320">
        <v>1</v>
      </c>
      <c r="X126" s="328">
        <f t="shared" si="49"/>
        <v>4.49</v>
      </c>
      <c r="Y126" s="464">
        <v>1</v>
      </c>
      <c r="Z126" s="328">
        <f t="shared" si="50"/>
        <v>4.49</v>
      </c>
      <c r="AB126" s="458">
        <f t="shared" si="51"/>
        <v>0</v>
      </c>
      <c r="AC126" s="348">
        <f t="shared" si="52"/>
        <v>0</v>
      </c>
    </row>
    <row r="127" spans="1:29">
      <c r="A127" s="318"/>
      <c r="B127" s="319"/>
      <c r="C127" s="318"/>
      <c r="D127" s="318"/>
      <c r="E127" s="319"/>
      <c r="F127" s="319"/>
      <c r="G127" s="318" t="s">
        <v>1537</v>
      </c>
      <c r="H127" s="328">
        <v>4.49</v>
      </c>
      <c r="I127" s="318">
        <v>1</v>
      </c>
      <c r="J127" s="318">
        <f t="shared" si="44"/>
        <v>1</v>
      </c>
      <c r="K127" s="328">
        <f t="shared" si="45"/>
        <v>4.49</v>
      </c>
      <c r="L127" s="318"/>
      <c r="M127" s="318"/>
      <c r="N127" s="318">
        <v>1</v>
      </c>
      <c r="O127" s="621">
        <f t="shared" si="46"/>
        <v>4.49</v>
      </c>
      <c r="P127" s="755">
        <v>1</v>
      </c>
      <c r="Q127" s="755">
        <f t="shared" si="47"/>
        <v>0</v>
      </c>
      <c r="R127" s="341">
        <v>1</v>
      </c>
      <c r="S127" s="318">
        <f t="shared" si="53"/>
        <v>4.49</v>
      </c>
      <c r="T127" s="319"/>
      <c r="V127" s="328">
        <v>4.49</v>
      </c>
      <c r="W127" s="320">
        <v>1</v>
      </c>
      <c r="X127" s="328">
        <f t="shared" si="49"/>
        <v>4.49</v>
      </c>
      <c r="Y127" s="464">
        <v>1</v>
      </c>
      <c r="Z127" s="328">
        <f t="shared" si="50"/>
        <v>4.49</v>
      </c>
      <c r="AB127" s="458">
        <f t="shared" si="51"/>
        <v>0</v>
      </c>
      <c r="AC127" s="348">
        <f t="shared" si="52"/>
        <v>0</v>
      </c>
    </row>
    <row r="128" spans="1:29">
      <c r="A128" s="318"/>
      <c r="B128" s="319"/>
      <c r="C128" s="318"/>
      <c r="D128" s="318"/>
      <c r="E128" s="319"/>
      <c r="F128" s="319"/>
      <c r="G128" s="318" t="s">
        <v>1538</v>
      </c>
      <c r="H128" s="328">
        <v>3.38</v>
      </c>
      <c r="I128" s="318">
        <v>1</v>
      </c>
      <c r="J128" s="318">
        <f t="shared" si="44"/>
        <v>1</v>
      </c>
      <c r="K128" s="328">
        <f t="shared" si="45"/>
        <v>3.38</v>
      </c>
      <c r="L128" s="318">
        <v>1256</v>
      </c>
      <c r="M128" s="318" t="s">
        <v>217</v>
      </c>
      <c r="N128" s="318">
        <v>1</v>
      </c>
      <c r="O128" s="621">
        <f t="shared" si="46"/>
        <v>3.38</v>
      </c>
      <c r="P128" s="755">
        <v>1</v>
      </c>
      <c r="Q128" s="755">
        <f t="shared" si="47"/>
        <v>0</v>
      </c>
      <c r="R128" s="341">
        <v>1</v>
      </c>
      <c r="S128" s="318">
        <f t="shared" si="53"/>
        <v>3.38</v>
      </c>
      <c r="T128" s="319"/>
      <c r="V128" s="328">
        <f>3.365</f>
        <v>3.3650000000000002</v>
      </c>
      <c r="W128" s="320">
        <v>1</v>
      </c>
      <c r="X128" s="328">
        <f t="shared" si="49"/>
        <v>3.3650000000000002</v>
      </c>
      <c r="Y128" s="464">
        <v>1</v>
      </c>
      <c r="Z128" s="328">
        <f t="shared" si="50"/>
        <v>3.3650000000000002</v>
      </c>
      <c r="AB128" s="458">
        <f t="shared" si="51"/>
        <v>-1.499999999999968E-2</v>
      </c>
      <c r="AC128" s="348">
        <f t="shared" si="52"/>
        <v>-1.499999999999968E-2</v>
      </c>
    </row>
    <row r="129" spans="1:29">
      <c r="A129" s="318"/>
      <c r="B129" s="319"/>
      <c r="C129" s="318"/>
      <c r="D129" s="318"/>
      <c r="E129" s="319"/>
      <c r="F129" s="319"/>
      <c r="G129" s="318" t="s">
        <v>1539</v>
      </c>
      <c r="H129" s="328">
        <v>3.38</v>
      </c>
      <c r="I129" s="318">
        <v>1</v>
      </c>
      <c r="J129" s="318">
        <f t="shared" si="44"/>
        <v>1</v>
      </c>
      <c r="K129" s="328">
        <f t="shared" si="45"/>
        <v>3.38</v>
      </c>
      <c r="L129" s="318">
        <v>1256</v>
      </c>
      <c r="M129" s="318" t="s">
        <v>217</v>
      </c>
      <c r="N129" s="318">
        <v>1</v>
      </c>
      <c r="O129" s="621">
        <f t="shared" si="46"/>
        <v>3.38</v>
      </c>
      <c r="P129" s="755">
        <v>1</v>
      </c>
      <c r="Q129" s="755">
        <f t="shared" si="47"/>
        <v>0</v>
      </c>
      <c r="R129" s="341">
        <v>1</v>
      </c>
      <c r="S129" s="318">
        <f t="shared" si="53"/>
        <v>3.38</v>
      </c>
      <c r="T129" s="319"/>
      <c r="V129" s="328">
        <f>3.365</f>
        <v>3.3650000000000002</v>
      </c>
      <c r="W129" s="320">
        <v>1</v>
      </c>
      <c r="X129" s="328">
        <f t="shared" si="49"/>
        <v>3.3650000000000002</v>
      </c>
      <c r="Y129" s="464">
        <v>1</v>
      </c>
      <c r="Z129" s="328">
        <f t="shared" si="50"/>
        <v>3.3650000000000002</v>
      </c>
      <c r="AB129" s="458">
        <f t="shared" si="51"/>
        <v>-1.499999999999968E-2</v>
      </c>
      <c r="AC129" s="348">
        <f t="shared" si="52"/>
        <v>-1.499999999999968E-2</v>
      </c>
    </row>
    <row r="130" spans="1:29">
      <c r="A130" s="318"/>
      <c r="B130" s="319"/>
      <c r="C130" s="318"/>
      <c r="D130" s="318"/>
      <c r="E130" s="319"/>
      <c r="F130" s="319" t="s">
        <v>1443</v>
      </c>
      <c r="G130" s="318" t="s">
        <v>1540</v>
      </c>
      <c r="H130" s="328">
        <v>3.41</v>
      </c>
      <c r="I130" s="318">
        <v>1</v>
      </c>
      <c r="J130" s="318">
        <f t="shared" si="44"/>
        <v>1</v>
      </c>
      <c r="K130" s="328">
        <f t="shared" si="45"/>
        <v>3.41</v>
      </c>
      <c r="L130" s="318">
        <v>1395</v>
      </c>
      <c r="M130" s="318" t="s">
        <v>256</v>
      </c>
      <c r="N130" s="318">
        <v>1</v>
      </c>
      <c r="O130" s="621">
        <f t="shared" si="46"/>
        <v>3.41</v>
      </c>
      <c r="P130" s="755">
        <v>1</v>
      </c>
      <c r="Q130" s="755">
        <f t="shared" si="47"/>
        <v>0</v>
      </c>
      <c r="R130" s="341">
        <v>1</v>
      </c>
      <c r="S130" s="318">
        <f t="shared" si="53"/>
        <v>3.41</v>
      </c>
      <c r="T130" s="319"/>
      <c r="V130" s="328">
        <f>3.255+0.145</f>
        <v>3.4</v>
      </c>
      <c r="W130" s="320">
        <v>1</v>
      </c>
      <c r="X130" s="328">
        <f t="shared" si="49"/>
        <v>3.4</v>
      </c>
      <c r="Y130" s="464">
        <v>1</v>
      </c>
      <c r="Z130" s="328">
        <f t="shared" si="50"/>
        <v>3.4</v>
      </c>
      <c r="AB130" s="458">
        <f t="shared" si="51"/>
        <v>-1.0000000000000231E-2</v>
      </c>
      <c r="AC130" s="348">
        <f t="shared" si="52"/>
        <v>-1.0000000000000231E-2</v>
      </c>
    </row>
    <row r="131" spans="1:29">
      <c r="A131" s="318"/>
      <c r="B131" s="319"/>
      <c r="C131" s="318"/>
      <c r="D131" s="318"/>
      <c r="E131" s="319"/>
      <c r="F131" s="319" t="s">
        <v>1443</v>
      </c>
      <c r="G131" s="318" t="s">
        <v>1541</v>
      </c>
      <c r="H131" s="328">
        <v>3.77</v>
      </c>
      <c r="I131" s="318">
        <v>1</v>
      </c>
      <c r="J131" s="318">
        <f t="shared" si="44"/>
        <v>1</v>
      </c>
      <c r="K131" s="328">
        <f t="shared" si="45"/>
        <v>3.77</v>
      </c>
      <c r="L131" s="318">
        <v>1395</v>
      </c>
      <c r="M131" s="318" t="s">
        <v>256</v>
      </c>
      <c r="N131" s="318">
        <v>1</v>
      </c>
      <c r="O131" s="621">
        <f t="shared" si="46"/>
        <v>3.77</v>
      </c>
      <c r="P131" s="755">
        <v>1</v>
      </c>
      <c r="Q131" s="755">
        <f t="shared" si="47"/>
        <v>0</v>
      </c>
      <c r="R131" s="341">
        <v>1</v>
      </c>
      <c r="S131" s="318">
        <f t="shared" si="53"/>
        <v>3.77</v>
      </c>
      <c r="T131" s="319"/>
      <c r="V131" s="328">
        <f>3.255+0.507</f>
        <v>3.762</v>
      </c>
      <c r="W131" s="320">
        <v>1</v>
      </c>
      <c r="X131" s="328">
        <f t="shared" si="49"/>
        <v>3.762</v>
      </c>
      <c r="Y131" s="464">
        <v>1</v>
      </c>
      <c r="Z131" s="328">
        <f t="shared" si="50"/>
        <v>3.762</v>
      </c>
      <c r="AB131" s="458">
        <f t="shared" si="51"/>
        <v>-8.0000000000000071E-3</v>
      </c>
      <c r="AC131" s="348">
        <f t="shared" si="52"/>
        <v>-8.0000000000000071E-3</v>
      </c>
    </row>
    <row r="132" spans="1:29">
      <c r="A132" s="318"/>
      <c r="B132" s="319"/>
      <c r="C132" s="318"/>
      <c r="D132" s="318"/>
      <c r="E132" s="319"/>
      <c r="F132" s="319"/>
      <c r="G132" s="318" t="s">
        <v>1542</v>
      </c>
      <c r="H132" s="328">
        <v>3.92</v>
      </c>
      <c r="I132" s="318">
        <v>1</v>
      </c>
      <c r="J132" s="318">
        <f t="shared" si="44"/>
        <v>1</v>
      </c>
      <c r="K132" s="328">
        <f t="shared" si="45"/>
        <v>3.92</v>
      </c>
      <c r="L132" s="318"/>
      <c r="M132" s="318"/>
      <c r="N132" s="318">
        <v>1</v>
      </c>
      <c r="O132" s="621">
        <f t="shared" si="46"/>
        <v>3.92</v>
      </c>
      <c r="P132" s="755">
        <v>1</v>
      </c>
      <c r="Q132" s="755">
        <f t="shared" si="47"/>
        <v>0</v>
      </c>
      <c r="R132" s="341">
        <v>1</v>
      </c>
      <c r="S132" s="318">
        <f t="shared" si="53"/>
        <v>3.92</v>
      </c>
      <c r="T132" s="319"/>
      <c r="V132" s="328">
        <f>3.91</f>
        <v>3.91</v>
      </c>
      <c r="W132" s="320">
        <v>1</v>
      </c>
      <c r="X132" s="328">
        <f t="shared" si="49"/>
        <v>3.91</v>
      </c>
      <c r="Y132" s="464">
        <v>1</v>
      </c>
      <c r="Z132" s="328">
        <f t="shared" si="50"/>
        <v>3.91</v>
      </c>
      <c r="AB132" s="458">
        <f t="shared" si="51"/>
        <v>-9.9999999999997868E-3</v>
      </c>
      <c r="AC132" s="348">
        <f t="shared" si="52"/>
        <v>-9.9999999999997868E-3</v>
      </c>
    </row>
    <row r="133" spans="1:29">
      <c r="A133" s="318"/>
      <c r="B133" s="319"/>
      <c r="C133" s="318"/>
      <c r="D133" s="318"/>
      <c r="E133" s="319"/>
      <c r="F133" s="319"/>
      <c r="G133" s="318" t="s">
        <v>1543</v>
      </c>
      <c r="H133" s="328">
        <v>3.92</v>
      </c>
      <c r="I133" s="318">
        <v>1</v>
      </c>
      <c r="J133" s="318">
        <f t="shared" si="44"/>
        <v>1</v>
      </c>
      <c r="K133" s="328">
        <f t="shared" si="45"/>
        <v>3.92</v>
      </c>
      <c r="L133" s="318"/>
      <c r="M133" s="318"/>
      <c r="N133" s="318">
        <v>1</v>
      </c>
      <c r="O133" s="621">
        <f t="shared" si="46"/>
        <v>3.92</v>
      </c>
      <c r="P133" s="755">
        <v>1</v>
      </c>
      <c r="Q133" s="755">
        <f t="shared" si="47"/>
        <v>0</v>
      </c>
      <c r="R133" s="341">
        <v>1</v>
      </c>
      <c r="S133" s="318">
        <f t="shared" si="53"/>
        <v>3.92</v>
      </c>
      <c r="T133" s="319"/>
      <c r="V133" s="328">
        <f>3.91</f>
        <v>3.91</v>
      </c>
      <c r="W133" s="320">
        <v>1</v>
      </c>
      <c r="X133" s="328">
        <f t="shared" si="49"/>
        <v>3.91</v>
      </c>
      <c r="Y133" s="464">
        <v>1</v>
      </c>
      <c r="Z133" s="328">
        <f t="shared" si="50"/>
        <v>3.91</v>
      </c>
      <c r="AB133" s="458">
        <f t="shared" si="51"/>
        <v>-9.9999999999997868E-3</v>
      </c>
      <c r="AC133" s="348">
        <f t="shared" si="52"/>
        <v>-9.9999999999997868E-3</v>
      </c>
    </row>
    <row r="134" spans="1:29">
      <c r="A134" s="318"/>
      <c r="B134" s="319"/>
      <c r="C134" s="318"/>
      <c r="D134" s="318"/>
      <c r="E134" s="319"/>
      <c r="F134" s="319"/>
      <c r="G134" s="318" t="s">
        <v>1544</v>
      </c>
      <c r="H134" s="328">
        <v>3.92</v>
      </c>
      <c r="I134" s="318">
        <v>1</v>
      </c>
      <c r="J134" s="318">
        <f t="shared" si="44"/>
        <v>1</v>
      </c>
      <c r="K134" s="328">
        <f t="shared" si="45"/>
        <v>3.92</v>
      </c>
      <c r="L134" s="318"/>
      <c r="M134" s="318"/>
      <c r="N134" s="318">
        <v>1</v>
      </c>
      <c r="O134" s="621">
        <f t="shared" si="46"/>
        <v>3.92</v>
      </c>
      <c r="P134" s="755">
        <v>1</v>
      </c>
      <c r="Q134" s="755">
        <f t="shared" si="47"/>
        <v>0</v>
      </c>
      <c r="R134" s="341">
        <v>1</v>
      </c>
      <c r="S134" s="318">
        <f t="shared" si="53"/>
        <v>3.92</v>
      </c>
      <c r="T134" s="319"/>
      <c r="V134" s="328">
        <f>3.91</f>
        <v>3.91</v>
      </c>
      <c r="W134" s="320">
        <v>1</v>
      </c>
      <c r="X134" s="328">
        <f t="shared" si="49"/>
        <v>3.91</v>
      </c>
      <c r="Y134" s="464">
        <v>1</v>
      </c>
      <c r="Z134" s="328">
        <f t="shared" si="50"/>
        <v>3.91</v>
      </c>
      <c r="AB134" s="458">
        <f t="shared" si="51"/>
        <v>-9.9999999999997868E-3</v>
      </c>
      <c r="AC134" s="348">
        <f t="shared" si="52"/>
        <v>-9.9999999999997868E-3</v>
      </c>
    </row>
    <row r="135" spans="1:29">
      <c r="A135" s="318"/>
      <c r="B135" s="319"/>
      <c r="C135" s="318"/>
      <c r="D135" s="318"/>
      <c r="E135" s="319"/>
      <c r="F135" s="319"/>
      <c r="G135" s="318" t="s">
        <v>1545</v>
      </c>
      <c r="H135" s="328">
        <v>3.92</v>
      </c>
      <c r="I135" s="318">
        <v>1</v>
      </c>
      <c r="J135" s="318">
        <f t="shared" si="44"/>
        <v>1</v>
      </c>
      <c r="K135" s="328">
        <f t="shared" si="45"/>
        <v>3.92</v>
      </c>
      <c r="L135" s="318"/>
      <c r="M135" s="318"/>
      <c r="N135" s="318">
        <v>1</v>
      </c>
      <c r="O135" s="621">
        <f t="shared" si="46"/>
        <v>3.92</v>
      </c>
      <c r="P135" s="755">
        <v>1</v>
      </c>
      <c r="Q135" s="755">
        <f t="shared" si="47"/>
        <v>0</v>
      </c>
      <c r="R135" s="341">
        <v>1</v>
      </c>
      <c r="S135" s="318">
        <f t="shared" si="53"/>
        <v>3.92</v>
      </c>
      <c r="T135" s="319"/>
      <c r="V135" s="328">
        <f>3.91</f>
        <v>3.91</v>
      </c>
      <c r="W135" s="320">
        <v>1</v>
      </c>
      <c r="X135" s="328">
        <f t="shared" si="49"/>
        <v>3.91</v>
      </c>
      <c r="Y135" s="464">
        <v>1</v>
      </c>
      <c r="Z135" s="328">
        <f t="shared" si="50"/>
        <v>3.91</v>
      </c>
      <c r="AB135" s="458">
        <f t="shared" si="51"/>
        <v>-9.9999999999997868E-3</v>
      </c>
      <c r="AC135" s="348">
        <f t="shared" si="52"/>
        <v>-9.9999999999997868E-3</v>
      </c>
    </row>
    <row r="136" spans="1:29">
      <c r="A136" s="318"/>
      <c r="B136" s="319"/>
      <c r="C136" s="318"/>
      <c r="D136" s="318"/>
      <c r="E136" s="319"/>
      <c r="F136" s="319" t="s">
        <v>1443</v>
      </c>
      <c r="G136" s="318" t="s">
        <v>1546</v>
      </c>
      <c r="H136" s="328">
        <v>3.77</v>
      </c>
      <c r="I136" s="318">
        <v>1</v>
      </c>
      <c r="J136" s="318">
        <f t="shared" si="44"/>
        <v>1</v>
      </c>
      <c r="K136" s="328">
        <f t="shared" si="45"/>
        <v>3.77</v>
      </c>
      <c r="L136" s="318">
        <v>1416</v>
      </c>
      <c r="M136" s="318">
        <v>104</v>
      </c>
      <c r="N136" s="318">
        <v>1</v>
      </c>
      <c r="O136" s="621">
        <f t="shared" si="46"/>
        <v>3.77</v>
      </c>
      <c r="P136" s="755">
        <v>1</v>
      </c>
      <c r="Q136" s="755">
        <f t="shared" si="47"/>
        <v>0</v>
      </c>
      <c r="R136" s="341">
        <v>1</v>
      </c>
      <c r="S136" s="318">
        <f t="shared" si="53"/>
        <v>3.77</v>
      </c>
      <c r="T136" s="319"/>
      <c r="V136" s="328">
        <f>0.507+3.255</f>
        <v>3.762</v>
      </c>
      <c r="W136" s="320">
        <v>1</v>
      </c>
      <c r="X136" s="328">
        <f t="shared" si="49"/>
        <v>3.762</v>
      </c>
      <c r="Y136" s="464">
        <v>1</v>
      </c>
      <c r="Z136" s="328">
        <f t="shared" si="50"/>
        <v>3.762</v>
      </c>
      <c r="AB136" s="458">
        <f t="shared" si="51"/>
        <v>-8.0000000000000071E-3</v>
      </c>
      <c r="AC136" s="348">
        <f t="shared" si="52"/>
        <v>-8.0000000000000071E-3</v>
      </c>
    </row>
    <row r="137" spans="1:29">
      <c r="A137" s="318"/>
      <c r="B137" s="319"/>
      <c r="C137" s="318"/>
      <c r="D137" s="318"/>
      <c r="E137" s="319"/>
      <c r="F137" s="319" t="s">
        <v>1443</v>
      </c>
      <c r="G137" s="318" t="s">
        <v>1547</v>
      </c>
      <c r="H137" s="328">
        <v>3.41</v>
      </c>
      <c r="I137" s="318">
        <v>1</v>
      </c>
      <c r="J137" s="318">
        <f t="shared" si="44"/>
        <v>1</v>
      </c>
      <c r="K137" s="328">
        <f t="shared" si="45"/>
        <v>3.41</v>
      </c>
      <c r="L137" s="318">
        <v>1408</v>
      </c>
      <c r="M137" s="318" t="s">
        <v>264</v>
      </c>
      <c r="N137" s="318">
        <v>1</v>
      </c>
      <c r="O137" s="621">
        <f t="shared" si="46"/>
        <v>3.41</v>
      </c>
      <c r="P137" s="755">
        <v>1</v>
      </c>
      <c r="Q137" s="755">
        <f t="shared" si="47"/>
        <v>0</v>
      </c>
      <c r="R137" s="341">
        <v>1</v>
      </c>
      <c r="S137" s="318">
        <f t="shared" si="53"/>
        <v>3.41</v>
      </c>
      <c r="T137" s="319"/>
      <c r="V137" s="328">
        <f>3.255+0.145</f>
        <v>3.4</v>
      </c>
      <c r="W137" s="320">
        <v>1</v>
      </c>
      <c r="X137" s="328">
        <f t="shared" si="49"/>
        <v>3.4</v>
      </c>
      <c r="Y137" s="464">
        <v>1</v>
      </c>
      <c r="Z137" s="328">
        <f t="shared" si="50"/>
        <v>3.4</v>
      </c>
      <c r="AB137" s="458">
        <f t="shared" si="51"/>
        <v>-1.0000000000000231E-2</v>
      </c>
      <c r="AC137" s="348">
        <f t="shared" si="52"/>
        <v>-1.0000000000000231E-2</v>
      </c>
    </row>
    <row r="138" spans="1:29">
      <c r="A138" s="318"/>
      <c r="B138" s="319"/>
      <c r="C138" s="318"/>
      <c r="D138" s="318"/>
      <c r="E138" s="319"/>
      <c r="F138" s="319"/>
      <c r="G138" s="318" t="s">
        <v>1548</v>
      </c>
      <c r="H138" s="328">
        <v>3.37</v>
      </c>
      <c r="I138" s="318">
        <v>1</v>
      </c>
      <c r="J138" s="318">
        <f t="shared" si="44"/>
        <v>1</v>
      </c>
      <c r="K138" s="328">
        <f t="shared" si="45"/>
        <v>3.37</v>
      </c>
      <c r="L138" s="318">
        <v>1256</v>
      </c>
      <c r="M138" s="318" t="s">
        <v>217</v>
      </c>
      <c r="N138" s="318">
        <v>1</v>
      </c>
      <c r="O138" s="621">
        <f t="shared" si="46"/>
        <v>3.37</v>
      </c>
      <c r="P138" s="755">
        <v>1</v>
      </c>
      <c r="Q138" s="755">
        <f t="shared" si="47"/>
        <v>0</v>
      </c>
      <c r="R138" s="341">
        <v>1</v>
      </c>
      <c r="S138" s="318">
        <f t="shared" si="53"/>
        <v>3.37</v>
      </c>
      <c r="T138" s="319"/>
      <c r="V138" s="328">
        <v>3.3650000000000002</v>
      </c>
      <c r="W138" s="320">
        <v>1</v>
      </c>
      <c r="X138" s="328">
        <f t="shared" si="49"/>
        <v>3.3650000000000002</v>
      </c>
      <c r="Y138" s="464">
        <v>1</v>
      </c>
      <c r="Z138" s="328">
        <f t="shared" si="50"/>
        <v>3.3650000000000002</v>
      </c>
      <c r="AB138" s="458">
        <f t="shared" si="51"/>
        <v>-4.9999999999998934E-3</v>
      </c>
      <c r="AC138" s="348">
        <f t="shared" si="52"/>
        <v>-4.9999999999998934E-3</v>
      </c>
    </row>
    <row r="139" spans="1:29">
      <c r="A139" s="318"/>
      <c r="B139" s="319"/>
      <c r="C139" s="318"/>
      <c r="D139" s="318"/>
      <c r="E139" s="319"/>
      <c r="F139" s="319"/>
      <c r="G139" s="318" t="s">
        <v>1549</v>
      </c>
      <c r="H139" s="328">
        <v>3.37</v>
      </c>
      <c r="I139" s="318">
        <v>1</v>
      </c>
      <c r="J139" s="318">
        <f t="shared" si="44"/>
        <v>1</v>
      </c>
      <c r="K139" s="328">
        <f t="shared" si="45"/>
        <v>3.37</v>
      </c>
      <c r="L139" s="318">
        <v>1256</v>
      </c>
      <c r="M139" s="318" t="s">
        <v>217</v>
      </c>
      <c r="N139" s="318">
        <v>1</v>
      </c>
      <c r="O139" s="621">
        <f t="shared" si="46"/>
        <v>3.37</v>
      </c>
      <c r="P139" s="755">
        <v>1</v>
      </c>
      <c r="Q139" s="755">
        <f t="shared" si="47"/>
        <v>0</v>
      </c>
      <c r="R139" s="341">
        <v>1</v>
      </c>
      <c r="S139" s="318">
        <f t="shared" si="53"/>
        <v>3.37</v>
      </c>
      <c r="T139" s="319"/>
      <c r="V139" s="328">
        <v>3.3650000000000002</v>
      </c>
      <c r="W139" s="320">
        <v>1</v>
      </c>
      <c r="X139" s="328">
        <f t="shared" si="49"/>
        <v>3.3650000000000002</v>
      </c>
      <c r="Y139" s="464">
        <v>1</v>
      </c>
      <c r="Z139" s="328">
        <f t="shared" si="50"/>
        <v>3.3650000000000002</v>
      </c>
      <c r="AB139" s="458">
        <f t="shared" si="51"/>
        <v>-4.9999999999998934E-3</v>
      </c>
      <c r="AC139" s="348">
        <f t="shared" si="52"/>
        <v>-4.9999999999998934E-3</v>
      </c>
    </row>
    <row r="140" spans="1:29">
      <c r="A140" s="318"/>
      <c r="B140" s="319"/>
      <c r="C140" s="318"/>
      <c r="D140" s="318"/>
      <c r="E140" s="319"/>
      <c r="F140" s="336"/>
      <c r="G140" s="318" t="s">
        <v>1550</v>
      </c>
      <c r="H140" s="328">
        <v>4.49</v>
      </c>
      <c r="I140" s="318">
        <v>1</v>
      </c>
      <c r="J140" s="318">
        <f t="shared" si="44"/>
        <v>1</v>
      </c>
      <c r="K140" s="328">
        <f t="shared" si="45"/>
        <v>4.49</v>
      </c>
      <c r="L140" s="318"/>
      <c r="M140" s="318"/>
      <c r="N140" s="318">
        <v>1</v>
      </c>
      <c r="O140" s="621">
        <f t="shared" si="46"/>
        <v>4.49</v>
      </c>
      <c r="P140" s="755">
        <v>1</v>
      </c>
      <c r="Q140" s="755">
        <f t="shared" si="47"/>
        <v>0</v>
      </c>
      <c r="R140" s="341">
        <v>1</v>
      </c>
      <c r="S140" s="318">
        <f t="shared" si="53"/>
        <v>4.49</v>
      </c>
      <c r="T140" s="319"/>
      <c r="V140" s="328">
        <v>4.49</v>
      </c>
      <c r="W140" s="320">
        <v>1</v>
      </c>
      <c r="X140" s="328">
        <f t="shared" si="49"/>
        <v>4.49</v>
      </c>
      <c r="Y140" s="464">
        <v>1</v>
      </c>
      <c r="Z140" s="328">
        <f t="shared" si="50"/>
        <v>4.49</v>
      </c>
      <c r="AB140" s="458">
        <f t="shared" si="51"/>
        <v>0</v>
      </c>
      <c r="AC140" s="348">
        <f t="shared" si="52"/>
        <v>0</v>
      </c>
    </row>
    <row r="141" spans="1:29" ht="20.399999999999999">
      <c r="A141" s="318"/>
      <c r="B141" s="319"/>
      <c r="C141" s="318"/>
      <c r="D141" s="318"/>
      <c r="E141" s="319"/>
      <c r="F141" s="336" t="s">
        <v>604</v>
      </c>
      <c r="G141" s="318" t="s">
        <v>1551</v>
      </c>
      <c r="H141" s="328">
        <v>4.72</v>
      </c>
      <c r="I141" s="318">
        <v>1</v>
      </c>
      <c r="J141" s="318">
        <f t="shared" si="44"/>
        <v>1</v>
      </c>
      <c r="K141" s="328">
        <f t="shared" si="45"/>
        <v>4.72</v>
      </c>
      <c r="L141" s="352" t="s">
        <v>3086</v>
      </c>
      <c r="M141" s="350" t="s">
        <v>2747</v>
      </c>
      <c r="N141" s="318">
        <v>1</v>
      </c>
      <c r="O141" s="621">
        <f t="shared" si="46"/>
        <v>4.72</v>
      </c>
      <c r="P141" s="755">
        <v>1</v>
      </c>
      <c r="Q141" s="755">
        <f t="shared" si="47"/>
        <v>0</v>
      </c>
      <c r="R141" s="341">
        <v>1</v>
      </c>
      <c r="S141" s="318">
        <f t="shared" si="53"/>
        <v>4.72</v>
      </c>
      <c r="T141" s="319" t="s">
        <v>3424</v>
      </c>
      <c r="V141" s="328">
        <v>4.49</v>
      </c>
      <c r="W141" s="320"/>
      <c r="X141" s="328">
        <f t="shared" si="49"/>
        <v>0</v>
      </c>
      <c r="Y141" s="320"/>
      <c r="Z141" s="328">
        <f t="shared" si="50"/>
        <v>0</v>
      </c>
      <c r="AB141" s="458">
        <f t="shared" si="51"/>
        <v>-4.72</v>
      </c>
      <c r="AC141" s="348">
        <f t="shared" si="52"/>
        <v>-4.72</v>
      </c>
    </row>
    <row r="142" spans="1:29">
      <c r="A142" s="584"/>
      <c r="B142" s="585"/>
      <c r="C142" s="584"/>
      <c r="D142" s="584"/>
      <c r="E142" s="585"/>
      <c r="F142" s="585" t="s">
        <v>384</v>
      </c>
      <c r="G142" s="584" t="s">
        <v>398</v>
      </c>
      <c r="H142" s="587"/>
      <c r="I142" s="584"/>
      <c r="J142" s="584"/>
      <c r="K142" s="584"/>
      <c r="L142" s="586"/>
      <c r="M142" s="586"/>
      <c r="N142" s="584"/>
      <c r="O142" s="634" t="s">
        <v>2321</v>
      </c>
      <c r="P142" s="763"/>
      <c r="Q142" s="763"/>
      <c r="R142" s="584"/>
      <c r="S142" s="588" t="s">
        <v>2321</v>
      </c>
      <c r="T142" s="1024" t="s">
        <v>1456</v>
      </c>
      <c r="V142" s="328"/>
      <c r="W142" s="318"/>
      <c r="X142" s="387" t="s">
        <v>2321</v>
      </c>
      <c r="Y142" s="318"/>
      <c r="Z142" s="387" t="s">
        <v>2321</v>
      </c>
      <c r="AB142" s="348"/>
      <c r="AC142" s="384"/>
    </row>
    <row r="143" spans="1:29">
      <c r="A143" s="584"/>
      <c r="B143" s="585"/>
      <c r="C143" s="584"/>
      <c r="D143" s="584"/>
      <c r="E143" s="585"/>
      <c r="F143" s="585" t="s">
        <v>384</v>
      </c>
      <c r="G143" s="584" t="s">
        <v>399</v>
      </c>
      <c r="H143" s="587"/>
      <c r="I143" s="584"/>
      <c r="J143" s="584"/>
      <c r="K143" s="584"/>
      <c r="L143" s="584"/>
      <c r="M143" s="584"/>
      <c r="N143" s="584"/>
      <c r="O143" s="634" t="s">
        <v>2321</v>
      </c>
      <c r="P143" s="763"/>
      <c r="Q143" s="763"/>
      <c r="R143" s="584"/>
      <c r="S143" s="588" t="s">
        <v>2321</v>
      </c>
      <c r="T143" s="1025"/>
      <c r="V143" s="328"/>
      <c r="W143" s="318"/>
      <c r="X143" s="387" t="s">
        <v>2321</v>
      </c>
      <c r="Y143" s="318"/>
      <c r="Z143" s="387" t="s">
        <v>2321</v>
      </c>
      <c r="AB143" s="348"/>
      <c r="AC143" s="384"/>
    </row>
    <row r="144" spans="1:29">
      <c r="A144" s="584"/>
      <c r="B144" s="585"/>
      <c r="C144" s="584"/>
      <c r="D144" s="584"/>
      <c r="E144" s="585"/>
      <c r="F144" s="585" t="s">
        <v>384</v>
      </c>
      <c r="G144" s="584" t="s">
        <v>400</v>
      </c>
      <c r="H144" s="587"/>
      <c r="I144" s="584"/>
      <c r="J144" s="584"/>
      <c r="K144" s="584"/>
      <c r="L144" s="584"/>
      <c r="M144" s="584"/>
      <c r="N144" s="584"/>
      <c r="O144" s="634" t="s">
        <v>2321</v>
      </c>
      <c r="P144" s="763"/>
      <c r="Q144" s="763"/>
      <c r="R144" s="584"/>
      <c r="S144" s="588" t="s">
        <v>2321</v>
      </c>
      <c r="T144" s="1025"/>
      <c r="V144" s="328"/>
      <c r="W144" s="318"/>
      <c r="X144" s="387" t="s">
        <v>2321</v>
      </c>
      <c r="Y144" s="318"/>
      <c r="Z144" s="387" t="s">
        <v>2321</v>
      </c>
      <c r="AB144" s="348"/>
      <c r="AC144" s="384"/>
    </row>
    <row r="145" spans="1:29">
      <c r="A145" s="584"/>
      <c r="B145" s="585"/>
      <c r="C145" s="584"/>
      <c r="D145" s="584"/>
      <c r="E145" s="585"/>
      <c r="F145" s="585" t="s">
        <v>384</v>
      </c>
      <c r="G145" s="584" t="s">
        <v>401</v>
      </c>
      <c r="H145" s="587"/>
      <c r="I145" s="584"/>
      <c r="J145" s="584"/>
      <c r="K145" s="584"/>
      <c r="L145" s="586"/>
      <c r="M145" s="586"/>
      <c r="N145" s="584"/>
      <c r="O145" s="634" t="s">
        <v>2321</v>
      </c>
      <c r="P145" s="763"/>
      <c r="Q145" s="763"/>
      <c r="R145" s="584"/>
      <c r="S145" s="588" t="s">
        <v>2321</v>
      </c>
      <c r="T145" s="1026"/>
      <c r="V145" s="328"/>
      <c r="W145" s="318"/>
      <c r="X145" s="387" t="s">
        <v>2321</v>
      </c>
      <c r="Y145" s="318"/>
      <c r="Z145" s="387" t="s">
        <v>2321</v>
      </c>
      <c r="AB145" s="348"/>
      <c r="AC145" s="384"/>
    </row>
    <row r="146" spans="1:29" ht="20.399999999999999">
      <c r="A146" s="318"/>
      <c r="B146" s="319"/>
      <c r="C146" s="318"/>
      <c r="D146" s="318"/>
      <c r="E146" s="319"/>
      <c r="F146" s="336" t="s">
        <v>604</v>
      </c>
      <c r="G146" s="318" t="s">
        <v>1552</v>
      </c>
      <c r="H146" s="328">
        <v>4.72</v>
      </c>
      <c r="I146" s="318">
        <v>1</v>
      </c>
      <c r="J146" s="318">
        <f t="shared" si="44"/>
        <v>1</v>
      </c>
      <c r="K146" s="328">
        <f t="shared" ref="K146:K155" si="54">H146*J146</f>
        <v>4.72</v>
      </c>
      <c r="L146" s="318">
        <v>2035</v>
      </c>
      <c r="M146" s="318">
        <v>188</v>
      </c>
      <c r="N146" s="318">
        <v>1</v>
      </c>
      <c r="O146" s="621">
        <f t="shared" ref="O146:O155" si="55">H146*N146</f>
        <v>4.72</v>
      </c>
      <c r="P146" s="755">
        <v>1</v>
      </c>
      <c r="Q146" s="755">
        <f t="shared" ref="Q146:Q155" si="56">R146-P146</f>
        <v>0</v>
      </c>
      <c r="R146" s="341">
        <v>1</v>
      </c>
      <c r="S146" s="318">
        <f t="shared" ref="S146" si="57">H146*R146</f>
        <v>4.72</v>
      </c>
      <c r="T146" s="319" t="s">
        <v>3424</v>
      </c>
      <c r="V146" s="328">
        <v>4.49</v>
      </c>
      <c r="W146" s="320"/>
      <c r="X146" s="328">
        <f t="shared" ref="X146:X155" si="58">V146*W146</f>
        <v>0</v>
      </c>
      <c r="Y146" s="320"/>
      <c r="Z146" s="328">
        <f t="shared" ref="Z146:Z155" si="59">V146*Y146</f>
        <v>0</v>
      </c>
      <c r="AB146" s="458">
        <f t="shared" ref="AB146:AB155" si="60">X146-O146</f>
        <v>-4.72</v>
      </c>
      <c r="AC146" s="348">
        <f t="shared" ref="AC146:AC155" si="61">Z146-S146</f>
        <v>-4.72</v>
      </c>
    </row>
    <row r="147" spans="1:29">
      <c r="A147" s="318"/>
      <c r="B147" s="319"/>
      <c r="C147" s="318"/>
      <c r="D147" s="318"/>
      <c r="E147" s="319"/>
      <c r="F147" s="319"/>
      <c r="G147" s="318" t="s">
        <v>1553</v>
      </c>
      <c r="H147" s="328">
        <v>4.49</v>
      </c>
      <c r="I147" s="318">
        <v>1</v>
      </c>
      <c r="J147" s="318">
        <f t="shared" si="44"/>
        <v>1</v>
      </c>
      <c r="K147" s="328">
        <f t="shared" si="54"/>
        <v>4.49</v>
      </c>
      <c r="L147" s="318"/>
      <c r="M147" s="318"/>
      <c r="N147" s="318">
        <v>1</v>
      </c>
      <c r="O147" s="621">
        <f t="shared" si="55"/>
        <v>4.49</v>
      </c>
      <c r="P147" s="755">
        <v>1</v>
      </c>
      <c r="Q147" s="755">
        <f t="shared" si="56"/>
        <v>0</v>
      </c>
      <c r="R147" s="341">
        <v>1</v>
      </c>
      <c r="S147" s="318">
        <f t="shared" ref="S147:S155" si="62">H147*R147</f>
        <v>4.49</v>
      </c>
      <c r="T147" s="319"/>
      <c r="V147" s="328">
        <v>4.49</v>
      </c>
      <c r="W147" s="320">
        <v>1</v>
      </c>
      <c r="X147" s="328">
        <f t="shared" si="58"/>
        <v>4.49</v>
      </c>
      <c r="Y147" s="464">
        <v>1</v>
      </c>
      <c r="Z147" s="328">
        <f t="shared" si="59"/>
        <v>4.49</v>
      </c>
      <c r="AB147" s="458">
        <f t="shared" si="60"/>
        <v>0</v>
      </c>
      <c r="AC147" s="348">
        <f t="shared" si="61"/>
        <v>0</v>
      </c>
    </row>
    <row r="148" spans="1:29">
      <c r="A148" s="318"/>
      <c r="B148" s="319"/>
      <c r="C148" s="318"/>
      <c r="D148" s="318"/>
      <c r="E148" s="319"/>
      <c r="F148" s="319"/>
      <c r="G148" s="318" t="s">
        <v>1554</v>
      </c>
      <c r="H148" s="328">
        <v>4.49</v>
      </c>
      <c r="I148" s="318">
        <v>1</v>
      </c>
      <c r="J148" s="318">
        <f t="shared" si="44"/>
        <v>1</v>
      </c>
      <c r="K148" s="328">
        <f t="shared" si="54"/>
        <v>4.49</v>
      </c>
      <c r="L148" s="318"/>
      <c r="M148" s="318"/>
      <c r="N148" s="318">
        <v>1</v>
      </c>
      <c r="O148" s="621">
        <f t="shared" si="55"/>
        <v>4.49</v>
      </c>
      <c r="P148" s="755">
        <v>1</v>
      </c>
      <c r="Q148" s="755">
        <f t="shared" si="56"/>
        <v>0</v>
      </c>
      <c r="R148" s="341">
        <v>1</v>
      </c>
      <c r="S148" s="318">
        <f t="shared" si="62"/>
        <v>4.49</v>
      </c>
      <c r="T148" s="319"/>
      <c r="V148" s="328">
        <v>4.49</v>
      </c>
      <c r="W148" s="320">
        <v>1</v>
      </c>
      <c r="X148" s="328">
        <f t="shared" si="58"/>
        <v>4.49</v>
      </c>
      <c r="Y148" s="464">
        <v>1</v>
      </c>
      <c r="Z148" s="328">
        <f t="shared" si="59"/>
        <v>4.49</v>
      </c>
      <c r="AB148" s="458">
        <f t="shared" si="60"/>
        <v>0</v>
      </c>
      <c r="AC148" s="348">
        <f t="shared" si="61"/>
        <v>0</v>
      </c>
    </row>
    <row r="149" spans="1:29">
      <c r="A149" s="318"/>
      <c r="B149" s="319"/>
      <c r="C149" s="318"/>
      <c r="D149" s="318"/>
      <c r="E149" s="319"/>
      <c r="F149" s="319"/>
      <c r="G149" s="318" t="s">
        <v>1555</v>
      </c>
      <c r="H149" s="328">
        <v>4.49</v>
      </c>
      <c r="I149" s="318">
        <v>1</v>
      </c>
      <c r="J149" s="318">
        <f t="shared" si="44"/>
        <v>1</v>
      </c>
      <c r="K149" s="328">
        <f t="shared" si="54"/>
        <v>4.49</v>
      </c>
      <c r="L149" s="318"/>
      <c r="M149" s="318"/>
      <c r="N149" s="318">
        <v>1</v>
      </c>
      <c r="O149" s="621">
        <f t="shared" si="55"/>
        <v>4.49</v>
      </c>
      <c r="P149" s="755">
        <v>1</v>
      </c>
      <c r="Q149" s="755">
        <f t="shared" si="56"/>
        <v>0</v>
      </c>
      <c r="R149" s="341">
        <v>1</v>
      </c>
      <c r="S149" s="318">
        <f t="shared" si="62"/>
        <v>4.49</v>
      </c>
      <c r="T149" s="319"/>
      <c r="V149" s="328">
        <v>4.1550000000000002</v>
      </c>
      <c r="W149" s="320">
        <v>1</v>
      </c>
      <c r="X149" s="328">
        <f t="shared" si="58"/>
        <v>4.1550000000000002</v>
      </c>
      <c r="Y149" s="464">
        <v>1</v>
      </c>
      <c r="Z149" s="328">
        <f t="shared" si="59"/>
        <v>4.1550000000000002</v>
      </c>
      <c r="AB149" s="458">
        <f t="shared" si="60"/>
        <v>-0.33499999999999996</v>
      </c>
      <c r="AC149" s="348">
        <f t="shared" si="61"/>
        <v>-0.33499999999999996</v>
      </c>
    </row>
    <row r="150" spans="1:29">
      <c r="A150" s="318"/>
      <c r="B150" s="319"/>
      <c r="C150" s="318"/>
      <c r="D150" s="318"/>
      <c r="E150" s="319"/>
      <c r="F150" s="336" t="s">
        <v>696</v>
      </c>
      <c r="G150" s="318" t="s">
        <v>1556</v>
      </c>
      <c r="H150" s="328">
        <v>5.01</v>
      </c>
      <c r="I150" s="318">
        <v>1</v>
      </c>
      <c r="J150" s="318">
        <f t="shared" si="44"/>
        <v>1</v>
      </c>
      <c r="K150" s="328">
        <f t="shared" si="54"/>
        <v>5.01</v>
      </c>
      <c r="L150" s="318"/>
      <c r="M150" s="318"/>
      <c r="N150" s="318">
        <v>1</v>
      </c>
      <c r="O150" s="621">
        <f t="shared" si="55"/>
        <v>5.01</v>
      </c>
      <c r="P150" s="755">
        <v>1</v>
      </c>
      <c r="Q150" s="755">
        <f t="shared" si="56"/>
        <v>0</v>
      </c>
      <c r="R150" s="341">
        <v>1</v>
      </c>
      <c r="S150" s="318">
        <f t="shared" si="62"/>
        <v>5.01</v>
      </c>
      <c r="T150" s="319"/>
      <c r="V150" s="328">
        <f>2.135-0.6+3.495</f>
        <v>5.0299999999999994</v>
      </c>
      <c r="W150" s="320">
        <v>1</v>
      </c>
      <c r="X150" s="328">
        <f t="shared" si="58"/>
        <v>5.0299999999999994</v>
      </c>
      <c r="Y150" s="464">
        <v>1</v>
      </c>
      <c r="Z150" s="328">
        <f t="shared" si="59"/>
        <v>5.0299999999999994</v>
      </c>
      <c r="AB150" s="458">
        <f t="shared" si="60"/>
        <v>1.9999999999999574E-2</v>
      </c>
      <c r="AC150" s="348">
        <f t="shared" si="61"/>
        <v>1.9999999999999574E-2</v>
      </c>
    </row>
    <row r="151" spans="1:29">
      <c r="A151" s="318"/>
      <c r="B151" s="319"/>
      <c r="C151" s="318"/>
      <c r="D151" s="318"/>
      <c r="E151" s="319"/>
      <c r="F151" s="319"/>
      <c r="G151" s="318" t="s">
        <v>1557</v>
      </c>
      <c r="H151" s="328">
        <v>4.49</v>
      </c>
      <c r="I151" s="318">
        <v>1</v>
      </c>
      <c r="J151" s="318">
        <f t="shared" si="44"/>
        <v>1</v>
      </c>
      <c r="K151" s="328">
        <f t="shared" si="54"/>
        <v>4.49</v>
      </c>
      <c r="L151" s="318">
        <v>1199</v>
      </c>
      <c r="M151" s="318" t="s">
        <v>198</v>
      </c>
      <c r="N151" s="318">
        <v>1</v>
      </c>
      <c r="O151" s="621">
        <f t="shared" si="55"/>
        <v>4.49</v>
      </c>
      <c r="P151" s="755">
        <v>1</v>
      </c>
      <c r="Q151" s="755">
        <f t="shared" si="56"/>
        <v>0</v>
      </c>
      <c r="R151" s="341">
        <v>1</v>
      </c>
      <c r="S151" s="318">
        <f t="shared" si="62"/>
        <v>4.49</v>
      </c>
      <c r="T151" s="319"/>
      <c r="V151" s="328">
        <v>4.49</v>
      </c>
      <c r="W151" s="320">
        <v>1</v>
      </c>
      <c r="X151" s="328">
        <f t="shared" si="58"/>
        <v>4.49</v>
      </c>
      <c r="Y151" s="464">
        <v>1</v>
      </c>
      <c r="Z151" s="328">
        <f t="shared" si="59"/>
        <v>4.49</v>
      </c>
      <c r="AB151" s="458">
        <f t="shared" si="60"/>
        <v>0</v>
      </c>
      <c r="AC151" s="348">
        <f t="shared" si="61"/>
        <v>0</v>
      </c>
    </row>
    <row r="152" spans="1:29">
      <c r="A152" s="318"/>
      <c r="B152" s="319"/>
      <c r="C152" s="318"/>
      <c r="D152" s="318"/>
      <c r="E152" s="319"/>
      <c r="F152" s="319"/>
      <c r="G152" s="318" t="s">
        <v>1558</v>
      </c>
      <c r="H152" s="328">
        <v>4.49</v>
      </c>
      <c r="I152" s="318">
        <v>1</v>
      </c>
      <c r="J152" s="318">
        <f t="shared" si="44"/>
        <v>1</v>
      </c>
      <c r="K152" s="328">
        <f t="shared" si="54"/>
        <v>4.49</v>
      </c>
      <c r="L152" s="318">
        <v>1199</v>
      </c>
      <c r="M152" s="318" t="s">
        <v>198</v>
      </c>
      <c r="N152" s="318">
        <v>1</v>
      </c>
      <c r="O152" s="621">
        <f t="shared" si="55"/>
        <v>4.49</v>
      </c>
      <c r="P152" s="755">
        <v>1</v>
      </c>
      <c r="Q152" s="755">
        <f t="shared" si="56"/>
        <v>0</v>
      </c>
      <c r="R152" s="341">
        <v>1</v>
      </c>
      <c r="S152" s="318">
        <f t="shared" si="62"/>
        <v>4.49</v>
      </c>
      <c r="T152" s="319"/>
      <c r="V152" s="328">
        <v>4.49</v>
      </c>
      <c r="W152" s="320">
        <v>1</v>
      </c>
      <c r="X152" s="328">
        <f t="shared" si="58"/>
        <v>4.49</v>
      </c>
      <c r="Y152" s="464">
        <v>1</v>
      </c>
      <c r="Z152" s="328">
        <f t="shared" si="59"/>
        <v>4.49</v>
      </c>
      <c r="AB152" s="458">
        <f t="shared" si="60"/>
        <v>0</v>
      </c>
      <c r="AC152" s="348">
        <f t="shared" si="61"/>
        <v>0</v>
      </c>
    </row>
    <row r="153" spans="1:29">
      <c r="A153" s="318"/>
      <c r="B153" s="319"/>
      <c r="C153" s="318"/>
      <c r="D153" s="318"/>
      <c r="E153" s="319"/>
      <c r="F153" s="319"/>
      <c r="G153" s="318" t="s">
        <v>1559</v>
      </c>
      <c r="H153" s="328">
        <v>4.49</v>
      </c>
      <c r="I153" s="318">
        <v>1</v>
      </c>
      <c r="J153" s="318">
        <f t="shared" si="44"/>
        <v>1</v>
      </c>
      <c r="K153" s="328">
        <f t="shared" si="54"/>
        <v>4.49</v>
      </c>
      <c r="L153" s="318">
        <v>1199</v>
      </c>
      <c r="M153" s="318" t="s">
        <v>198</v>
      </c>
      <c r="N153" s="318">
        <v>1</v>
      </c>
      <c r="O153" s="621">
        <f t="shared" si="55"/>
        <v>4.49</v>
      </c>
      <c r="P153" s="755">
        <v>1</v>
      </c>
      <c r="Q153" s="755">
        <f t="shared" si="56"/>
        <v>0</v>
      </c>
      <c r="R153" s="341">
        <v>1</v>
      </c>
      <c r="S153" s="318">
        <f t="shared" si="62"/>
        <v>4.49</v>
      </c>
      <c r="T153" s="319"/>
      <c r="V153" s="328">
        <v>4.49</v>
      </c>
      <c r="W153" s="320">
        <v>1</v>
      </c>
      <c r="X153" s="328">
        <f t="shared" si="58"/>
        <v>4.49</v>
      </c>
      <c r="Y153" s="464">
        <v>1</v>
      </c>
      <c r="Z153" s="328">
        <f t="shared" si="59"/>
        <v>4.49</v>
      </c>
      <c r="AB153" s="458">
        <f t="shared" si="60"/>
        <v>0</v>
      </c>
      <c r="AC153" s="348">
        <f t="shared" si="61"/>
        <v>0</v>
      </c>
    </row>
    <row r="154" spans="1:29">
      <c r="A154" s="318"/>
      <c r="B154" s="319"/>
      <c r="C154" s="318"/>
      <c r="D154" s="318"/>
      <c r="E154" s="319"/>
      <c r="F154" s="319"/>
      <c r="G154" s="318" t="s">
        <v>1560</v>
      </c>
      <c r="H154" s="328">
        <v>4.49</v>
      </c>
      <c r="I154" s="318">
        <v>1</v>
      </c>
      <c r="J154" s="318">
        <f t="shared" si="44"/>
        <v>1</v>
      </c>
      <c r="K154" s="328">
        <f t="shared" si="54"/>
        <v>4.49</v>
      </c>
      <c r="L154" s="318">
        <v>1199</v>
      </c>
      <c r="M154" s="318" t="s">
        <v>198</v>
      </c>
      <c r="N154" s="318">
        <v>1</v>
      </c>
      <c r="O154" s="621">
        <f t="shared" si="55"/>
        <v>4.49</v>
      </c>
      <c r="P154" s="755">
        <v>1</v>
      </c>
      <c r="Q154" s="755">
        <f t="shared" si="56"/>
        <v>0</v>
      </c>
      <c r="R154" s="341">
        <v>1</v>
      </c>
      <c r="S154" s="318">
        <f t="shared" si="62"/>
        <v>4.49</v>
      </c>
      <c r="T154" s="319"/>
      <c r="V154" s="328">
        <v>4.49</v>
      </c>
      <c r="W154" s="320">
        <v>1</v>
      </c>
      <c r="X154" s="328">
        <f t="shared" si="58"/>
        <v>4.49</v>
      </c>
      <c r="Y154" s="464">
        <v>1</v>
      </c>
      <c r="Z154" s="328">
        <f t="shared" si="59"/>
        <v>4.49</v>
      </c>
      <c r="AB154" s="458">
        <f t="shared" si="60"/>
        <v>0</v>
      </c>
      <c r="AC154" s="348">
        <f t="shared" si="61"/>
        <v>0</v>
      </c>
    </row>
    <row r="155" spans="1:29">
      <c r="A155" s="318"/>
      <c r="B155" s="319"/>
      <c r="C155" s="318"/>
      <c r="D155" s="318"/>
      <c r="E155" s="319"/>
      <c r="F155" s="336" t="s">
        <v>696</v>
      </c>
      <c r="G155" s="318" t="s">
        <v>1561</v>
      </c>
      <c r="H155" s="328">
        <v>5.01</v>
      </c>
      <c r="I155" s="318">
        <v>1</v>
      </c>
      <c r="J155" s="318">
        <f t="shared" si="44"/>
        <v>1</v>
      </c>
      <c r="K155" s="328">
        <f t="shared" si="54"/>
        <v>5.01</v>
      </c>
      <c r="L155" s="318"/>
      <c r="M155" s="318"/>
      <c r="N155" s="318">
        <v>1</v>
      </c>
      <c r="O155" s="621">
        <f t="shared" si="55"/>
        <v>5.01</v>
      </c>
      <c r="P155" s="755">
        <v>1</v>
      </c>
      <c r="Q155" s="755">
        <f t="shared" si="56"/>
        <v>0</v>
      </c>
      <c r="R155" s="341">
        <v>1</v>
      </c>
      <c r="S155" s="318">
        <f t="shared" si="62"/>
        <v>5.01</v>
      </c>
      <c r="T155" s="319"/>
      <c r="V155" s="328">
        <f>3.5+2.135-0.6</f>
        <v>5.0350000000000001</v>
      </c>
      <c r="W155" s="320">
        <v>1</v>
      </c>
      <c r="X155" s="328">
        <f t="shared" si="58"/>
        <v>5.0350000000000001</v>
      </c>
      <c r="Y155" s="464">
        <v>1</v>
      </c>
      <c r="Z155" s="328">
        <f t="shared" si="59"/>
        <v>5.0350000000000001</v>
      </c>
      <c r="AB155" s="458">
        <f t="shared" si="60"/>
        <v>2.5000000000000355E-2</v>
      </c>
      <c r="AC155" s="348">
        <f t="shared" si="61"/>
        <v>2.5000000000000355E-2</v>
      </c>
    </row>
    <row r="156" spans="1:29">
      <c r="A156" s="318"/>
      <c r="B156" s="319"/>
      <c r="C156" s="318"/>
      <c r="D156" s="318"/>
      <c r="E156" s="319"/>
      <c r="F156" s="319"/>
      <c r="G156" s="318"/>
      <c r="H156" s="328"/>
      <c r="I156" s="318"/>
      <c r="J156" s="382" t="s">
        <v>389</v>
      </c>
      <c r="K156" s="338">
        <f>SUM(K118:K155)</f>
        <v>143.5</v>
      </c>
      <c r="L156" s="318"/>
      <c r="M156" s="318"/>
      <c r="N156" s="382" t="s">
        <v>389</v>
      </c>
      <c r="O156" s="759">
        <f>SUM(O118:O155)</f>
        <v>143.5</v>
      </c>
      <c r="P156" s="751" t="s">
        <v>389</v>
      </c>
      <c r="Q156" s="751"/>
      <c r="R156" s="382"/>
      <c r="S156" s="338">
        <f>SUM(S118:S155)</f>
        <v>143.5</v>
      </c>
      <c r="T156" s="319"/>
      <c r="V156" s="328"/>
      <c r="W156" s="321" t="s">
        <v>389</v>
      </c>
      <c r="X156" s="338">
        <f>SUM(X118:X155)</f>
        <v>133.63899999999998</v>
      </c>
      <c r="Y156" s="321" t="s">
        <v>389</v>
      </c>
      <c r="Z156" s="338">
        <f>SUM(Z118:Z155)</f>
        <v>129.14899999999997</v>
      </c>
      <c r="AB156" s="338"/>
      <c r="AC156" s="338"/>
    </row>
    <row r="157" spans="1:29" ht="6.75" customHeight="1">
      <c r="A157" s="316"/>
      <c r="B157" s="317"/>
      <c r="C157" s="316"/>
      <c r="D157" s="316"/>
      <c r="E157" s="317"/>
      <c r="F157" s="317"/>
      <c r="G157" s="316"/>
      <c r="H157" s="332"/>
      <c r="I157" s="316"/>
      <c r="J157" s="316"/>
      <c r="K157" s="316"/>
      <c r="L157" s="316"/>
      <c r="M157" s="316"/>
      <c r="N157" s="316"/>
      <c r="O157" s="760"/>
      <c r="P157" s="752"/>
      <c r="Q157" s="752"/>
      <c r="R157" s="316"/>
      <c r="S157" s="332"/>
      <c r="T157" s="317"/>
      <c r="V157" s="332"/>
      <c r="W157" s="316"/>
      <c r="X157" s="332"/>
      <c r="Y157" s="316"/>
      <c r="Z157" s="332"/>
      <c r="AB157" s="339"/>
      <c r="AC157" s="339"/>
    </row>
    <row r="158" spans="1:29">
      <c r="A158" s="318">
        <v>5</v>
      </c>
      <c r="B158" s="319" t="s">
        <v>383</v>
      </c>
      <c r="C158" s="318">
        <v>600</v>
      </c>
      <c r="D158" s="318">
        <v>11</v>
      </c>
      <c r="E158" s="319">
        <v>1</v>
      </c>
      <c r="F158" s="336" t="s">
        <v>696</v>
      </c>
      <c r="G158" s="318" t="s">
        <v>1562</v>
      </c>
      <c r="H158" s="328">
        <v>2.64</v>
      </c>
      <c r="I158" s="318">
        <v>1</v>
      </c>
      <c r="J158" s="318">
        <f t="shared" ref="J158:J188" si="63">IF(N158&gt;0,1,0)</f>
        <v>1</v>
      </c>
      <c r="K158" s="328">
        <f t="shared" ref="K158:K188" si="64">H158*J158</f>
        <v>2.64</v>
      </c>
      <c r="L158" s="318" t="s">
        <v>278</v>
      </c>
      <c r="M158" s="318" t="s">
        <v>279</v>
      </c>
      <c r="N158" s="318">
        <v>1</v>
      </c>
      <c r="O158" s="621">
        <f t="shared" ref="O158:O181" si="65">H158*N158</f>
        <v>2.64</v>
      </c>
      <c r="P158" s="755">
        <v>1</v>
      </c>
      <c r="Q158" s="755">
        <f t="shared" ref="Q158:Q181" si="66">R158-P158</f>
        <v>0</v>
      </c>
      <c r="R158" s="341">
        <v>1</v>
      </c>
      <c r="S158" s="318">
        <f t="shared" ref="S158" si="67">H158*R158</f>
        <v>2.64</v>
      </c>
      <c r="T158" s="319"/>
      <c r="V158" s="328">
        <f>2.635</f>
        <v>2.6349999999999998</v>
      </c>
      <c r="W158" s="320">
        <v>1</v>
      </c>
      <c r="X158" s="328">
        <f t="shared" ref="X158:X181" si="68">V158*W158</f>
        <v>2.6349999999999998</v>
      </c>
      <c r="Y158" s="464">
        <v>1</v>
      </c>
      <c r="Z158" s="328">
        <f t="shared" ref="Z158:Z181" si="69">V158*Y158</f>
        <v>2.6349999999999998</v>
      </c>
      <c r="AB158" s="458">
        <f t="shared" ref="AB158:AB181" si="70">X158-O158</f>
        <v>-5.0000000000003375E-3</v>
      </c>
      <c r="AC158" s="348">
        <f t="shared" ref="AC158:AC181" si="71">Z158-S158</f>
        <v>-5.0000000000003375E-3</v>
      </c>
    </row>
    <row r="159" spans="1:29">
      <c r="A159" s="318"/>
      <c r="B159" s="319"/>
      <c r="C159" s="318"/>
      <c r="D159" s="318"/>
      <c r="E159" s="319"/>
      <c r="F159" s="319"/>
      <c r="G159" s="318" t="s">
        <v>1563</v>
      </c>
      <c r="H159" s="328">
        <v>2.58</v>
      </c>
      <c r="I159" s="318">
        <v>1</v>
      </c>
      <c r="J159" s="318">
        <f t="shared" si="63"/>
        <v>1</v>
      </c>
      <c r="K159" s="328">
        <f t="shared" si="64"/>
        <v>2.58</v>
      </c>
      <c r="L159" s="318">
        <v>1416</v>
      </c>
      <c r="M159" s="318">
        <v>104</v>
      </c>
      <c r="N159" s="318">
        <v>1</v>
      </c>
      <c r="O159" s="621">
        <f t="shared" si="65"/>
        <v>2.58</v>
      </c>
      <c r="P159" s="755">
        <v>1</v>
      </c>
      <c r="Q159" s="755">
        <f t="shared" si="66"/>
        <v>0</v>
      </c>
      <c r="R159" s="341">
        <v>1</v>
      </c>
      <c r="S159" s="318">
        <f t="shared" ref="S159:S181" si="72">H159*R159</f>
        <v>2.58</v>
      </c>
      <c r="T159" s="319"/>
      <c r="V159" s="328">
        <f>2.055+1.15-0.6</f>
        <v>2.605</v>
      </c>
      <c r="W159" s="320">
        <v>1</v>
      </c>
      <c r="X159" s="328">
        <f t="shared" si="68"/>
        <v>2.605</v>
      </c>
      <c r="Y159" s="464">
        <v>1</v>
      </c>
      <c r="Z159" s="328">
        <f t="shared" si="69"/>
        <v>2.605</v>
      </c>
      <c r="AB159" s="458">
        <f t="shared" si="70"/>
        <v>2.4999999999999911E-2</v>
      </c>
      <c r="AC159" s="348">
        <f t="shared" si="71"/>
        <v>2.4999999999999911E-2</v>
      </c>
    </row>
    <row r="160" spans="1:29">
      <c r="A160" s="318"/>
      <c r="B160" s="319"/>
      <c r="C160" s="318"/>
      <c r="D160" s="318"/>
      <c r="E160" s="319"/>
      <c r="F160" s="319"/>
      <c r="G160" s="318" t="s">
        <v>1564</v>
      </c>
      <c r="H160" s="328">
        <v>4.49</v>
      </c>
      <c r="I160" s="318">
        <v>1</v>
      </c>
      <c r="J160" s="318">
        <f t="shared" si="63"/>
        <v>1</v>
      </c>
      <c r="K160" s="328">
        <f t="shared" si="64"/>
        <v>4.49</v>
      </c>
      <c r="L160" s="318">
        <v>1180</v>
      </c>
      <c r="M160" s="318" t="s">
        <v>192</v>
      </c>
      <c r="N160" s="318">
        <v>1</v>
      </c>
      <c r="O160" s="621">
        <f t="shared" si="65"/>
        <v>4.49</v>
      </c>
      <c r="P160" s="755">
        <v>1</v>
      </c>
      <c r="Q160" s="755">
        <f t="shared" si="66"/>
        <v>0</v>
      </c>
      <c r="R160" s="341">
        <v>1</v>
      </c>
      <c r="S160" s="318">
        <f t="shared" si="72"/>
        <v>4.49</v>
      </c>
      <c r="T160" s="319"/>
      <c r="V160" s="328">
        <v>4.49</v>
      </c>
      <c r="W160" s="320">
        <v>1</v>
      </c>
      <c r="X160" s="328">
        <f t="shared" si="68"/>
        <v>4.49</v>
      </c>
      <c r="Y160" s="464">
        <v>1</v>
      </c>
      <c r="Z160" s="328">
        <f t="shared" si="69"/>
        <v>4.49</v>
      </c>
      <c r="AB160" s="458">
        <f t="shared" si="70"/>
        <v>0</v>
      </c>
      <c r="AC160" s="348">
        <f t="shared" si="71"/>
        <v>0</v>
      </c>
    </row>
    <row r="161" spans="1:29">
      <c r="A161" s="318"/>
      <c r="B161" s="319"/>
      <c r="C161" s="318"/>
      <c r="D161" s="318"/>
      <c r="E161" s="319"/>
      <c r="F161" s="319"/>
      <c r="G161" s="318" t="s">
        <v>1565</v>
      </c>
      <c r="H161" s="328">
        <v>4.49</v>
      </c>
      <c r="I161" s="318">
        <v>1</v>
      </c>
      <c r="J161" s="318">
        <f t="shared" si="63"/>
        <v>1</v>
      </c>
      <c r="K161" s="328">
        <f t="shared" si="64"/>
        <v>4.49</v>
      </c>
      <c r="L161" s="318">
        <v>1180</v>
      </c>
      <c r="M161" s="318" t="s">
        <v>192</v>
      </c>
      <c r="N161" s="318">
        <v>1</v>
      </c>
      <c r="O161" s="621">
        <f t="shared" si="65"/>
        <v>4.49</v>
      </c>
      <c r="P161" s="755">
        <v>1</v>
      </c>
      <c r="Q161" s="755">
        <f t="shared" si="66"/>
        <v>0</v>
      </c>
      <c r="R161" s="341">
        <v>1</v>
      </c>
      <c r="S161" s="318">
        <f t="shared" si="72"/>
        <v>4.49</v>
      </c>
      <c r="T161" s="319"/>
      <c r="V161" s="328">
        <v>4.49</v>
      </c>
      <c r="W161" s="320">
        <v>1</v>
      </c>
      <c r="X161" s="328">
        <f t="shared" si="68"/>
        <v>4.49</v>
      </c>
      <c r="Y161" s="464"/>
      <c r="Z161" s="328">
        <f t="shared" si="69"/>
        <v>0</v>
      </c>
      <c r="AB161" s="458">
        <f t="shared" si="70"/>
        <v>0</v>
      </c>
      <c r="AC161" s="348">
        <f t="shared" si="71"/>
        <v>-4.49</v>
      </c>
    </row>
    <row r="162" spans="1:29">
      <c r="A162" s="318"/>
      <c r="B162" s="319"/>
      <c r="C162" s="318"/>
      <c r="D162" s="318"/>
      <c r="E162" s="319"/>
      <c r="F162" s="319"/>
      <c r="G162" s="318" t="s">
        <v>1566</v>
      </c>
      <c r="H162" s="328">
        <v>4.49</v>
      </c>
      <c r="I162" s="318">
        <v>1</v>
      </c>
      <c r="J162" s="318">
        <f t="shared" si="63"/>
        <v>1</v>
      </c>
      <c r="K162" s="328">
        <f t="shared" si="64"/>
        <v>4.49</v>
      </c>
      <c r="L162" s="318">
        <v>1180</v>
      </c>
      <c r="M162" s="318" t="s">
        <v>192</v>
      </c>
      <c r="N162" s="318">
        <v>1</v>
      </c>
      <c r="O162" s="621">
        <f t="shared" si="65"/>
        <v>4.49</v>
      </c>
      <c r="P162" s="755">
        <v>1</v>
      </c>
      <c r="Q162" s="755">
        <f t="shared" si="66"/>
        <v>0</v>
      </c>
      <c r="R162" s="341">
        <v>1</v>
      </c>
      <c r="S162" s="318">
        <f t="shared" si="72"/>
        <v>4.49</v>
      </c>
      <c r="T162" s="319"/>
      <c r="V162" s="328">
        <v>4.49</v>
      </c>
      <c r="W162" s="320">
        <v>1</v>
      </c>
      <c r="X162" s="328">
        <f t="shared" si="68"/>
        <v>4.49</v>
      </c>
      <c r="Y162" s="464">
        <v>1</v>
      </c>
      <c r="Z162" s="328">
        <f t="shared" si="69"/>
        <v>4.49</v>
      </c>
      <c r="AB162" s="458">
        <f t="shared" si="70"/>
        <v>0</v>
      </c>
      <c r="AC162" s="348">
        <f t="shared" si="71"/>
        <v>0</v>
      </c>
    </row>
    <row r="163" spans="1:29">
      <c r="A163" s="318"/>
      <c r="B163" s="319"/>
      <c r="C163" s="318"/>
      <c r="D163" s="318"/>
      <c r="E163" s="319"/>
      <c r="F163" s="319"/>
      <c r="G163" s="318" t="s">
        <v>1567</v>
      </c>
      <c r="H163" s="328">
        <v>4.49</v>
      </c>
      <c r="I163" s="318">
        <v>1</v>
      </c>
      <c r="J163" s="318">
        <f t="shared" si="63"/>
        <v>1</v>
      </c>
      <c r="K163" s="328">
        <f t="shared" si="64"/>
        <v>4.49</v>
      </c>
      <c r="L163" s="318">
        <v>1180</v>
      </c>
      <c r="M163" s="318" t="s">
        <v>192</v>
      </c>
      <c r="N163" s="318">
        <v>1</v>
      </c>
      <c r="O163" s="621">
        <f t="shared" si="65"/>
        <v>4.49</v>
      </c>
      <c r="P163" s="755">
        <v>1</v>
      </c>
      <c r="Q163" s="755">
        <f t="shared" si="66"/>
        <v>0</v>
      </c>
      <c r="R163" s="341">
        <v>1</v>
      </c>
      <c r="S163" s="318">
        <f t="shared" si="72"/>
        <v>4.49</v>
      </c>
      <c r="T163" s="319"/>
      <c r="V163" s="328">
        <v>4.49</v>
      </c>
      <c r="W163" s="320">
        <v>1</v>
      </c>
      <c r="X163" s="328">
        <f t="shared" si="68"/>
        <v>4.49</v>
      </c>
      <c r="Y163" s="464">
        <v>1</v>
      </c>
      <c r="Z163" s="328">
        <f t="shared" si="69"/>
        <v>4.49</v>
      </c>
      <c r="AB163" s="458">
        <f t="shared" si="70"/>
        <v>0</v>
      </c>
      <c r="AC163" s="348">
        <f t="shared" si="71"/>
        <v>0</v>
      </c>
    </row>
    <row r="164" spans="1:29">
      <c r="A164" s="318"/>
      <c r="B164" s="319"/>
      <c r="C164" s="318"/>
      <c r="D164" s="318"/>
      <c r="E164" s="319"/>
      <c r="F164" s="319"/>
      <c r="G164" s="318" t="s">
        <v>1568</v>
      </c>
      <c r="H164" s="328">
        <v>4.49</v>
      </c>
      <c r="I164" s="318">
        <v>1</v>
      </c>
      <c r="J164" s="318">
        <f t="shared" si="63"/>
        <v>1</v>
      </c>
      <c r="K164" s="328">
        <f t="shared" si="64"/>
        <v>4.49</v>
      </c>
      <c r="L164" s="318">
        <v>1186</v>
      </c>
      <c r="M164" s="318" t="s">
        <v>194</v>
      </c>
      <c r="N164" s="318">
        <v>1</v>
      </c>
      <c r="O164" s="621">
        <f t="shared" si="65"/>
        <v>4.49</v>
      </c>
      <c r="P164" s="755">
        <v>1</v>
      </c>
      <c r="Q164" s="755">
        <f t="shared" si="66"/>
        <v>0</v>
      </c>
      <c r="R164" s="341">
        <v>1</v>
      </c>
      <c r="S164" s="318">
        <f t="shared" si="72"/>
        <v>4.49</v>
      </c>
      <c r="T164" s="319"/>
      <c r="V164" s="328">
        <v>4.49</v>
      </c>
      <c r="W164" s="320">
        <v>1</v>
      </c>
      <c r="X164" s="328">
        <f t="shared" si="68"/>
        <v>4.49</v>
      </c>
      <c r="Y164" s="464">
        <v>1</v>
      </c>
      <c r="Z164" s="328">
        <f t="shared" si="69"/>
        <v>4.49</v>
      </c>
      <c r="AB164" s="458">
        <f t="shared" si="70"/>
        <v>0</v>
      </c>
      <c r="AC164" s="348">
        <f t="shared" si="71"/>
        <v>0</v>
      </c>
    </row>
    <row r="165" spans="1:29">
      <c r="A165" s="318"/>
      <c r="B165" s="319"/>
      <c r="C165" s="318"/>
      <c r="D165" s="318"/>
      <c r="E165" s="319"/>
      <c r="F165" s="319"/>
      <c r="G165" s="318" t="s">
        <v>1569</v>
      </c>
      <c r="H165" s="328">
        <v>4.49</v>
      </c>
      <c r="I165" s="318">
        <v>1</v>
      </c>
      <c r="J165" s="318">
        <f t="shared" si="63"/>
        <v>1</v>
      </c>
      <c r="K165" s="328">
        <f t="shared" si="64"/>
        <v>4.49</v>
      </c>
      <c r="L165" s="318">
        <v>1186</v>
      </c>
      <c r="M165" s="318" t="s">
        <v>194</v>
      </c>
      <c r="N165" s="318">
        <v>1</v>
      </c>
      <c r="O165" s="621">
        <f t="shared" si="65"/>
        <v>4.49</v>
      </c>
      <c r="P165" s="755">
        <v>1</v>
      </c>
      <c r="Q165" s="755">
        <f t="shared" si="66"/>
        <v>0</v>
      </c>
      <c r="R165" s="341">
        <v>1</v>
      </c>
      <c r="S165" s="318">
        <f t="shared" si="72"/>
        <v>4.49</v>
      </c>
      <c r="T165" s="319"/>
      <c r="V165" s="328">
        <v>4.49</v>
      </c>
      <c r="W165" s="320">
        <v>1</v>
      </c>
      <c r="X165" s="328">
        <f t="shared" si="68"/>
        <v>4.49</v>
      </c>
      <c r="Y165" s="464">
        <v>1</v>
      </c>
      <c r="Z165" s="328">
        <f t="shared" si="69"/>
        <v>4.49</v>
      </c>
      <c r="AB165" s="458">
        <f t="shared" si="70"/>
        <v>0</v>
      </c>
      <c r="AC165" s="348">
        <f t="shared" si="71"/>
        <v>0</v>
      </c>
    </row>
    <row r="166" spans="1:29">
      <c r="A166" s="318"/>
      <c r="B166" s="319"/>
      <c r="C166" s="318"/>
      <c r="D166" s="318"/>
      <c r="E166" s="319"/>
      <c r="F166" s="319"/>
      <c r="G166" s="318" t="s">
        <v>1570</v>
      </c>
      <c r="H166" s="328">
        <v>4.49</v>
      </c>
      <c r="I166" s="318">
        <v>1</v>
      </c>
      <c r="J166" s="318">
        <f t="shared" si="63"/>
        <v>1</v>
      </c>
      <c r="K166" s="328">
        <f t="shared" si="64"/>
        <v>4.49</v>
      </c>
      <c r="L166" s="318">
        <v>1186</v>
      </c>
      <c r="M166" s="318" t="s">
        <v>194</v>
      </c>
      <c r="N166" s="318">
        <v>1</v>
      </c>
      <c r="O166" s="621">
        <f t="shared" si="65"/>
        <v>4.49</v>
      </c>
      <c r="P166" s="755">
        <v>1</v>
      </c>
      <c r="Q166" s="755">
        <f t="shared" si="66"/>
        <v>0</v>
      </c>
      <c r="R166" s="341">
        <v>1</v>
      </c>
      <c r="S166" s="318">
        <f t="shared" si="72"/>
        <v>4.49</v>
      </c>
      <c r="T166" s="319"/>
      <c r="V166" s="328">
        <v>4.49</v>
      </c>
      <c r="W166" s="320">
        <v>1</v>
      </c>
      <c r="X166" s="328">
        <f t="shared" si="68"/>
        <v>4.49</v>
      </c>
      <c r="Y166" s="464">
        <v>1</v>
      </c>
      <c r="Z166" s="328">
        <f t="shared" si="69"/>
        <v>4.49</v>
      </c>
      <c r="AB166" s="458">
        <f t="shared" si="70"/>
        <v>0</v>
      </c>
      <c r="AC166" s="348">
        <f t="shared" si="71"/>
        <v>0</v>
      </c>
    </row>
    <row r="167" spans="1:29">
      <c r="A167" s="318"/>
      <c r="B167" s="319"/>
      <c r="C167" s="318"/>
      <c r="D167" s="318"/>
      <c r="E167" s="319"/>
      <c r="F167" s="319"/>
      <c r="G167" s="318" t="s">
        <v>1571</v>
      </c>
      <c r="H167" s="328">
        <v>4.49</v>
      </c>
      <c r="I167" s="318">
        <v>1</v>
      </c>
      <c r="J167" s="318">
        <f t="shared" si="63"/>
        <v>1</v>
      </c>
      <c r="K167" s="328">
        <f t="shared" si="64"/>
        <v>4.49</v>
      </c>
      <c r="L167" s="318">
        <v>1186</v>
      </c>
      <c r="M167" s="318" t="s">
        <v>194</v>
      </c>
      <c r="N167" s="318">
        <v>1</v>
      </c>
      <c r="O167" s="621">
        <f t="shared" si="65"/>
        <v>4.49</v>
      </c>
      <c r="P167" s="755">
        <v>1</v>
      </c>
      <c r="Q167" s="755">
        <f t="shared" si="66"/>
        <v>0</v>
      </c>
      <c r="R167" s="341">
        <v>1</v>
      </c>
      <c r="S167" s="318">
        <f t="shared" si="72"/>
        <v>4.49</v>
      </c>
      <c r="T167" s="319"/>
      <c r="V167" s="328">
        <v>4.49</v>
      </c>
      <c r="W167" s="320">
        <v>1</v>
      </c>
      <c r="X167" s="328">
        <f t="shared" si="68"/>
        <v>4.49</v>
      </c>
      <c r="Y167" s="464">
        <v>1</v>
      </c>
      <c r="Z167" s="328">
        <f t="shared" si="69"/>
        <v>4.49</v>
      </c>
      <c r="AB167" s="458">
        <f t="shared" si="70"/>
        <v>0</v>
      </c>
      <c r="AC167" s="348">
        <f t="shared" si="71"/>
        <v>0</v>
      </c>
    </row>
    <row r="168" spans="1:29">
      <c r="A168" s="318"/>
      <c r="B168" s="319"/>
      <c r="C168" s="318"/>
      <c r="D168" s="318"/>
      <c r="E168" s="319"/>
      <c r="F168" s="319"/>
      <c r="G168" s="318" t="s">
        <v>1572</v>
      </c>
      <c r="H168" s="328">
        <v>4.49</v>
      </c>
      <c r="I168" s="318">
        <v>1</v>
      </c>
      <c r="J168" s="318">
        <f t="shared" si="63"/>
        <v>1</v>
      </c>
      <c r="K168" s="328">
        <f t="shared" si="64"/>
        <v>4.49</v>
      </c>
      <c r="L168" s="318">
        <v>1244</v>
      </c>
      <c r="M168" s="318" t="s">
        <v>212</v>
      </c>
      <c r="N168" s="318">
        <v>1</v>
      </c>
      <c r="O168" s="621">
        <f t="shared" si="65"/>
        <v>4.49</v>
      </c>
      <c r="P168" s="755">
        <v>1</v>
      </c>
      <c r="Q168" s="755">
        <f t="shared" si="66"/>
        <v>0</v>
      </c>
      <c r="R168" s="341">
        <v>1</v>
      </c>
      <c r="S168" s="318">
        <f t="shared" si="72"/>
        <v>4.49</v>
      </c>
      <c r="T168" s="319"/>
      <c r="V168" s="328">
        <v>4.49</v>
      </c>
      <c r="W168" s="320">
        <v>1</v>
      </c>
      <c r="X168" s="328">
        <f t="shared" si="68"/>
        <v>4.49</v>
      </c>
      <c r="Y168" s="464">
        <v>1</v>
      </c>
      <c r="Z168" s="328">
        <f t="shared" si="69"/>
        <v>4.49</v>
      </c>
      <c r="AB168" s="458">
        <f t="shared" si="70"/>
        <v>0</v>
      </c>
      <c r="AC168" s="348">
        <f t="shared" si="71"/>
        <v>0</v>
      </c>
    </row>
    <row r="169" spans="1:29">
      <c r="A169" s="318"/>
      <c r="B169" s="319"/>
      <c r="C169" s="318"/>
      <c r="D169" s="318"/>
      <c r="E169" s="319"/>
      <c r="F169" s="319"/>
      <c r="G169" s="318" t="s">
        <v>1573</v>
      </c>
      <c r="H169" s="328">
        <v>2.25</v>
      </c>
      <c r="I169" s="318">
        <v>1</v>
      </c>
      <c r="J169" s="318">
        <f t="shared" si="63"/>
        <v>1</v>
      </c>
      <c r="K169" s="328">
        <f t="shared" si="64"/>
        <v>2.25</v>
      </c>
      <c r="L169" s="318">
        <v>1244</v>
      </c>
      <c r="M169" s="318" t="s">
        <v>212</v>
      </c>
      <c r="N169" s="318">
        <v>1</v>
      </c>
      <c r="O169" s="621">
        <f t="shared" si="65"/>
        <v>2.25</v>
      </c>
      <c r="P169" s="755">
        <v>1</v>
      </c>
      <c r="Q169" s="755">
        <f t="shared" si="66"/>
        <v>0</v>
      </c>
      <c r="R169" s="341">
        <v>1</v>
      </c>
      <c r="S169" s="318">
        <f t="shared" si="72"/>
        <v>2.25</v>
      </c>
      <c r="T169" s="319"/>
      <c r="V169" s="328">
        <v>2.2400000000000002</v>
      </c>
      <c r="W169" s="320">
        <v>1</v>
      </c>
      <c r="X169" s="328">
        <f t="shared" si="68"/>
        <v>2.2400000000000002</v>
      </c>
      <c r="Y169" s="464">
        <v>1</v>
      </c>
      <c r="Z169" s="328">
        <f t="shared" si="69"/>
        <v>2.2400000000000002</v>
      </c>
      <c r="AB169" s="458">
        <f t="shared" si="70"/>
        <v>-9.9999999999997868E-3</v>
      </c>
      <c r="AC169" s="348">
        <f t="shared" si="71"/>
        <v>-9.9999999999997868E-3</v>
      </c>
    </row>
    <row r="170" spans="1:29">
      <c r="A170" s="318"/>
      <c r="B170" s="319"/>
      <c r="C170" s="318"/>
      <c r="D170" s="318"/>
      <c r="E170" s="319"/>
      <c r="F170" s="319" t="s">
        <v>1443</v>
      </c>
      <c r="G170" s="318" t="s">
        <v>1574</v>
      </c>
      <c r="H170" s="328">
        <v>3.41</v>
      </c>
      <c r="I170" s="318">
        <v>1</v>
      </c>
      <c r="J170" s="318">
        <f t="shared" si="63"/>
        <v>1</v>
      </c>
      <c r="K170" s="328">
        <f t="shared" si="64"/>
        <v>3.41</v>
      </c>
      <c r="L170" s="318">
        <v>1386</v>
      </c>
      <c r="M170" s="318" t="s">
        <v>246</v>
      </c>
      <c r="N170" s="318">
        <v>1</v>
      </c>
      <c r="O170" s="621">
        <f t="shared" si="65"/>
        <v>3.41</v>
      </c>
      <c r="P170" s="755">
        <v>1</v>
      </c>
      <c r="Q170" s="755">
        <f t="shared" si="66"/>
        <v>0</v>
      </c>
      <c r="R170" s="341">
        <v>1</v>
      </c>
      <c r="S170" s="318">
        <f t="shared" si="72"/>
        <v>3.41</v>
      </c>
      <c r="T170" s="319"/>
      <c r="V170" s="328">
        <f>3.255+0.145</f>
        <v>3.4</v>
      </c>
      <c r="W170" s="320">
        <v>1</v>
      </c>
      <c r="X170" s="328">
        <f t="shared" si="68"/>
        <v>3.4</v>
      </c>
      <c r="Y170" s="464">
        <v>1</v>
      </c>
      <c r="Z170" s="328">
        <f t="shared" si="69"/>
        <v>3.4</v>
      </c>
      <c r="AB170" s="458">
        <f t="shared" si="70"/>
        <v>-1.0000000000000231E-2</v>
      </c>
      <c r="AC170" s="348">
        <f t="shared" si="71"/>
        <v>-1.0000000000000231E-2</v>
      </c>
    </row>
    <row r="171" spans="1:29">
      <c r="A171" s="318"/>
      <c r="B171" s="319"/>
      <c r="C171" s="318"/>
      <c r="D171" s="318"/>
      <c r="E171" s="319"/>
      <c r="F171" s="319" t="s">
        <v>1443</v>
      </c>
      <c r="G171" s="318" t="s">
        <v>1575</v>
      </c>
      <c r="H171" s="328">
        <v>3.77</v>
      </c>
      <c r="I171" s="318">
        <v>1</v>
      </c>
      <c r="J171" s="318">
        <f t="shared" si="63"/>
        <v>1</v>
      </c>
      <c r="K171" s="328">
        <f t="shared" si="64"/>
        <v>3.77</v>
      </c>
      <c r="L171" s="318"/>
      <c r="M171" s="318"/>
      <c r="N171" s="318">
        <v>1</v>
      </c>
      <c r="O171" s="621">
        <f t="shared" si="65"/>
        <v>3.77</v>
      </c>
      <c r="P171" s="755">
        <v>1</v>
      </c>
      <c r="Q171" s="755">
        <f t="shared" si="66"/>
        <v>0</v>
      </c>
      <c r="R171" s="341">
        <v>1</v>
      </c>
      <c r="S171" s="318">
        <f t="shared" si="72"/>
        <v>3.77</v>
      </c>
      <c r="T171" s="319"/>
      <c r="V171" s="328">
        <f>3.255+0.507</f>
        <v>3.762</v>
      </c>
      <c r="W171" s="320">
        <v>1</v>
      </c>
      <c r="X171" s="328">
        <f t="shared" si="68"/>
        <v>3.762</v>
      </c>
      <c r="Y171" s="464">
        <v>1</v>
      </c>
      <c r="Z171" s="328">
        <f t="shared" si="69"/>
        <v>3.762</v>
      </c>
      <c r="AB171" s="458">
        <f t="shared" si="70"/>
        <v>-8.0000000000000071E-3</v>
      </c>
      <c r="AC171" s="348">
        <f t="shared" si="71"/>
        <v>-8.0000000000000071E-3</v>
      </c>
    </row>
    <row r="172" spans="1:29">
      <c r="A172" s="318"/>
      <c r="B172" s="319"/>
      <c r="C172" s="318"/>
      <c r="D172" s="318"/>
      <c r="E172" s="319"/>
      <c r="F172" s="319"/>
      <c r="G172" s="318" t="s">
        <v>1576</v>
      </c>
      <c r="H172" s="328">
        <v>3.92</v>
      </c>
      <c r="I172" s="318">
        <v>1</v>
      </c>
      <c r="J172" s="318">
        <f t="shared" si="63"/>
        <v>1</v>
      </c>
      <c r="K172" s="328">
        <f t="shared" si="64"/>
        <v>3.92</v>
      </c>
      <c r="L172" s="318">
        <v>1184</v>
      </c>
      <c r="M172" s="318" t="s">
        <v>193</v>
      </c>
      <c r="N172" s="318">
        <v>1</v>
      </c>
      <c r="O172" s="621">
        <f t="shared" si="65"/>
        <v>3.92</v>
      </c>
      <c r="P172" s="755">
        <v>1</v>
      </c>
      <c r="Q172" s="755">
        <f t="shared" si="66"/>
        <v>0</v>
      </c>
      <c r="R172" s="341">
        <v>1</v>
      </c>
      <c r="S172" s="318">
        <f t="shared" si="72"/>
        <v>3.92</v>
      </c>
      <c r="T172" s="319"/>
      <c r="V172" s="328">
        <v>3.91</v>
      </c>
      <c r="W172" s="320">
        <v>1</v>
      </c>
      <c r="X172" s="328">
        <f t="shared" si="68"/>
        <v>3.91</v>
      </c>
      <c r="Y172" s="464">
        <v>1</v>
      </c>
      <c r="Z172" s="328">
        <f t="shared" si="69"/>
        <v>3.91</v>
      </c>
      <c r="AB172" s="458">
        <f t="shared" si="70"/>
        <v>-9.9999999999997868E-3</v>
      </c>
      <c r="AC172" s="348">
        <f t="shared" si="71"/>
        <v>-9.9999999999997868E-3</v>
      </c>
    </row>
    <row r="173" spans="1:29">
      <c r="A173" s="318"/>
      <c r="B173" s="319"/>
      <c r="C173" s="318"/>
      <c r="D173" s="318"/>
      <c r="E173" s="319"/>
      <c r="F173" s="319"/>
      <c r="G173" s="318" t="s">
        <v>1577</v>
      </c>
      <c r="H173" s="328">
        <v>3.92</v>
      </c>
      <c r="I173" s="318">
        <v>1</v>
      </c>
      <c r="J173" s="318">
        <f t="shared" si="63"/>
        <v>1</v>
      </c>
      <c r="K173" s="328">
        <f t="shared" si="64"/>
        <v>3.92</v>
      </c>
      <c r="L173" s="318">
        <v>1184</v>
      </c>
      <c r="M173" s="318" t="s">
        <v>193</v>
      </c>
      <c r="N173" s="318">
        <v>1</v>
      </c>
      <c r="O173" s="621">
        <f t="shared" si="65"/>
        <v>3.92</v>
      </c>
      <c r="P173" s="755">
        <v>1</v>
      </c>
      <c r="Q173" s="755">
        <f t="shared" si="66"/>
        <v>0</v>
      </c>
      <c r="R173" s="341">
        <v>1</v>
      </c>
      <c r="S173" s="318">
        <f t="shared" si="72"/>
        <v>3.92</v>
      </c>
      <c r="T173" s="319"/>
      <c r="V173" s="328">
        <v>3.91</v>
      </c>
      <c r="W173" s="320">
        <v>1</v>
      </c>
      <c r="X173" s="328">
        <f t="shared" si="68"/>
        <v>3.91</v>
      </c>
      <c r="Y173" s="464">
        <v>1</v>
      </c>
      <c r="Z173" s="328">
        <f t="shared" si="69"/>
        <v>3.91</v>
      </c>
      <c r="AB173" s="458">
        <f t="shared" si="70"/>
        <v>-9.9999999999997868E-3</v>
      </c>
      <c r="AC173" s="348">
        <f t="shared" si="71"/>
        <v>-9.9999999999997868E-3</v>
      </c>
    </row>
    <row r="174" spans="1:29">
      <c r="A174" s="318"/>
      <c r="B174" s="319"/>
      <c r="C174" s="318"/>
      <c r="D174" s="318"/>
      <c r="E174" s="319"/>
      <c r="F174" s="319"/>
      <c r="G174" s="318" t="s">
        <v>1578</v>
      </c>
      <c r="H174" s="328">
        <v>3.92</v>
      </c>
      <c r="I174" s="318">
        <v>1</v>
      </c>
      <c r="J174" s="318">
        <f t="shared" si="63"/>
        <v>1</v>
      </c>
      <c r="K174" s="328">
        <f t="shared" si="64"/>
        <v>3.92</v>
      </c>
      <c r="L174" s="318">
        <v>1184</v>
      </c>
      <c r="M174" s="318" t="s">
        <v>193</v>
      </c>
      <c r="N174" s="318">
        <v>1</v>
      </c>
      <c r="O174" s="621">
        <f t="shared" si="65"/>
        <v>3.92</v>
      </c>
      <c r="P174" s="755">
        <v>1</v>
      </c>
      <c r="Q174" s="755">
        <f t="shared" si="66"/>
        <v>0</v>
      </c>
      <c r="R174" s="341">
        <v>1</v>
      </c>
      <c r="S174" s="318">
        <f t="shared" si="72"/>
        <v>3.92</v>
      </c>
      <c r="T174" s="319"/>
      <c r="V174" s="328">
        <v>3.91</v>
      </c>
      <c r="W174" s="320">
        <v>1</v>
      </c>
      <c r="X174" s="328">
        <f t="shared" si="68"/>
        <v>3.91</v>
      </c>
      <c r="Y174" s="464">
        <v>1</v>
      </c>
      <c r="Z174" s="328">
        <f t="shared" si="69"/>
        <v>3.91</v>
      </c>
      <c r="AB174" s="458">
        <f t="shared" si="70"/>
        <v>-9.9999999999997868E-3</v>
      </c>
      <c r="AC174" s="348">
        <f t="shared" si="71"/>
        <v>-9.9999999999997868E-3</v>
      </c>
    </row>
    <row r="175" spans="1:29">
      <c r="A175" s="318"/>
      <c r="B175" s="319"/>
      <c r="C175" s="318"/>
      <c r="D175" s="318"/>
      <c r="E175" s="319"/>
      <c r="F175" s="319"/>
      <c r="G175" s="318" t="s">
        <v>1579</v>
      </c>
      <c r="H175" s="328">
        <v>3.92</v>
      </c>
      <c r="I175" s="318">
        <v>1</v>
      </c>
      <c r="J175" s="318">
        <f t="shared" si="63"/>
        <v>1</v>
      </c>
      <c r="K175" s="328">
        <f t="shared" si="64"/>
        <v>3.92</v>
      </c>
      <c r="L175" s="318">
        <v>1184</v>
      </c>
      <c r="M175" s="318" t="s">
        <v>193</v>
      </c>
      <c r="N175" s="318">
        <v>1</v>
      </c>
      <c r="O175" s="621">
        <f t="shared" si="65"/>
        <v>3.92</v>
      </c>
      <c r="P175" s="755">
        <v>1</v>
      </c>
      <c r="Q175" s="755">
        <f t="shared" si="66"/>
        <v>0</v>
      </c>
      <c r="R175" s="341">
        <v>1</v>
      </c>
      <c r="S175" s="318">
        <f t="shared" si="72"/>
        <v>3.92</v>
      </c>
      <c r="T175" s="319"/>
      <c r="V175" s="328">
        <f>3.255+0.507</f>
        <v>3.762</v>
      </c>
      <c r="W175" s="320">
        <v>1</v>
      </c>
      <c r="X175" s="328">
        <f t="shared" si="68"/>
        <v>3.762</v>
      </c>
      <c r="Y175" s="464">
        <v>1</v>
      </c>
      <c r="Z175" s="328">
        <f t="shared" si="69"/>
        <v>3.762</v>
      </c>
      <c r="AB175" s="458">
        <f t="shared" si="70"/>
        <v>-0.15799999999999992</v>
      </c>
      <c r="AC175" s="348">
        <f t="shared" si="71"/>
        <v>-0.15799999999999992</v>
      </c>
    </row>
    <row r="176" spans="1:29">
      <c r="A176" s="318"/>
      <c r="B176" s="319"/>
      <c r="C176" s="318"/>
      <c r="D176" s="318"/>
      <c r="E176" s="319"/>
      <c r="F176" s="319" t="s">
        <v>1443</v>
      </c>
      <c r="G176" s="318" t="s">
        <v>1580</v>
      </c>
      <c r="H176" s="328">
        <v>3.77</v>
      </c>
      <c r="I176" s="318">
        <v>1</v>
      </c>
      <c r="J176" s="318">
        <f t="shared" si="63"/>
        <v>1</v>
      </c>
      <c r="K176" s="328">
        <f t="shared" si="64"/>
        <v>3.77</v>
      </c>
      <c r="L176" s="318"/>
      <c r="M176" s="318"/>
      <c r="N176" s="318">
        <v>1</v>
      </c>
      <c r="O176" s="621">
        <f t="shared" si="65"/>
        <v>3.77</v>
      </c>
      <c r="P176" s="755">
        <v>1</v>
      </c>
      <c r="Q176" s="755">
        <f t="shared" si="66"/>
        <v>0</v>
      </c>
      <c r="R176" s="341">
        <v>1</v>
      </c>
      <c r="S176" s="318">
        <f t="shared" si="72"/>
        <v>3.77</v>
      </c>
      <c r="T176" s="319"/>
      <c r="V176" s="328">
        <f>3.255+0.507</f>
        <v>3.762</v>
      </c>
      <c r="W176" s="320">
        <v>1</v>
      </c>
      <c r="X176" s="328">
        <f t="shared" si="68"/>
        <v>3.762</v>
      </c>
      <c r="Y176" s="464">
        <v>1</v>
      </c>
      <c r="Z176" s="328">
        <f t="shared" si="69"/>
        <v>3.762</v>
      </c>
      <c r="AB176" s="458">
        <f t="shared" si="70"/>
        <v>-8.0000000000000071E-3</v>
      </c>
      <c r="AC176" s="348">
        <f t="shared" si="71"/>
        <v>-8.0000000000000071E-3</v>
      </c>
    </row>
    <row r="177" spans="1:29">
      <c r="A177" s="318"/>
      <c r="B177" s="319"/>
      <c r="C177" s="318"/>
      <c r="D177" s="318"/>
      <c r="E177" s="319"/>
      <c r="F177" s="319" t="s">
        <v>1443</v>
      </c>
      <c r="G177" s="318" t="s">
        <v>1581</v>
      </c>
      <c r="H177" s="328">
        <v>3.41</v>
      </c>
      <c r="I177" s="318">
        <v>1</v>
      </c>
      <c r="J177" s="318">
        <f t="shared" si="63"/>
        <v>1</v>
      </c>
      <c r="K177" s="328">
        <f t="shared" si="64"/>
        <v>3.41</v>
      </c>
      <c r="L177" s="318"/>
      <c r="M177" s="318"/>
      <c r="N177" s="318">
        <v>1</v>
      </c>
      <c r="O177" s="621">
        <f t="shared" si="65"/>
        <v>3.41</v>
      </c>
      <c r="P177" s="755">
        <v>1</v>
      </c>
      <c r="Q177" s="755">
        <f t="shared" si="66"/>
        <v>0</v>
      </c>
      <c r="R177" s="341">
        <v>1</v>
      </c>
      <c r="S177" s="318">
        <f t="shared" si="72"/>
        <v>3.41</v>
      </c>
      <c r="T177" s="319"/>
      <c r="V177" s="328">
        <f>3.255+0.145</f>
        <v>3.4</v>
      </c>
      <c r="W177" s="320">
        <v>1</v>
      </c>
      <c r="X177" s="328">
        <f t="shared" si="68"/>
        <v>3.4</v>
      </c>
      <c r="Y177" s="464">
        <v>1</v>
      </c>
      <c r="Z177" s="328">
        <f t="shared" si="69"/>
        <v>3.4</v>
      </c>
      <c r="AB177" s="458">
        <f t="shared" si="70"/>
        <v>-1.0000000000000231E-2</v>
      </c>
      <c r="AC177" s="348">
        <f t="shared" si="71"/>
        <v>-1.0000000000000231E-2</v>
      </c>
    </row>
    <row r="178" spans="1:29">
      <c r="A178" s="318"/>
      <c r="B178" s="319"/>
      <c r="C178" s="318"/>
      <c r="D178" s="318"/>
      <c r="E178" s="319"/>
      <c r="F178" s="319"/>
      <c r="G178" s="318" t="s">
        <v>1582</v>
      </c>
      <c r="H178" s="328">
        <v>2.25</v>
      </c>
      <c r="I178" s="318">
        <v>1</v>
      </c>
      <c r="J178" s="318">
        <f t="shared" si="63"/>
        <v>1</v>
      </c>
      <c r="K178" s="328">
        <f t="shared" si="64"/>
        <v>2.25</v>
      </c>
      <c r="L178" s="318">
        <v>1311</v>
      </c>
      <c r="M178" s="318" t="s">
        <v>237</v>
      </c>
      <c r="N178" s="318">
        <v>1</v>
      </c>
      <c r="O178" s="621">
        <f t="shared" si="65"/>
        <v>2.25</v>
      </c>
      <c r="P178" s="755">
        <v>1</v>
      </c>
      <c r="Q178" s="755">
        <f t="shared" si="66"/>
        <v>0</v>
      </c>
      <c r="R178" s="341">
        <v>1</v>
      </c>
      <c r="S178" s="318">
        <f t="shared" si="72"/>
        <v>2.25</v>
      </c>
      <c r="T178" s="319"/>
      <c r="V178" s="328">
        <v>2.2400000000000002</v>
      </c>
      <c r="W178" s="320">
        <v>1</v>
      </c>
      <c r="X178" s="328">
        <f t="shared" si="68"/>
        <v>2.2400000000000002</v>
      </c>
      <c r="Y178" s="464">
        <v>1</v>
      </c>
      <c r="Z178" s="328">
        <f t="shared" si="69"/>
        <v>2.2400000000000002</v>
      </c>
      <c r="AB178" s="458">
        <f t="shared" si="70"/>
        <v>-9.9999999999997868E-3</v>
      </c>
      <c r="AC178" s="348">
        <f t="shared" si="71"/>
        <v>-9.9999999999997868E-3</v>
      </c>
    </row>
    <row r="179" spans="1:29">
      <c r="A179" s="318"/>
      <c r="B179" s="319"/>
      <c r="C179" s="318"/>
      <c r="D179" s="318"/>
      <c r="E179" s="319"/>
      <c r="F179" s="319"/>
      <c r="G179" s="318" t="s">
        <v>1583</v>
      </c>
      <c r="H179" s="328">
        <v>4.49</v>
      </c>
      <c r="I179" s="318">
        <v>1</v>
      </c>
      <c r="J179" s="318">
        <f t="shared" si="63"/>
        <v>1</v>
      </c>
      <c r="K179" s="328">
        <f t="shared" si="64"/>
        <v>4.49</v>
      </c>
      <c r="L179" s="318">
        <v>1311</v>
      </c>
      <c r="M179" s="318" t="s">
        <v>237</v>
      </c>
      <c r="N179" s="318">
        <v>1</v>
      </c>
      <c r="O179" s="621">
        <f t="shared" si="65"/>
        <v>4.49</v>
      </c>
      <c r="P179" s="755">
        <v>1</v>
      </c>
      <c r="Q179" s="755">
        <f t="shared" si="66"/>
        <v>0</v>
      </c>
      <c r="R179" s="341">
        <v>1</v>
      </c>
      <c r="S179" s="318">
        <f t="shared" si="72"/>
        <v>4.49</v>
      </c>
      <c r="T179" s="319"/>
      <c r="V179" s="328">
        <v>4.49</v>
      </c>
      <c r="W179" s="320">
        <v>1</v>
      </c>
      <c r="X179" s="328">
        <f t="shared" si="68"/>
        <v>4.49</v>
      </c>
      <c r="Y179" s="464">
        <v>1</v>
      </c>
      <c r="Z179" s="328">
        <f t="shared" si="69"/>
        <v>4.49</v>
      </c>
      <c r="AB179" s="458">
        <f t="shared" si="70"/>
        <v>0</v>
      </c>
      <c r="AC179" s="348">
        <f t="shared" si="71"/>
        <v>0</v>
      </c>
    </row>
    <row r="180" spans="1:29">
      <c r="A180" s="318"/>
      <c r="B180" s="319"/>
      <c r="C180" s="318"/>
      <c r="D180" s="318"/>
      <c r="E180" s="319"/>
      <c r="F180" s="336"/>
      <c r="G180" s="318" t="s">
        <v>1584</v>
      </c>
      <c r="H180" s="328">
        <v>4.49</v>
      </c>
      <c r="I180" s="318">
        <v>1</v>
      </c>
      <c r="J180" s="318">
        <f t="shared" si="63"/>
        <v>1</v>
      </c>
      <c r="K180" s="328">
        <f t="shared" si="64"/>
        <v>4.49</v>
      </c>
      <c r="L180" s="318"/>
      <c r="M180" s="318"/>
      <c r="N180" s="318">
        <v>1</v>
      </c>
      <c r="O180" s="621">
        <f t="shared" si="65"/>
        <v>4.49</v>
      </c>
      <c r="P180" s="755">
        <v>1</v>
      </c>
      <c r="Q180" s="755">
        <f t="shared" si="66"/>
        <v>0</v>
      </c>
      <c r="R180" s="341">
        <v>1</v>
      </c>
      <c r="S180" s="318">
        <f t="shared" si="72"/>
        <v>4.49</v>
      </c>
      <c r="T180" s="319"/>
      <c r="V180" s="328">
        <v>4.49</v>
      </c>
      <c r="W180" s="320">
        <v>1</v>
      </c>
      <c r="X180" s="328">
        <f t="shared" si="68"/>
        <v>4.49</v>
      </c>
      <c r="Y180" s="464">
        <v>1</v>
      </c>
      <c r="Z180" s="328">
        <f t="shared" si="69"/>
        <v>4.49</v>
      </c>
      <c r="AB180" s="458">
        <f t="shared" si="70"/>
        <v>0</v>
      </c>
      <c r="AC180" s="348">
        <f t="shared" si="71"/>
        <v>0</v>
      </c>
    </row>
    <row r="181" spans="1:29" ht="14.4" customHeight="1">
      <c r="A181" s="318"/>
      <c r="B181" s="319"/>
      <c r="C181" s="318"/>
      <c r="D181" s="318"/>
      <c r="E181" s="319"/>
      <c r="F181" s="336" t="s">
        <v>604</v>
      </c>
      <c r="G181" s="318" t="s">
        <v>402</v>
      </c>
      <c r="H181" s="328">
        <v>4.72</v>
      </c>
      <c r="I181" s="318">
        <v>1</v>
      </c>
      <c r="J181" s="318">
        <f t="shared" si="63"/>
        <v>1</v>
      </c>
      <c r="K181" s="328">
        <f t="shared" si="64"/>
        <v>4.72</v>
      </c>
      <c r="L181" s="350" t="s">
        <v>3095</v>
      </c>
      <c r="M181" s="318">
        <v>237</v>
      </c>
      <c r="N181" s="318">
        <v>1</v>
      </c>
      <c r="O181" s="621">
        <f t="shared" si="65"/>
        <v>4.72</v>
      </c>
      <c r="P181" s="755">
        <v>1</v>
      </c>
      <c r="Q181" s="755">
        <f t="shared" si="66"/>
        <v>0</v>
      </c>
      <c r="R181" s="341">
        <v>1</v>
      </c>
      <c r="S181" s="318">
        <f t="shared" si="72"/>
        <v>4.72</v>
      </c>
      <c r="T181" s="639" t="s">
        <v>3425</v>
      </c>
      <c r="V181" s="328">
        <v>4.49</v>
      </c>
      <c r="W181" s="458">
        <f>2/3</f>
        <v>0.66666666666666663</v>
      </c>
      <c r="X181" s="328">
        <f t="shared" si="68"/>
        <v>2.9933333333333332</v>
      </c>
      <c r="Y181" s="320"/>
      <c r="Z181" s="328">
        <f t="shared" si="69"/>
        <v>0</v>
      </c>
      <c r="AB181" s="458">
        <f t="shared" si="70"/>
        <v>-1.7266666666666666</v>
      </c>
      <c r="AC181" s="348">
        <f t="shared" si="71"/>
        <v>-4.72</v>
      </c>
    </row>
    <row r="182" spans="1:29">
      <c r="A182" s="584"/>
      <c r="B182" s="585"/>
      <c r="C182" s="584"/>
      <c r="D182" s="584"/>
      <c r="E182" s="585"/>
      <c r="F182" s="585" t="s">
        <v>384</v>
      </c>
      <c r="G182" s="584" t="s">
        <v>403</v>
      </c>
      <c r="H182" s="587"/>
      <c r="I182" s="584"/>
      <c r="J182" s="584"/>
      <c r="K182" s="587"/>
      <c r="L182" s="584"/>
      <c r="M182" s="584"/>
      <c r="N182" s="584"/>
      <c r="O182" s="634" t="s">
        <v>2321</v>
      </c>
      <c r="P182" s="763"/>
      <c r="Q182" s="763"/>
      <c r="R182" s="584"/>
      <c r="S182" s="588" t="s">
        <v>2321</v>
      </c>
      <c r="T182" s="1024" t="s">
        <v>1456</v>
      </c>
      <c r="V182" s="328"/>
      <c r="W182" s="318"/>
      <c r="X182" s="387" t="s">
        <v>2321</v>
      </c>
      <c r="Y182" s="318"/>
      <c r="Z182" s="387" t="s">
        <v>2321</v>
      </c>
      <c r="AB182" s="348"/>
      <c r="AC182" s="384"/>
    </row>
    <row r="183" spans="1:29">
      <c r="A183" s="584"/>
      <c r="B183" s="585"/>
      <c r="C183" s="584"/>
      <c r="D183" s="584"/>
      <c r="E183" s="585"/>
      <c r="F183" s="585" t="s">
        <v>384</v>
      </c>
      <c r="G183" s="584" t="s">
        <v>404</v>
      </c>
      <c r="H183" s="587"/>
      <c r="I183" s="584"/>
      <c r="J183" s="584"/>
      <c r="K183" s="587"/>
      <c r="L183" s="584"/>
      <c r="M183" s="584"/>
      <c r="N183" s="584"/>
      <c r="O183" s="634" t="s">
        <v>2321</v>
      </c>
      <c r="P183" s="763"/>
      <c r="Q183" s="763"/>
      <c r="R183" s="584"/>
      <c r="S183" s="588" t="s">
        <v>2321</v>
      </c>
      <c r="T183" s="1025"/>
      <c r="V183" s="328"/>
      <c r="W183" s="318"/>
      <c r="X183" s="387" t="s">
        <v>2321</v>
      </c>
      <c r="Y183" s="318"/>
      <c r="Z183" s="387" t="s">
        <v>2321</v>
      </c>
      <c r="AB183" s="348"/>
      <c r="AC183" s="384"/>
    </row>
    <row r="184" spans="1:29">
      <c r="A184" s="584"/>
      <c r="B184" s="585"/>
      <c r="C184" s="584"/>
      <c r="D184" s="584"/>
      <c r="E184" s="585"/>
      <c r="F184" s="585" t="s">
        <v>384</v>
      </c>
      <c r="G184" s="584" t="s">
        <v>405</v>
      </c>
      <c r="H184" s="587"/>
      <c r="I184" s="584"/>
      <c r="J184" s="584"/>
      <c r="K184" s="587"/>
      <c r="L184" s="584"/>
      <c r="M184" s="584"/>
      <c r="N184" s="584"/>
      <c r="O184" s="634" t="s">
        <v>2321</v>
      </c>
      <c r="P184" s="763"/>
      <c r="Q184" s="763"/>
      <c r="R184" s="584"/>
      <c r="S184" s="588" t="s">
        <v>2321</v>
      </c>
      <c r="T184" s="1025"/>
      <c r="V184" s="328"/>
      <c r="W184" s="318"/>
      <c r="X184" s="387" t="s">
        <v>2321</v>
      </c>
      <c r="Y184" s="318"/>
      <c r="Z184" s="387" t="s">
        <v>2321</v>
      </c>
      <c r="AB184" s="348"/>
      <c r="AC184" s="384"/>
    </row>
    <row r="185" spans="1:29">
      <c r="A185" s="584"/>
      <c r="B185" s="585"/>
      <c r="C185" s="584"/>
      <c r="D185" s="584"/>
      <c r="E185" s="585"/>
      <c r="F185" s="585" t="s">
        <v>384</v>
      </c>
      <c r="G185" s="584" t="s">
        <v>1585</v>
      </c>
      <c r="H185" s="587"/>
      <c r="I185" s="584"/>
      <c r="J185" s="584"/>
      <c r="K185" s="587"/>
      <c r="L185" s="584"/>
      <c r="M185" s="584"/>
      <c r="N185" s="584"/>
      <c r="O185" s="634" t="s">
        <v>2321</v>
      </c>
      <c r="P185" s="763"/>
      <c r="Q185" s="763"/>
      <c r="R185" s="584"/>
      <c r="S185" s="588" t="s">
        <v>2321</v>
      </c>
      <c r="T185" s="1026"/>
      <c r="V185" s="328"/>
      <c r="W185" s="318"/>
      <c r="X185" s="387" t="s">
        <v>2321</v>
      </c>
      <c r="Y185" s="318"/>
      <c r="Z185" s="387" t="s">
        <v>2321</v>
      </c>
      <c r="AB185" s="348"/>
      <c r="AC185" s="384"/>
    </row>
    <row r="186" spans="1:29" ht="20.399999999999999">
      <c r="A186" s="318"/>
      <c r="B186" s="319"/>
      <c r="C186" s="318"/>
      <c r="D186" s="318"/>
      <c r="E186" s="319"/>
      <c r="F186" s="336" t="s">
        <v>604</v>
      </c>
      <c r="G186" s="318" t="s">
        <v>1586</v>
      </c>
      <c r="H186" s="328">
        <v>4.72</v>
      </c>
      <c r="I186" s="318">
        <v>1</v>
      </c>
      <c r="J186" s="318">
        <f t="shared" si="63"/>
        <v>1</v>
      </c>
      <c r="K186" s="328">
        <f t="shared" si="64"/>
        <v>4.72</v>
      </c>
      <c r="L186" s="350" t="s">
        <v>3098</v>
      </c>
      <c r="M186" s="318">
        <v>237</v>
      </c>
      <c r="N186" s="318">
        <v>1</v>
      </c>
      <c r="O186" s="621">
        <f>H186*N186</f>
        <v>4.72</v>
      </c>
      <c r="P186" s="755">
        <v>1</v>
      </c>
      <c r="Q186" s="755">
        <f t="shared" ref="Q186:Q188" si="73">R186-P186</f>
        <v>0</v>
      </c>
      <c r="R186" s="341">
        <v>1</v>
      </c>
      <c r="S186" s="318">
        <f t="shared" ref="S186" si="74">H186*R186</f>
        <v>4.72</v>
      </c>
      <c r="T186" s="639" t="s">
        <v>3425</v>
      </c>
      <c r="V186" s="328">
        <v>4.49</v>
      </c>
      <c r="W186" s="320"/>
      <c r="X186" s="328">
        <f>V186*W186</f>
        <v>0</v>
      </c>
      <c r="Y186" s="320"/>
      <c r="Z186" s="328">
        <f>V186*Y186</f>
        <v>0</v>
      </c>
      <c r="AB186" s="458">
        <f>X186-O186</f>
        <v>-4.72</v>
      </c>
      <c r="AC186" s="348">
        <f>Z186-S186</f>
        <v>-4.72</v>
      </c>
    </row>
    <row r="187" spans="1:29">
      <c r="A187" s="318"/>
      <c r="B187" s="319"/>
      <c r="C187" s="318"/>
      <c r="D187" s="318"/>
      <c r="E187" s="319"/>
      <c r="F187" s="336"/>
      <c r="G187" s="318" t="s">
        <v>1587</v>
      </c>
      <c r="H187" s="328">
        <v>4.49</v>
      </c>
      <c r="I187" s="318">
        <v>1</v>
      </c>
      <c r="J187" s="318">
        <f t="shared" si="63"/>
        <v>1</v>
      </c>
      <c r="K187" s="328">
        <f t="shared" si="64"/>
        <v>4.49</v>
      </c>
      <c r="L187" s="318"/>
      <c r="M187" s="318"/>
      <c r="N187" s="318">
        <v>1</v>
      </c>
      <c r="O187" s="621">
        <f>H187*N187</f>
        <v>4.49</v>
      </c>
      <c r="P187" s="755">
        <v>1</v>
      </c>
      <c r="Q187" s="755">
        <f t="shared" si="73"/>
        <v>0</v>
      </c>
      <c r="R187" s="341">
        <v>1</v>
      </c>
      <c r="S187" s="318">
        <f t="shared" ref="S187:S188" si="75">H187*R187</f>
        <v>4.49</v>
      </c>
      <c r="T187" s="319"/>
      <c r="V187" s="328">
        <v>4.49</v>
      </c>
      <c r="W187" s="320">
        <v>1</v>
      </c>
      <c r="X187" s="328">
        <f>V187*W187</f>
        <v>4.49</v>
      </c>
      <c r="Y187" s="320"/>
      <c r="Z187" s="457">
        <f>V187*Y187</f>
        <v>0</v>
      </c>
      <c r="AB187" s="458">
        <f>X187-O187</f>
        <v>0</v>
      </c>
      <c r="AC187" s="455">
        <f>Z187-S187</f>
        <v>-4.49</v>
      </c>
    </row>
    <row r="188" spans="1:29">
      <c r="A188" s="318"/>
      <c r="B188" s="319"/>
      <c r="C188" s="318"/>
      <c r="D188" s="318"/>
      <c r="E188" s="319"/>
      <c r="F188" s="336" t="s">
        <v>696</v>
      </c>
      <c r="G188" s="318" t="s">
        <v>1588</v>
      </c>
      <c r="H188" s="328">
        <v>3.31</v>
      </c>
      <c r="I188" s="318">
        <v>1</v>
      </c>
      <c r="J188" s="318">
        <f t="shared" si="63"/>
        <v>1</v>
      </c>
      <c r="K188" s="328">
        <f t="shared" si="64"/>
        <v>3.31</v>
      </c>
      <c r="L188" s="318" t="s">
        <v>266</v>
      </c>
      <c r="M188" s="318" t="s">
        <v>265</v>
      </c>
      <c r="N188" s="318">
        <v>1</v>
      </c>
      <c r="O188" s="621">
        <f>H188*N188</f>
        <v>3.31</v>
      </c>
      <c r="P188" s="755">
        <v>1</v>
      </c>
      <c r="Q188" s="755">
        <f t="shared" si="73"/>
        <v>0</v>
      </c>
      <c r="R188" s="341">
        <v>1</v>
      </c>
      <c r="S188" s="318">
        <f t="shared" si="75"/>
        <v>3.31</v>
      </c>
      <c r="T188" s="319"/>
      <c r="V188" s="328">
        <f>1.15-0.6+2.782</f>
        <v>3.3319999999999999</v>
      </c>
      <c r="W188" s="320">
        <v>1</v>
      </c>
      <c r="X188" s="328">
        <f>V188*W188</f>
        <v>3.3319999999999999</v>
      </c>
      <c r="Y188" s="464">
        <v>1</v>
      </c>
      <c r="Z188" s="328">
        <f>V188*Y188</f>
        <v>3.3319999999999999</v>
      </c>
      <c r="AB188" s="458">
        <f>X188-O188</f>
        <v>2.1999999999999797E-2</v>
      </c>
      <c r="AC188" s="348">
        <f>Z188-S188</f>
        <v>2.1999999999999797E-2</v>
      </c>
    </row>
    <row r="189" spans="1:29">
      <c r="A189" s="318"/>
      <c r="B189" s="319"/>
      <c r="C189" s="318"/>
      <c r="D189" s="318"/>
      <c r="E189" s="319"/>
      <c r="F189" s="319"/>
      <c r="G189" s="318"/>
      <c r="H189" s="318"/>
      <c r="I189" s="318"/>
      <c r="J189" s="382" t="s">
        <v>389</v>
      </c>
      <c r="K189" s="338">
        <f>SUM(K158:K188)</f>
        <v>106.38999999999999</v>
      </c>
      <c r="L189" s="318"/>
      <c r="M189" s="318"/>
      <c r="N189" s="382" t="s">
        <v>389</v>
      </c>
      <c r="O189" s="759">
        <f>SUM(O158:O188)</f>
        <v>106.38999999999999</v>
      </c>
      <c r="P189" s="751" t="s">
        <v>389</v>
      </c>
      <c r="Q189" s="751"/>
      <c r="R189" s="382"/>
      <c r="S189" s="338">
        <f>SUM(S158:S188)</f>
        <v>106.38999999999999</v>
      </c>
      <c r="T189" s="319"/>
      <c r="V189" s="318"/>
      <c r="W189" s="321" t="s">
        <v>389</v>
      </c>
      <c r="X189" s="338">
        <f>SUM(X158:X188)</f>
        <v>99.74133333333333</v>
      </c>
      <c r="Y189" s="321" t="s">
        <v>389</v>
      </c>
      <c r="Z189" s="338">
        <f>SUM(Z158:Z188)</f>
        <v>87.767999999999986</v>
      </c>
      <c r="AB189" s="338"/>
      <c r="AC189" s="338"/>
    </row>
    <row r="190" spans="1:29" ht="6.75" customHeight="1">
      <c r="A190" s="316"/>
      <c r="B190" s="317"/>
      <c r="C190" s="316"/>
      <c r="D190" s="316"/>
      <c r="E190" s="317"/>
      <c r="F190" s="317"/>
      <c r="G190" s="316"/>
      <c r="H190" s="332"/>
      <c r="I190" s="316"/>
      <c r="J190" s="316"/>
      <c r="K190" s="316"/>
      <c r="L190" s="316"/>
      <c r="M190" s="316"/>
      <c r="N190" s="316"/>
      <c r="O190" s="760"/>
      <c r="P190" s="752"/>
      <c r="Q190" s="752"/>
      <c r="R190" s="316"/>
      <c r="S190" s="332"/>
      <c r="T190" s="317"/>
      <c r="V190" s="332"/>
      <c r="W190" s="316"/>
      <c r="X190" s="332"/>
      <c r="Y190" s="316"/>
      <c r="Z190" s="332"/>
      <c r="AB190" s="339"/>
      <c r="AC190" s="339"/>
    </row>
    <row r="191" spans="1:29">
      <c r="A191" s="318">
        <v>6</v>
      </c>
      <c r="B191" s="319" t="s">
        <v>383</v>
      </c>
      <c r="C191" s="318">
        <v>600</v>
      </c>
      <c r="D191" s="318">
        <v>12</v>
      </c>
      <c r="E191" s="319">
        <v>1</v>
      </c>
      <c r="F191" s="336"/>
      <c r="G191" s="318" t="s">
        <v>1589</v>
      </c>
      <c r="H191" s="328">
        <v>4.16</v>
      </c>
      <c r="I191" s="318">
        <v>1</v>
      </c>
      <c r="J191" s="318">
        <f t="shared" ref="J191:J244" si="76">IF(N191&gt;0,1,0)</f>
        <v>1</v>
      </c>
      <c r="K191" s="328">
        <f t="shared" ref="K191:K243" si="77">H191*J191</f>
        <v>4.16</v>
      </c>
      <c r="L191" s="318">
        <v>1471</v>
      </c>
      <c r="M191" s="318">
        <v>116</v>
      </c>
      <c r="N191" s="318">
        <v>1</v>
      </c>
      <c r="O191" s="621">
        <f t="shared" ref="O191:O244" si="78">H191*N191</f>
        <v>4.16</v>
      </c>
      <c r="P191" s="755">
        <v>1</v>
      </c>
      <c r="Q191" s="755">
        <f t="shared" ref="Q191:Q227" si="79">R191-P191</f>
        <v>0</v>
      </c>
      <c r="R191" s="341">
        <v>1</v>
      </c>
      <c r="S191" s="318">
        <f t="shared" ref="S191" si="80">H191*R191</f>
        <v>4.16</v>
      </c>
      <c r="T191" s="319"/>
      <c r="V191" s="328">
        <f>4.155</f>
        <v>4.1550000000000002</v>
      </c>
      <c r="W191" s="320">
        <v>0.5</v>
      </c>
      <c r="X191" s="328">
        <f t="shared" ref="X191:X222" si="81">V191*W191</f>
        <v>2.0775000000000001</v>
      </c>
      <c r="Y191" s="320"/>
      <c r="Z191" s="328">
        <f t="shared" ref="Z191:Z222" si="82">V191*Y191</f>
        <v>0</v>
      </c>
      <c r="AB191" s="458">
        <f t="shared" ref="AB191:AB222" si="83">X191-O191</f>
        <v>-2.0825</v>
      </c>
      <c r="AC191" s="348">
        <f t="shared" ref="AC191:AC244" si="84">Z191-S191</f>
        <v>-4.16</v>
      </c>
    </row>
    <row r="192" spans="1:29">
      <c r="A192" s="318"/>
      <c r="B192" s="319"/>
      <c r="C192" s="318"/>
      <c r="D192" s="318"/>
      <c r="E192" s="319"/>
      <c r="F192" s="319"/>
      <c r="G192" s="318" t="s">
        <v>1590</v>
      </c>
      <c r="H192" s="328">
        <v>4.49</v>
      </c>
      <c r="I192" s="318">
        <v>1</v>
      </c>
      <c r="J192" s="318">
        <f t="shared" si="76"/>
        <v>1</v>
      </c>
      <c r="K192" s="328">
        <f t="shared" si="77"/>
        <v>4.49</v>
      </c>
      <c r="L192" s="350" t="s">
        <v>2770</v>
      </c>
      <c r="M192" s="318">
        <v>113</v>
      </c>
      <c r="N192" s="318">
        <v>1</v>
      </c>
      <c r="O192" s="621">
        <f t="shared" si="78"/>
        <v>4.49</v>
      </c>
      <c r="P192" s="755">
        <v>1</v>
      </c>
      <c r="Q192" s="755">
        <f t="shared" si="79"/>
        <v>0</v>
      </c>
      <c r="R192" s="341">
        <v>1</v>
      </c>
      <c r="S192" s="318">
        <f t="shared" ref="S192:S227" si="85">H192*R192</f>
        <v>4.49</v>
      </c>
      <c r="T192" s="319"/>
      <c r="V192" s="328">
        <f>4.49</f>
        <v>4.49</v>
      </c>
      <c r="W192" s="320">
        <v>1</v>
      </c>
      <c r="X192" s="328">
        <f t="shared" si="81"/>
        <v>4.49</v>
      </c>
      <c r="Y192" s="464"/>
      <c r="Z192" s="328">
        <f t="shared" si="82"/>
        <v>0</v>
      </c>
      <c r="AB192" s="458">
        <f t="shared" si="83"/>
        <v>0</v>
      </c>
      <c r="AC192" s="348">
        <f t="shared" si="84"/>
        <v>-4.49</v>
      </c>
    </row>
    <row r="193" spans="1:29">
      <c r="A193" s="318"/>
      <c r="B193" s="319"/>
      <c r="C193" s="318"/>
      <c r="D193" s="318"/>
      <c r="E193" s="319"/>
      <c r="F193" s="319"/>
      <c r="G193" s="318" t="s">
        <v>1591</v>
      </c>
      <c r="H193" s="328">
        <v>4.49</v>
      </c>
      <c r="I193" s="318">
        <v>1</v>
      </c>
      <c r="J193" s="318">
        <f t="shared" si="76"/>
        <v>1</v>
      </c>
      <c r="K193" s="328">
        <f t="shared" si="77"/>
        <v>4.49</v>
      </c>
      <c r="L193" s="350" t="s">
        <v>2770</v>
      </c>
      <c r="M193" s="318">
        <v>113</v>
      </c>
      <c r="N193" s="318">
        <v>1</v>
      </c>
      <c r="O193" s="621">
        <f t="shared" si="78"/>
        <v>4.49</v>
      </c>
      <c r="P193" s="755">
        <v>1</v>
      </c>
      <c r="Q193" s="755">
        <f t="shared" si="79"/>
        <v>0</v>
      </c>
      <c r="R193" s="341">
        <v>1</v>
      </c>
      <c r="S193" s="318">
        <f t="shared" si="85"/>
        <v>4.49</v>
      </c>
      <c r="T193" s="319"/>
      <c r="V193" s="328">
        <f t="shared" ref="V193:V206" si="86">4.49</f>
        <v>4.49</v>
      </c>
      <c r="W193" s="320">
        <v>1</v>
      </c>
      <c r="X193" s="328">
        <f t="shared" si="81"/>
        <v>4.49</v>
      </c>
      <c r="Y193" s="464">
        <v>1</v>
      </c>
      <c r="Z193" s="328">
        <f t="shared" si="82"/>
        <v>4.49</v>
      </c>
      <c r="AB193" s="458">
        <f t="shared" si="83"/>
        <v>0</v>
      </c>
      <c r="AC193" s="348">
        <f t="shared" si="84"/>
        <v>0</v>
      </c>
    </row>
    <row r="194" spans="1:29">
      <c r="A194" s="318"/>
      <c r="B194" s="319"/>
      <c r="C194" s="318"/>
      <c r="D194" s="318"/>
      <c r="E194" s="319"/>
      <c r="F194" s="319"/>
      <c r="G194" s="318" t="s">
        <v>1592</v>
      </c>
      <c r="H194" s="328">
        <v>4.49</v>
      </c>
      <c r="I194" s="318">
        <v>1</v>
      </c>
      <c r="J194" s="318">
        <f t="shared" si="76"/>
        <v>1</v>
      </c>
      <c r="K194" s="328">
        <f t="shared" si="77"/>
        <v>4.49</v>
      </c>
      <c r="L194" s="318">
        <v>1471</v>
      </c>
      <c r="M194" s="318">
        <v>116</v>
      </c>
      <c r="N194" s="318">
        <v>1</v>
      </c>
      <c r="O194" s="621">
        <f t="shared" si="78"/>
        <v>4.49</v>
      </c>
      <c r="P194" s="755">
        <v>1</v>
      </c>
      <c r="Q194" s="755">
        <f t="shared" si="79"/>
        <v>0</v>
      </c>
      <c r="R194" s="341">
        <v>1</v>
      </c>
      <c r="S194" s="318">
        <f t="shared" si="85"/>
        <v>4.49</v>
      </c>
      <c r="T194" s="319"/>
      <c r="V194" s="328">
        <f t="shared" si="86"/>
        <v>4.49</v>
      </c>
      <c r="W194" s="320">
        <v>1</v>
      </c>
      <c r="X194" s="328">
        <f t="shared" si="81"/>
        <v>4.49</v>
      </c>
      <c r="Y194" s="464"/>
      <c r="Z194" s="328">
        <f t="shared" si="82"/>
        <v>0</v>
      </c>
      <c r="AB194" s="458">
        <f t="shared" si="83"/>
        <v>0</v>
      </c>
      <c r="AC194" s="348">
        <f t="shared" si="84"/>
        <v>-4.49</v>
      </c>
    </row>
    <row r="195" spans="1:29">
      <c r="A195" s="318"/>
      <c r="B195" s="319"/>
      <c r="C195" s="318"/>
      <c r="D195" s="318"/>
      <c r="E195" s="319"/>
      <c r="F195" s="319"/>
      <c r="G195" s="318" t="s">
        <v>1593</v>
      </c>
      <c r="H195" s="328">
        <v>4.49</v>
      </c>
      <c r="I195" s="318">
        <v>1</v>
      </c>
      <c r="J195" s="318">
        <f t="shared" si="76"/>
        <v>1</v>
      </c>
      <c r="K195" s="328">
        <f t="shared" si="77"/>
        <v>4.49</v>
      </c>
      <c r="L195" s="318">
        <v>1471</v>
      </c>
      <c r="M195" s="318">
        <v>116</v>
      </c>
      <c r="N195" s="318">
        <v>1</v>
      </c>
      <c r="O195" s="621">
        <f t="shared" si="78"/>
        <v>4.49</v>
      </c>
      <c r="P195" s="755">
        <v>1</v>
      </c>
      <c r="Q195" s="755">
        <f t="shared" si="79"/>
        <v>0</v>
      </c>
      <c r="R195" s="341">
        <v>1</v>
      </c>
      <c r="S195" s="318">
        <f t="shared" si="85"/>
        <v>4.49</v>
      </c>
      <c r="T195" s="319"/>
      <c r="V195" s="328">
        <f t="shared" si="86"/>
        <v>4.49</v>
      </c>
      <c r="W195" s="320">
        <v>1</v>
      </c>
      <c r="X195" s="328">
        <f t="shared" si="81"/>
        <v>4.49</v>
      </c>
      <c r="Y195" s="464"/>
      <c r="Z195" s="328">
        <f t="shared" si="82"/>
        <v>0</v>
      </c>
      <c r="AB195" s="458">
        <f t="shared" si="83"/>
        <v>0</v>
      </c>
      <c r="AC195" s="348">
        <f t="shared" si="84"/>
        <v>-4.49</v>
      </c>
    </row>
    <row r="196" spans="1:29">
      <c r="A196" s="318"/>
      <c r="B196" s="319"/>
      <c r="C196" s="318"/>
      <c r="D196" s="318"/>
      <c r="E196" s="319"/>
      <c r="F196" s="319"/>
      <c r="G196" s="318" t="s">
        <v>1594</v>
      </c>
      <c r="H196" s="328">
        <v>4.49</v>
      </c>
      <c r="I196" s="318">
        <v>1</v>
      </c>
      <c r="J196" s="318">
        <f t="shared" si="76"/>
        <v>1</v>
      </c>
      <c r="K196" s="328">
        <f t="shared" si="77"/>
        <v>4.49</v>
      </c>
      <c r="L196" s="318">
        <v>1471</v>
      </c>
      <c r="M196" s="318">
        <v>116</v>
      </c>
      <c r="N196" s="318">
        <v>1</v>
      </c>
      <c r="O196" s="621">
        <f t="shared" si="78"/>
        <v>4.49</v>
      </c>
      <c r="P196" s="755">
        <v>1</v>
      </c>
      <c r="Q196" s="755">
        <f t="shared" si="79"/>
        <v>0</v>
      </c>
      <c r="R196" s="341">
        <v>1</v>
      </c>
      <c r="S196" s="318">
        <f t="shared" si="85"/>
        <v>4.49</v>
      </c>
      <c r="T196" s="319"/>
      <c r="V196" s="328">
        <f t="shared" si="86"/>
        <v>4.49</v>
      </c>
      <c r="W196" s="320">
        <v>1</v>
      </c>
      <c r="X196" s="328">
        <f t="shared" si="81"/>
        <v>4.49</v>
      </c>
      <c r="Y196" s="464">
        <v>1</v>
      </c>
      <c r="Z196" s="328">
        <f t="shared" si="82"/>
        <v>4.49</v>
      </c>
      <c r="AB196" s="458">
        <f t="shared" si="83"/>
        <v>0</v>
      </c>
      <c r="AC196" s="348">
        <f t="shared" si="84"/>
        <v>0</v>
      </c>
    </row>
    <row r="197" spans="1:29">
      <c r="A197" s="318"/>
      <c r="B197" s="319"/>
      <c r="C197" s="318"/>
      <c r="D197" s="318"/>
      <c r="E197" s="319"/>
      <c r="F197" s="319"/>
      <c r="G197" s="318" t="s">
        <v>1595</v>
      </c>
      <c r="H197" s="328">
        <v>4.49</v>
      </c>
      <c r="I197" s="318">
        <v>1</v>
      </c>
      <c r="J197" s="318">
        <f t="shared" si="76"/>
        <v>1</v>
      </c>
      <c r="K197" s="328">
        <f t="shared" si="77"/>
        <v>4.49</v>
      </c>
      <c r="L197" s="318">
        <v>1473</v>
      </c>
      <c r="M197" s="318">
        <v>118</v>
      </c>
      <c r="N197" s="318">
        <v>1</v>
      </c>
      <c r="O197" s="621">
        <f t="shared" si="78"/>
        <v>4.49</v>
      </c>
      <c r="P197" s="755">
        <v>1</v>
      </c>
      <c r="Q197" s="755">
        <f t="shared" si="79"/>
        <v>0</v>
      </c>
      <c r="R197" s="341">
        <v>1</v>
      </c>
      <c r="S197" s="318">
        <f t="shared" si="85"/>
        <v>4.49</v>
      </c>
      <c r="T197" s="319"/>
      <c r="V197" s="328">
        <f t="shared" si="86"/>
        <v>4.49</v>
      </c>
      <c r="W197" s="320">
        <v>1</v>
      </c>
      <c r="X197" s="328">
        <f t="shared" si="81"/>
        <v>4.49</v>
      </c>
      <c r="Y197" s="464">
        <v>1</v>
      </c>
      <c r="Z197" s="328">
        <f t="shared" si="82"/>
        <v>4.49</v>
      </c>
      <c r="AB197" s="458">
        <f t="shared" si="83"/>
        <v>0</v>
      </c>
      <c r="AC197" s="348">
        <f t="shared" si="84"/>
        <v>0</v>
      </c>
    </row>
    <row r="198" spans="1:29">
      <c r="A198" s="318"/>
      <c r="B198" s="319"/>
      <c r="C198" s="318"/>
      <c r="D198" s="318"/>
      <c r="E198" s="319"/>
      <c r="F198" s="319"/>
      <c r="G198" s="318" t="s">
        <v>1596</v>
      </c>
      <c r="H198" s="328">
        <v>4.49</v>
      </c>
      <c r="I198" s="318">
        <v>1</v>
      </c>
      <c r="J198" s="318">
        <f t="shared" si="76"/>
        <v>1</v>
      </c>
      <c r="K198" s="328">
        <f t="shared" si="77"/>
        <v>4.49</v>
      </c>
      <c r="L198" s="318">
        <v>1473</v>
      </c>
      <c r="M198" s="318">
        <v>118</v>
      </c>
      <c r="N198" s="318">
        <v>1</v>
      </c>
      <c r="O198" s="621">
        <f t="shared" si="78"/>
        <v>4.49</v>
      </c>
      <c r="P198" s="755">
        <v>1</v>
      </c>
      <c r="Q198" s="755">
        <f t="shared" si="79"/>
        <v>0</v>
      </c>
      <c r="R198" s="341">
        <v>1</v>
      </c>
      <c r="S198" s="318">
        <f t="shared" si="85"/>
        <v>4.49</v>
      </c>
      <c r="T198" s="319"/>
      <c r="V198" s="328">
        <f t="shared" si="86"/>
        <v>4.49</v>
      </c>
      <c r="W198" s="320">
        <v>1</v>
      </c>
      <c r="X198" s="328">
        <f t="shared" si="81"/>
        <v>4.49</v>
      </c>
      <c r="Y198" s="464">
        <v>1</v>
      </c>
      <c r="Z198" s="328">
        <f t="shared" si="82"/>
        <v>4.49</v>
      </c>
      <c r="AB198" s="458">
        <f t="shared" si="83"/>
        <v>0</v>
      </c>
      <c r="AC198" s="348">
        <f t="shared" si="84"/>
        <v>0</v>
      </c>
    </row>
    <row r="199" spans="1:29">
      <c r="A199" s="318"/>
      <c r="B199" s="319"/>
      <c r="C199" s="318"/>
      <c r="D199" s="318"/>
      <c r="E199" s="319"/>
      <c r="F199" s="319"/>
      <c r="G199" s="318" t="s">
        <v>1597</v>
      </c>
      <c r="H199" s="328">
        <v>4.49</v>
      </c>
      <c r="I199" s="318">
        <v>1</v>
      </c>
      <c r="J199" s="318">
        <f t="shared" si="76"/>
        <v>1</v>
      </c>
      <c r="K199" s="328">
        <f t="shared" si="77"/>
        <v>4.49</v>
      </c>
      <c r="L199" s="318">
        <v>1473</v>
      </c>
      <c r="M199" s="318">
        <v>118</v>
      </c>
      <c r="N199" s="318">
        <v>1</v>
      </c>
      <c r="O199" s="621">
        <f t="shared" si="78"/>
        <v>4.49</v>
      </c>
      <c r="P199" s="755">
        <v>1</v>
      </c>
      <c r="Q199" s="755">
        <f t="shared" si="79"/>
        <v>0</v>
      </c>
      <c r="R199" s="341">
        <v>1</v>
      </c>
      <c r="S199" s="318">
        <f t="shared" si="85"/>
        <v>4.49</v>
      </c>
      <c r="T199" s="319"/>
      <c r="V199" s="328">
        <f t="shared" si="86"/>
        <v>4.49</v>
      </c>
      <c r="W199" s="320">
        <v>1</v>
      </c>
      <c r="X199" s="328">
        <f t="shared" si="81"/>
        <v>4.49</v>
      </c>
      <c r="Y199" s="464">
        <v>1</v>
      </c>
      <c r="Z199" s="328">
        <f t="shared" si="82"/>
        <v>4.49</v>
      </c>
      <c r="AB199" s="458">
        <f t="shared" si="83"/>
        <v>0</v>
      </c>
      <c r="AC199" s="348">
        <f t="shared" si="84"/>
        <v>0</v>
      </c>
    </row>
    <row r="200" spans="1:29">
      <c r="A200" s="318"/>
      <c r="B200" s="319"/>
      <c r="C200" s="318"/>
      <c r="D200" s="318"/>
      <c r="E200" s="319"/>
      <c r="F200" s="319"/>
      <c r="G200" s="318" t="s">
        <v>1598</v>
      </c>
      <c r="H200" s="328">
        <v>4.49</v>
      </c>
      <c r="I200" s="318">
        <v>1</v>
      </c>
      <c r="J200" s="318">
        <f t="shared" si="76"/>
        <v>1</v>
      </c>
      <c r="K200" s="328">
        <f t="shared" si="77"/>
        <v>4.49</v>
      </c>
      <c r="L200" s="318">
        <v>1473</v>
      </c>
      <c r="M200" s="318"/>
      <c r="N200" s="318">
        <v>1</v>
      </c>
      <c r="O200" s="621">
        <f t="shared" si="78"/>
        <v>4.49</v>
      </c>
      <c r="P200" s="755">
        <v>1</v>
      </c>
      <c r="Q200" s="755">
        <f t="shared" si="79"/>
        <v>0</v>
      </c>
      <c r="R200" s="341">
        <v>1</v>
      </c>
      <c r="S200" s="318">
        <f t="shared" si="85"/>
        <v>4.49</v>
      </c>
      <c r="T200" s="319"/>
      <c r="V200" s="328">
        <f t="shared" si="86"/>
        <v>4.49</v>
      </c>
      <c r="W200" s="320">
        <v>1</v>
      </c>
      <c r="X200" s="328">
        <f t="shared" si="81"/>
        <v>4.49</v>
      </c>
      <c r="Y200" s="464">
        <v>1</v>
      </c>
      <c r="Z200" s="328">
        <f t="shared" si="82"/>
        <v>4.49</v>
      </c>
      <c r="AB200" s="458">
        <f t="shared" si="83"/>
        <v>0</v>
      </c>
      <c r="AC200" s="348">
        <f t="shared" si="84"/>
        <v>0</v>
      </c>
    </row>
    <row r="201" spans="1:29">
      <c r="A201" s="318"/>
      <c r="B201" s="319"/>
      <c r="C201" s="318"/>
      <c r="D201" s="318"/>
      <c r="E201" s="319"/>
      <c r="F201" s="319"/>
      <c r="G201" s="318" t="s">
        <v>1599</v>
      </c>
      <c r="H201" s="328">
        <v>4.49</v>
      </c>
      <c r="I201" s="318">
        <v>1</v>
      </c>
      <c r="J201" s="318">
        <f t="shared" si="76"/>
        <v>1</v>
      </c>
      <c r="K201" s="328">
        <f t="shared" si="77"/>
        <v>4.49</v>
      </c>
      <c r="L201" s="318">
        <v>1481</v>
      </c>
      <c r="M201" s="318">
        <v>121</v>
      </c>
      <c r="N201" s="318">
        <v>1</v>
      </c>
      <c r="O201" s="621">
        <f t="shared" si="78"/>
        <v>4.49</v>
      </c>
      <c r="P201" s="755">
        <v>1</v>
      </c>
      <c r="Q201" s="755">
        <f t="shared" si="79"/>
        <v>0</v>
      </c>
      <c r="R201" s="341">
        <v>1</v>
      </c>
      <c r="S201" s="318">
        <f t="shared" si="85"/>
        <v>4.49</v>
      </c>
      <c r="T201" s="319"/>
      <c r="V201" s="328">
        <f t="shared" si="86"/>
        <v>4.49</v>
      </c>
      <c r="W201" s="320">
        <v>1</v>
      </c>
      <c r="X201" s="328">
        <f t="shared" si="81"/>
        <v>4.49</v>
      </c>
      <c r="Y201" s="464">
        <v>1</v>
      </c>
      <c r="Z201" s="328">
        <f t="shared" si="82"/>
        <v>4.49</v>
      </c>
      <c r="AB201" s="458">
        <f t="shared" si="83"/>
        <v>0</v>
      </c>
      <c r="AC201" s="348">
        <f t="shared" si="84"/>
        <v>0</v>
      </c>
    </row>
    <row r="202" spans="1:29">
      <c r="A202" s="318"/>
      <c r="B202" s="319"/>
      <c r="C202" s="318"/>
      <c r="D202" s="318"/>
      <c r="E202" s="319"/>
      <c r="F202" s="319"/>
      <c r="G202" s="318" t="s">
        <v>1600</v>
      </c>
      <c r="H202" s="328">
        <v>4.49</v>
      </c>
      <c r="I202" s="318">
        <v>1</v>
      </c>
      <c r="J202" s="318">
        <f t="shared" si="76"/>
        <v>1</v>
      </c>
      <c r="K202" s="328">
        <f t="shared" si="77"/>
        <v>4.49</v>
      </c>
      <c r="L202" s="350" t="s">
        <v>2687</v>
      </c>
      <c r="M202" s="350" t="s">
        <v>2706</v>
      </c>
      <c r="N202" s="318">
        <v>1</v>
      </c>
      <c r="O202" s="621">
        <f t="shared" si="78"/>
        <v>4.49</v>
      </c>
      <c r="P202" s="755">
        <v>1</v>
      </c>
      <c r="Q202" s="755">
        <f t="shared" si="79"/>
        <v>0</v>
      </c>
      <c r="R202" s="341">
        <v>1</v>
      </c>
      <c r="S202" s="318">
        <f t="shared" si="85"/>
        <v>4.49</v>
      </c>
      <c r="T202" s="319"/>
      <c r="V202" s="328">
        <f t="shared" si="86"/>
        <v>4.49</v>
      </c>
      <c r="W202" s="320">
        <v>1</v>
      </c>
      <c r="X202" s="328">
        <f t="shared" si="81"/>
        <v>4.49</v>
      </c>
      <c r="Y202" s="464">
        <v>1</v>
      </c>
      <c r="Z202" s="328">
        <f t="shared" si="82"/>
        <v>4.49</v>
      </c>
      <c r="AB202" s="458">
        <f t="shared" si="83"/>
        <v>0</v>
      </c>
      <c r="AC202" s="348">
        <f t="shared" si="84"/>
        <v>0</v>
      </c>
    </row>
    <row r="203" spans="1:29">
      <c r="A203" s="318"/>
      <c r="B203" s="319"/>
      <c r="C203" s="318"/>
      <c r="D203" s="318"/>
      <c r="E203" s="319"/>
      <c r="F203" s="319"/>
      <c r="G203" s="318" t="s">
        <v>1601</v>
      </c>
      <c r="H203" s="328">
        <v>4.49</v>
      </c>
      <c r="I203" s="318">
        <v>1</v>
      </c>
      <c r="J203" s="318">
        <f t="shared" si="76"/>
        <v>1</v>
      </c>
      <c r="K203" s="328">
        <f t="shared" si="77"/>
        <v>4.49</v>
      </c>
      <c r="L203" s="350" t="s">
        <v>2298</v>
      </c>
      <c r="M203" s="349">
        <v>156157</v>
      </c>
      <c r="N203" s="318">
        <v>1</v>
      </c>
      <c r="O203" s="621">
        <f t="shared" si="78"/>
        <v>4.49</v>
      </c>
      <c r="P203" s="755">
        <v>1</v>
      </c>
      <c r="Q203" s="755">
        <f t="shared" si="79"/>
        <v>0</v>
      </c>
      <c r="R203" s="341">
        <v>1</v>
      </c>
      <c r="S203" s="318">
        <f t="shared" si="85"/>
        <v>4.49</v>
      </c>
      <c r="T203" s="319"/>
      <c r="V203" s="328">
        <f t="shared" si="86"/>
        <v>4.49</v>
      </c>
      <c r="W203" s="320">
        <v>1</v>
      </c>
      <c r="X203" s="328">
        <f t="shared" si="81"/>
        <v>4.49</v>
      </c>
      <c r="Y203" s="464">
        <v>1</v>
      </c>
      <c r="Z203" s="328">
        <f t="shared" si="82"/>
        <v>4.49</v>
      </c>
      <c r="AB203" s="458">
        <f t="shared" si="83"/>
        <v>0</v>
      </c>
      <c r="AC203" s="348">
        <f t="shared" si="84"/>
        <v>0</v>
      </c>
    </row>
    <row r="204" spans="1:29">
      <c r="A204" s="318"/>
      <c r="B204" s="319"/>
      <c r="C204" s="318"/>
      <c r="D204" s="318"/>
      <c r="E204" s="319"/>
      <c r="F204" s="319"/>
      <c r="G204" s="318" t="s">
        <v>1602</v>
      </c>
      <c r="H204" s="328">
        <v>4.49</v>
      </c>
      <c r="I204" s="318">
        <v>1</v>
      </c>
      <c r="J204" s="318">
        <f t="shared" si="76"/>
        <v>1</v>
      </c>
      <c r="K204" s="328">
        <f t="shared" si="77"/>
        <v>4.49</v>
      </c>
      <c r="L204" s="350" t="s">
        <v>2713</v>
      </c>
      <c r="M204" s="318">
        <v>152</v>
      </c>
      <c r="N204" s="318">
        <v>1</v>
      </c>
      <c r="O204" s="621">
        <f t="shared" si="78"/>
        <v>4.49</v>
      </c>
      <c r="P204" s="755">
        <v>1</v>
      </c>
      <c r="Q204" s="755">
        <f t="shared" si="79"/>
        <v>0</v>
      </c>
      <c r="R204" s="341">
        <v>1</v>
      </c>
      <c r="S204" s="318">
        <f t="shared" si="85"/>
        <v>4.49</v>
      </c>
      <c r="T204" s="319"/>
      <c r="V204" s="328">
        <f t="shared" si="86"/>
        <v>4.49</v>
      </c>
      <c r="W204" s="320">
        <v>1</v>
      </c>
      <c r="X204" s="328">
        <f t="shared" si="81"/>
        <v>4.49</v>
      </c>
      <c r="Y204" s="464">
        <v>1</v>
      </c>
      <c r="Z204" s="328">
        <f t="shared" si="82"/>
        <v>4.49</v>
      </c>
      <c r="AB204" s="458">
        <f t="shared" si="83"/>
        <v>0</v>
      </c>
      <c r="AC204" s="348">
        <f t="shared" si="84"/>
        <v>0</v>
      </c>
    </row>
    <row r="205" spans="1:29">
      <c r="A205" s="318"/>
      <c r="B205" s="319"/>
      <c r="C205" s="318"/>
      <c r="D205" s="318"/>
      <c r="E205" s="319"/>
      <c r="F205" s="319"/>
      <c r="G205" s="318" t="s">
        <v>1603</v>
      </c>
      <c r="H205" s="328">
        <v>4.49</v>
      </c>
      <c r="I205" s="318">
        <v>1</v>
      </c>
      <c r="J205" s="318">
        <f t="shared" si="76"/>
        <v>1</v>
      </c>
      <c r="K205" s="328">
        <f t="shared" si="77"/>
        <v>4.49</v>
      </c>
      <c r="L205" s="318">
        <v>1663</v>
      </c>
      <c r="M205" s="318">
        <v>152</v>
      </c>
      <c r="N205" s="318">
        <v>1</v>
      </c>
      <c r="O205" s="621">
        <f t="shared" si="78"/>
        <v>4.49</v>
      </c>
      <c r="P205" s="755">
        <v>1</v>
      </c>
      <c r="Q205" s="755">
        <f t="shared" si="79"/>
        <v>0</v>
      </c>
      <c r="R205" s="341">
        <v>1</v>
      </c>
      <c r="S205" s="318">
        <f t="shared" si="85"/>
        <v>4.49</v>
      </c>
      <c r="T205" s="319"/>
      <c r="V205" s="328">
        <f t="shared" si="86"/>
        <v>4.49</v>
      </c>
      <c r="W205" s="320">
        <v>1</v>
      </c>
      <c r="X205" s="328">
        <f t="shared" si="81"/>
        <v>4.49</v>
      </c>
      <c r="Y205" s="464">
        <v>1</v>
      </c>
      <c r="Z205" s="328">
        <f t="shared" si="82"/>
        <v>4.49</v>
      </c>
      <c r="AB205" s="458">
        <f t="shared" si="83"/>
        <v>0</v>
      </c>
      <c r="AC205" s="348">
        <f t="shared" si="84"/>
        <v>0</v>
      </c>
    </row>
    <row r="206" spans="1:29">
      <c r="A206" s="318"/>
      <c r="B206" s="319"/>
      <c r="C206" s="318"/>
      <c r="D206" s="318"/>
      <c r="E206" s="319"/>
      <c r="F206" s="319"/>
      <c r="G206" s="318" t="s">
        <v>1604</v>
      </c>
      <c r="H206" s="328">
        <v>4.49</v>
      </c>
      <c r="I206" s="318">
        <v>1</v>
      </c>
      <c r="J206" s="318">
        <f t="shared" si="76"/>
        <v>1</v>
      </c>
      <c r="K206" s="328">
        <f t="shared" si="77"/>
        <v>4.49</v>
      </c>
      <c r="L206" s="318">
        <v>1663</v>
      </c>
      <c r="M206" s="318">
        <v>152</v>
      </c>
      <c r="N206" s="318">
        <v>1</v>
      </c>
      <c r="O206" s="621">
        <f t="shared" si="78"/>
        <v>4.49</v>
      </c>
      <c r="P206" s="755">
        <v>1</v>
      </c>
      <c r="Q206" s="755">
        <f t="shared" si="79"/>
        <v>0</v>
      </c>
      <c r="R206" s="341">
        <v>1</v>
      </c>
      <c r="S206" s="318">
        <f t="shared" si="85"/>
        <v>4.49</v>
      </c>
      <c r="T206" s="319"/>
      <c r="V206" s="328">
        <f t="shared" si="86"/>
        <v>4.49</v>
      </c>
      <c r="W206" s="320">
        <v>1</v>
      </c>
      <c r="X206" s="328">
        <f t="shared" si="81"/>
        <v>4.49</v>
      </c>
      <c r="Y206" s="464">
        <v>1</v>
      </c>
      <c r="Z206" s="328">
        <f t="shared" si="82"/>
        <v>4.49</v>
      </c>
      <c r="AB206" s="458">
        <f t="shared" si="83"/>
        <v>0</v>
      </c>
      <c r="AC206" s="348">
        <f t="shared" si="84"/>
        <v>0</v>
      </c>
    </row>
    <row r="207" spans="1:29">
      <c r="A207" s="318"/>
      <c r="B207" s="319"/>
      <c r="C207" s="318"/>
      <c r="D207" s="318"/>
      <c r="E207" s="319"/>
      <c r="F207" s="319"/>
      <c r="G207" s="318" t="s">
        <v>1605</v>
      </c>
      <c r="H207" s="328">
        <v>4.3099999999999996</v>
      </c>
      <c r="I207" s="318">
        <v>1</v>
      </c>
      <c r="J207" s="318">
        <f t="shared" si="76"/>
        <v>1</v>
      </c>
      <c r="K207" s="328">
        <f t="shared" si="77"/>
        <v>4.3099999999999996</v>
      </c>
      <c r="L207" s="318">
        <v>1684</v>
      </c>
      <c r="M207" s="318">
        <v>154</v>
      </c>
      <c r="N207" s="318">
        <v>1</v>
      </c>
      <c r="O207" s="621">
        <f t="shared" si="78"/>
        <v>4.3099999999999996</v>
      </c>
      <c r="P207" s="755">
        <v>1</v>
      </c>
      <c r="Q207" s="755">
        <f t="shared" si="79"/>
        <v>0</v>
      </c>
      <c r="R207" s="341">
        <v>1</v>
      </c>
      <c r="S207" s="318">
        <f t="shared" si="85"/>
        <v>4.3099999999999996</v>
      </c>
      <c r="T207" s="319"/>
      <c r="V207" s="328">
        <f>4.297</f>
        <v>4.2969999999999997</v>
      </c>
      <c r="W207" s="320">
        <v>1</v>
      </c>
      <c r="X207" s="328">
        <f t="shared" si="81"/>
        <v>4.2969999999999997</v>
      </c>
      <c r="Y207" s="464">
        <v>1</v>
      </c>
      <c r="Z207" s="328">
        <f t="shared" si="82"/>
        <v>4.2969999999999997</v>
      </c>
      <c r="AB207" s="458">
        <f t="shared" si="83"/>
        <v>-1.2999999999999901E-2</v>
      </c>
      <c r="AC207" s="348">
        <f t="shared" si="84"/>
        <v>-1.2999999999999901E-2</v>
      </c>
    </row>
    <row r="208" spans="1:29">
      <c r="A208" s="318"/>
      <c r="B208" s="319"/>
      <c r="C208" s="318"/>
      <c r="D208" s="318"/>
      <c r="E208" s="319"/>
      <c r="F208" s="319"/>
      <c r="G208" s="318" t="s">
        <v>1606</v>
      </c>
      <c r="H208" s="328">
        <v>4.3099999999999996</v>
      </c>
      <c r="I208" s="318">
        <v>1</v>
      </c>
      <c r="J208" s="318">
        <f t="shared" si="76"/>
        <v>1</v>
      </c>
      <c r="K208" s="328">
        <f t="shared" si="77"/>
        <v>4.3099999999999996</v>
      </c>
      <c r="L208" s="318">
        <v>1684</v>
      </c>
      <c r="M208" s="318">
        <v>154</v>
      </c>
      <c r="N208" s="318">
        <v>1</v>
      </c>
      <c r="O208" s="621">
        <f t="shared" si="78"/>
        <v>4.3099999999999996</v>
      </c>
      <c r="P208" s="755">
        <v>1</v>
      </c>
      <c r="Q208" s="755">
        <f t="shared" si="79"/>
        <v>0</v>
      </c>
      <c r="R208" s="341">
        <v>1</v>
      </c>
      <c r="S208" s="318">
        <f t="shared" si="85"/>
        <v>4.3099999999999996</v>
      </c>
      <c r="T208" s="319"/>
      <c r="V208" s="328">
        <f>4.297</f>
        <v>4.2969999999999997</v>
      </c>
      <c r="W208" s="320">
        <v>1</v>
      </c>
      <c r="X208" s="328">
        <f t="shared" si="81"/>
        <v>4.2969999999999997</v>
      </c>
      <c r="Y208" s="464">
        <v>1</v>
      </c>
      <c r="Z208" s="328">
        <f t="shared" si="82"/>
        <v>4.2969999999999997</v>
      </c>
      <c r="AB208" s="458">
        <f t="shared" si="83"/>
        <v>-1.2999999999999901E-2</v>
      </c>
      <c r="AC208" s="348">
        <f t="shared" si="84"/>
        <v>-1.2999999999999901E-2</v>
      </c>
    </row>
    <row r="209" spans="1:29">
      <c r="A209" s="318"/>
      <c r="B209" s="319"/>
      <c r="C209" s="318"/>
      <c r="D209" s="318"/>
      <c r="E209" s="319"/>
      <c r="F209" s="336" t="s">
        <v>558</v>
      </c>
      <c r="G209" s="318" t="s">
        <v>1607</v>
      </c>
      <c r="H209" s="328">
        <v>2.4500000000000002</v>
      </c>
      <c r="I209" s="318">
        <v>1</v>
      </c>
      <c r="J209" s="318">
        <f t="shared" si="76"/>
        <v>1</v>
      </c>
      <c r="K209" s="328">
        <f t="shared" si="77"/>
        <v>2.4500000000000002</v>
      </c>
      <c r="L209" s="482" t="s">
        <v>3269</v>
      </c>
      <c r="M209" s="352" t="s">
        <v>3300</v>
      </c>
      <c r="N209" s="318">
        <v>1</v>
      </c>
      <c r="O209" s="621">
        <f t="shared" si="78"/>
        <v>2.4500000000000002</v>
      </c>
      <c r="P209" s="750">
        <v>1</v>
      </c>
      <c r="Q209" s="755">
        <f t="shared" si="79"/>
        <v>0</v>
      </c>
      <c r="R209" s="341">
        <v>1</v>
      </c>
      <c r="S209" s="318">
        <f t="shared" si="85"/>
        <v>2.4500000000000002</v>
      </c>
      <c r="T209" s="319"/>
      <c r="V209" s="328">
        <f>3.255+0.507</f>
        <v>3.762</v>
      </c>
      <c r="W209" s="320"/>
      <c r="X209" s="328">
        <f t="shared" si="81"/>
        <v>0</v>
      </c>
      <c r="Y209" s="320"/>
      <c r="Z209" s="328">
        <f t="shared" si="82"/>
        <v>0</v>
      </c>
      <c r="AB209" s="458">
        <f t="shared" si="83"/>
        <v>-2.4500000000000002</v>
      </c>
      <c r="AC209" s="348">
        <f t="shared" si="84"/>
        <v>-2.4500000000000002</v>
      </c>
    </row>
    <row r="210" spans="1:29">
      <c r="A210" s="318"/>
      <c r="B210" s="319"/>
      <c r="C210" s="318"/>
      <c r="D210" s="318"/>
      <c r="E210" s="319"/>
      <c r="F210" s="336" t="s">
        <v>558</v>
      </c>
      <c r="G210" s="318" t="s">
        <v>1608</v>
      </c>
      <c r="H210" s="328">
        <v>3.43</v>
      </c>
      <c r="I210" s="318">
        <v>1</v>
      </c>
      <c r="J210" s="318">
        <f t="shared" si="76"/>
        <v>1</v>
      </c>
      <c r="K210" s="328">
        <f t="shared" si="77"/>
        <v>3.43</v>
      </c>
      <c r="L210" s="482" t="s">
        <v>3232</v>
      </c>
      <c r="M210" s="350" t="s">
        <v>3241</v>
      </c>
      <c r="N210" s="318">
        <v>1</v>
      </c>
      <c r="O210" s="621">
        <f t="shared" si="78"/>
        <v>3.43</v>
      </c>
      <c r="P210" s="750">
        <v>1</v>
      </c>
      <c r="Q210" s="755">
        <f t="shared" si="79"/>
        <v>0</v>
      </c>
      <c r="R210" s="341">
        <v>1</v>
      </c>
      <c r="S210" s="318">
        <f t="shared" si="85"/>
        <v>3.43</v>
      </c>
      <c r="T210" s="319"/>
      <c r="V210" s="328">
        <f>2.44</f>
        <v>2.44</v>
      </c>
      <c r="W210" s="320"/>
      <c r="X210" s="328">
        <f t="shared" si="81"/>
        <v>0</v>
      </c>
      <c r="Y210" s="320"/>
      <c r="Z210" s="328">
        <f t="shared" si="82"/>
        <v>0</v>
      </c>
      <c r="AB210" s="458">
        <f t="shared" si="83"/>
        <v>-3.43</v>
      </c>
      <c r="AC210" s="348">
        <f t="shared" si="84"/>
        <v>-3.43</v>
      </c>
    </row>
    <row r="211" spans="1:29">
      <c r="A211" s="318"/>
      <c r="B211" s="319"/>
      <c r="C211" s="318"/>
      <c r="D211" s="318"/>
      <c r="E211" s="319"/>
      <c r="F211" s="319"/>
      <c r="G211" s="318" t="s">
        <v>1609</v>
      </c>
      <c r="H211" s="328">
        <v>4.24</v>
      </c>
      <c r="I211" s="318">
        <v>1</v>
      </c>
      <c r="J211" s="318">
        <f t="shared" si="76"/>
        <v>1</v>
      </c>
      <c r="K211" s="328">
        <f t="shared" si="77"/>
        <v>4.24</v>
      </c>
      <c r="L211" s="350" t="s">
        <v>3096</v>
      </c>
      <c r="M211" s="318">
        <v>153</v>
      </c>
      <c r="N211" s="318">
        <v>1</v>
      </c>
      <c r="O211" s="621">
        <f t="shared" si="78"/>
        <v>4.24</v>
      </c>
      <c r="P211" s="755">
        <v>1</v>
      </c>
      <c r="Q211" s="755">
        <f t="shared" si="79"/>
        <v>0</v>
      </c>
      <c r="R211" s="341">
        <v>1</v>
      </c>
      <c r="S211" s="318">
        <f t="shared" si="85"/>
        <v>4.24</v>
      </c>
      <c r="T211" s="319"/>
      <c r="V211" s="328">
        <v>4.2279999999999998</v>
      </c>
      <c r="W211" s="320">
        <v>1</v>
      </c>
      <c r="X211" s="328">
        <f t="shared" si="81"/>
        <v>4.2279999999999998</v>
      </c>
      <c r="Y211" s="320"/>
      <c r="Z211" s="328">
        <f t="shared" si="82"/>
        <v>0</v>
      </c>
      <c r="AB211" s="458">
        <f t="shared" si="83"/>
        <v>-1.2000000000000455E-2</v>
      </c>
      <c r="AC211" s="348">
        <f t="shared" si="84"/>
        <v>-4.24</v>
      </c>
    </row>
    <row r="212" spans="1:29">
      <c r="A212" s="318"/>
      <c r="B212" s="319"/>
      <c r="C212" s="318"/>
      <c r="D212" s="318"/>
      <c r="E212" s="319"/>
      <c r="F212" s="319"/>
      <c r="G212" s="318" t="s">
        <v>1610</v>
      </c>
      <c r="H212" s="328">
        <v>4.24</v>
      </c>
      <c r="I212" s="318">
        <v>1</v>
      </c>
      <c r="J212" s="318">
        <f t="shared" si="76"/>
        <v>1</v>
      </c>
      <c r="K212" s="328">
        <f t="shared" si="77"/>
        <v>4.24</v>
      </c>
      <c r="L212" s="350" t="s">
        <v>3096</v>
      </c>
      <c r="M212" s="318">
        <v>153</v>
      </c>
      <c r="N212" s="318">
        <v>1</v>
      </c>
      <c r="O212" s="621">
        <f t="shared" si="78"/>
        <v>4.24</v>
      </c>
      <c r="P212" s="755">
        <v>1</v>
      </c>
      <c r="Q212" s="755">
        <f t="shared" si="79"/>
        <v>0</v>
      </c>
      <c r="R212" s="341">
        <v>1</v>
      </c>
      <c r="S212" s="318">
        <f t="shared" si="85"/>
        <v>4.24</v>
      </c>
      <c r="T212" s="389"/>
      <c r="V212" s="328">
        <v>4.2290000000000001</v>
      </c>
      <c r="W212" s="320">
        <v>0.5</v>
      </c>
      <c r="X212" s="328">
        <f t="shared" si="81"/>
        <v>2.1145</v>
      </c>
      <c r="Y212" s="320"/>
      <c r="Z212" s="328">
        <f t="shared" si="82"/>
        <v>0</v>
      </c>
      <c r="AB212" s="458">
        <f t="shared" si="83"/>
        <v>-2.1255000000000002</v>
      </c>
      <c r="AC212" s="348">
        <f t="shared" si="84"/>
        <v>-4.24</v>
      </c>
    </row>
    <row r="213" spans="1:29">
      <c r="A213" s="318"/>
      <c r="B213" s="319"/>
      <c r="C213" s="318"/>
      <c r="D213" s="318"/>
      <c r="E213" s="319"/>
      <c r="F213" s="336"/>
      <c r="G213" s="318" t="s">
        <v>1611</v>
      </c>
      <c r="H213" s="328">
        <v>4.24</v>
      </c>
      <c r="I213" s="318">
        <v>1</v>
      </c>
      <c r="J213" s="318">
        <f t="shared" si="76"/>
        <v>1</v>
      </c>
      <c r="K213" s="328">
        <f t="shared" si="77"/>
        <v>4.24</v>
      </c>
      <c r="L213" s="350" t="s">
        <v>3096</v>
      </c>
      <c r="M213" s="318">
        <v>153</v>
      </c>
      <c r="N213" s="318">
        <v>1</v>
      </c>
      <c r="O213" s="621">
        <f t="shared" si="78"/>
        <v>4.24</v>
      </c>
      <c r="P213" s="755">
        <v>1</v>
      </c>
      <c r="Q213" s="755">
        <f t="shared" si="79"/>
        <v>0</v>
      </c>
      <c r="R213" s="341">
        <v>1</v>
      </c>
      <c r="S213" s="318">
        <f t="shared" si="85"/>
        <v>4.24</v>
      </c>
      <c r="T213" s="389"/>
      <c r="V213" s="328">
        <v>4.2290000000000001</v>
      </c>
      <c r="W213" s="320">
        <v>1</v>
      </c>
      <c r="X213" s="328">
        <f t="shared" si="81"/>
        <v>4.2290000000000001</v>
      </c>
      <c r="Y213" s="320"/>
      <c r="Z213" s="328">
        <f t="shared" si="82"/>
        <v>0</v>
      </c>
      <c r="AB213" s="458">
        <f t="shared" si="83"/>
        <v>-1.1000000000000121E-2</v>
      </c>
      <c r="AC213" s="348">
        <f t="shared" si="84"/>
        <v>-4.24</v>
      </c>
    </row>
    <row r="214" spans="1:29" ht="14.4" customHeight="1">
      <c r="A214" s="318"/>
      <c r="B214" s="319"/>
      <c r="C214" s="318"/>
      <c r="D214" s="318"/>
      <c r="E214" s="319"/>
      <c r="F214" s="336"/>
      <c r="G214" s="318" t="s">
        <v>1612</v>
      </c>
      <c r="H214" s="328">
        <v>4.24</v>
      </c>
      <c r="I214" s="318">
        <v>1</v>
      </c>
      <c r="J214" s="318">
        <f t="shared" si="76"/>
        <v>1</v>
      </c>
      <c r="K214" s="328">
        <f t="shared" si="77"/>
        <v>4.24</v>
      </c>
      <c r="L214" s="350" t="s">
        <v>3174</v>
      </c>
      <c r="M214" s="318">
        <v>194</v>
      </c>
      <c r="N214" s="318">
        <v>1</v>
      </c>
      <c r="O214" s="621">
        <f t="shared" si="78"/>
        <v>4.24</v>
      </c>
      <c r="P214" s="755">
        <v>1</v>
      </c>
      <c r="Q214" s="755">
        <f t="shared" si="79"/>
        <v>0</v>
      </c>
      <c r="R214" s="341">
        <v>1</v>
      </c>
      <c r="S214" s="318">
        <f t="shared" si="85"/>
        <v>4.24</v>
      </c>
      <c r="T214" s="388"/>
      <c r="V214" s="328">
        <v>4.2290000000000001</v>
      </c>
      <c r="W214" s="458"/>
      <c r="X214" s="328">
        <f t="shared" si="81"/>
        <v>0</v>
      </c>
      <c r="Y214" s="320"/>
      <c r="Z214" s="328">
        <f t="shared" si="82"/>
        <v>0</v>
      </c>
      <c r="AB214" s="458">
        <f t="shared" si="83"/>
        <v>-4.24</v>
      </c>
      <c r="AC214" s="348">
        <f t="shared" si="84"/>
        <v>-4.24</v>
      </c>
    </row>
    <row r="215" spans="1:29" ht="15.6">
      <c r="A215" s="318"/>
      <c r="B215" s="319"/>
      <c r="C215" s="318"/>
      <c r="D215" s="318"/>
      <c r="E215" s="319"/>
      <c r="F215" s="336" t="s">
        <v>558</v>
      </c>
      <c r="G215" s="649" t="s">
        <v>1613</v>
      </c>
      <c r="H215" s="328">
        <v>4.2</v>
      </c>
      <c r="I215" s="318">
        <v>1</v>
      </c>
      <c r="J215" s="318">
        <f t="shared" si="76"/>
        <v>1</v>
      </c>
      <c r="K215" s="328">
        <f t="shared" si="77"/>
        <v>4.2</v>
      </c>
      <c r="L215" s="572" t="s">
        <v>3231</v>
      </c>
      <c r="M215" s="350" t="s">
        <v>3241</v>
      </c>
      <c r="N215" s="318">
        <v>1</v>
      </c>
      <c r="O215" s="621">
        <f t="shared" si="78"/>
        <v>4.2</v>
      </c>
      <c r="P215" s="755">
        <v>1</v>
      </c>
      <c r="Q215" s="755">
        <f t="shared" si="79"/>
        <v>0</v>
      </c>
      <c r="R215" s="341">
        <v>1</v>
      </c>
      <c r="S215" s="318">
        <f t="shared" si="85"/>
        <v>4.2</v>
      </c>
      <c r="T215" s="583" t="s">
        <v>3211</v>
      </c>
      <c r="V215" s="328">
        <f>4.072</f>
        <v>4.0720000000000001</v>
      </c>
      <c r="W215" s="458"/>
      <c r="X215" s="328">
        <f t="shared" si="81"/>
        <v>0</v>
      </c>
      <c r="Y215" s="320"/>
      <c r="Z215" s="328">
        <f t="shared" si="82"/>
        <v>0</v>
      </c>
      <c r="AB215" s="458">
        <f t="shared" si="83"/>
        <v>-4.2</v>
      </c>
      <c r="AC215" s="348">
        <f t="shared" si="84"/>
        <v>-4.2</v>
      </c>
    </row>
    <row r="216" spans="1:29" ht="15.6">
      <c r="A216" s="318"/>
      <c r="B216" s="319"/>
      <c r="C216" s="318"/>
      <c r="D216" s="318"/>
      <c r="E216" s="319"/>
      <c r="F216" s="336" t="s">
        <v>558</v>
      </c>
      <c r="G216" s="649" t="s">
        <v>1614</v>
      </c>
      <c r="H216" s="328">
        <v>4.08</v>
      </c>
      <c r="I216" s="318">
        <v>1</v>
      </c>
      <c r="J216" s="318">
        <f t="shared" si="76"/>
        <v>1</v>
      </c>
      <c r="K216" s="328">
        <f t="shared" si="77"/>
        <v>4.08</v>
      </c>
      <c r="L216" s="572" t="s">
        <v>3231</v>
      </c>
      <c r="M216" s="350" t="s">
        <v>3241</v>
      </c>
      <c r="N216" s="318">
        <v>1</v>
      </c>
      <c r="O216" s="621">
        <f t="shared" si="78"/>
        <v>4.08</v>
      </c>
      <c r="P216" s="755">
        <v>1</v>
      </c>
      <c r="Q216" s="755">
        <f t="shared" si="79"/>
        <v>0</v>
      </c>
      <c r="R216" s="341">
        <v>1</v>
      </c>
      <c r="S216" s="318">
        <f t="shared" si="85"/>
        <v>4.08</v>
      </c>
      <c r="T216" s="583" t="s">
        <v>3211</v>
      </c>
      <c r="V216" s="328">
        <f>4.072</f>
        <v>4.0720000000000001</v>
      </c>
      <c r="W216" s="458"/>
      <c r="X216" s="328">
        <f t="shared" si="81"/>
        <v>0</v>
      </c>
      <c r="Y216" s="320"/>
      <c r="Z216" s="328">
        <f t="shared" si="82"/>
        <v>0</v>
      </c>
      <c r="AB216" s="458">
        <f t="shared" si="83"/>
        <v>-4.08</v>
      </c>
      <c r="AC216" s="348">
        <f t="shared" si="84"/>
        <v>-4.08</v>
      </c>
    </row>
    <row r="217" spans="1:29">
      <c r="A217" s="318"/>
      <c r="B217" s="319"/>
      <c r="C217" s="318"/>
      <c r="D217" s="318"/>
      <c r="E217" s="319"/>
      <c r="F217" s="319"/>
      <c r="G217" s="318" t="s">
        <v>1615</v>
      </c>
      <c r="H217" s="328">
        <v>3.26</v>
      </c>
      <c r="I217" s="318">
        <v>1</v>
      </c>
      <c r="J217" s="318">
        <f t="shared" si="76"/>
        <v>1</v>
      </c>
      <c r="K217" s="328">
        <f t="shared" si="77"/>
        <v>3.26</v>
      </c>
      <c r="L217" s="318">
        <v>1684</v>
      </c>
      <c r="M217" s="318">
        <v>154</v>
      </c>
      <c r="N217" s="318">
        <v>1</v>
      </c>
      <c r="O217" s="621">
        <f t="shared" si="78"/>
        <v>3.26</v>
      </c>
      <c r="P217" s="755">
        <v>1</v>
      </c>
      <c r="Q217" s="755">
        <f t="shared" si="79"/>
        <v>0</v>
      </c>
      <c r="R217" s="341">
        <v>1</v>
      </c>
      <c r="S217" s="318">
        <f t="shared" si="85"/>
        <v>3.26</v>
      </c>
      <c r="T217" s="609" t="s">
        <v>3427</v>
      </c>
      <c r="V217" s="328">
        <f>3.254</f>
        <v>3.254</v>
      </c>
      <c r="W217" s="320">
        <v>1</v>
      </c>
      <c r="X217" s="328">
        <f t="shared" si="81"/>
        <v>3.254</v>
      </c>
      <c r="Y217" s="464">
        <v>1</v>
      </c>
      <c r="Z217" s="328">
        <f t="shared" si="82"/>
        <v>3.254</v>
      </c>
      <c r="AB217" s="458">
        <f t="shared" si="83"/>
        <v>-5.9999999999997833E-3</v>
      </c>
      <c r="AC217" s="348">
        <f t="shared" si="84"/>
        <v>-5.9999999999997833E-3</v>
      </c>
    </row>
    <row r="218" spans="1:29">
      <c r="A218" s="318"/>
      <c r="B218" s="319"/>
      <c r="C218" s="318"/>
      <c r="D218" s="318"/>
      <c r="E218" s="319"/>
      <c r="F218" s="319"/>
      <c r="G218" s="318" t="s">
        <v>1616</v>
      </c>
      <c r="H218" s="328">
        <v>3.26</v>
      </c>
      <c r="I218" s="318">
        <v>1</v>
      </c>
      <c r="J218" s="318">
        <f t="shared" si="76"/>
        <v>1</v>
      </c>
      <c r="K218" s="328">
        <f t="shared" si="77"/>
        <v>3.26</v>
      </c>
      <c r="L218" s="318">
        <v>1678</v>
      </c>
      <c r="M218" s="318">
        <v>153</v>
      </c>
      <c r="N218" s="318">
        <v>1</v>
      </c>
      <c r="O218" s="621">
        <f t="shared" si="78"/>
        <v>3.26</v>
      </c>
      <c r="P218" s="755">
        <v>1</v>
      </c>
      <c r="Q218" s="755">
        <f t="shared" si="79"/>
        <v>0</v>
      </c>
      <c r="R218" s="341">
        <v>1</v>
      </c>
      <c r="S218" s="318">
        <f t="shared" si="85"/>
        <v>3.26</v>
      </c>
      <c r="T218" s="609" t="s">
        <v>3427</v>
      </c>
      <c r="V218" s="328">
        <f>3.254</f>
        <v>3.254</v>
      </c>
      <c r="W218" s="320">
        <v>1</v>
      </c>
      <c r="X218" s="328">
        <f t="shared" si="81"/>
        <v>3.254</v>
      </c>
      <c r="Y218" s="464">
        <v>1</v>
      </c>
      <c r="Z218" s="328">
        <f t="shared" si="82"/>
        <v>3.254</v>
      </c>
      <c r="AB218" s="458">
        <f t="shared" si="83"/>
        <v>-5.9999999999997833E-3</v>
      </c>
      <c r="AC218" s="348">
        <f t="shared" si="84"/>
        <v>-5.9999999999997833E-3</v>
      </c>
    </row>
    <row r="219" spans="1:29">
      <c r="A219" s="318"/>
      <c r="B219" s="319"/>
      <c r="C219" s="318"/>
      <c r="D219" s="318"/>
      <c r="E219" s="319"/>
      <c r="F219" s="336"/>
      <c r="G219" s="318" t="s">
        <v>1617</v>
      </c>
      <c r="H219" s="328">
        <v>4.49</v>
      </c>
      <c r="I219" s="318">
        <v>1</v>
      </c>
      <c r="J219" s="318">
        <f t="shared" si="76"/>
        <v>1</v>
      </c>
      <c r="K219" s="328">
        <f t="shared" si="77"/>
        <v>4.49</v>
      </c>
      <c r="L219" s="318">
        <v>1674</v>
      </c>
      <c r="M219" s="318">
        <v>153</v>
      </c>
      <c r="N219" s="318">
        <v>1</v>
      </c>
      <c r="O219" s="621">
        <f t="shared" si="78"/>
        <v>4.49</v>
      </c>
      <c r="P219" s="755">
        <v>1</v>
      </c>
      <c r="Q219" s="755">
        <f t="shared" si="79"/>
        <v>0</v>
      </c>
      <c r="R219" s="341">
        <v>1</v>
      </c>
      <c r="S219" s="318">
        <f t="shared" si="85"/>
        <v>4.49</v>
      </c>
      <c r="T219" s="609" t="s">
        <v>3427</v>
      </c>
      <c r="V219" s="328">
        <f t="shared" ref="V219:V235" si="87">4.49</f>
        <v>4.49</v>
      </c>
      <c r="W219" s="320">
        <v>1</v>
      </c>
      <c r="X219" s="328">
        <f t="shared" si="81"/>
        <v>4.49</v>
      </c>
      <c r="Y219" s="464">
        <v>1</v>
      </c>
      <c r="Z219" s="328">
        <f t="shared" si="82"/>
        <v>4.49</v>
      </c>
      <c r="AB219" s="458">
        <f t="shared" si="83"/>
        <v>0</v>
      </c>
      <c r="AC219" s="348">
        <f t="shared" si="84"/>
        <v>0</v>
      </c>
    </row>
    <row r="220" spans="1:29">
      <c r="A220" s="318"/>
      <c r="B220" s="319"/>
      <c r="C220" s="318"/>
      <c r="D220" s="318"/>
      <c r="E220" s="319"/>
      <c r="F220" s="336"/>
      <c r="G220" s="318" t="s">
        <v>1618</v>
      </c>
      <c r="H220" s="328">
        <v>4.49</v>
      </c>
      <c r="I220" s="318">
        <v>1</v>
      </c>
      <c r="J220" s="318">
        <f t="shared" si="76"/>
        <v>1</v>
      </c>
      <c r="K220" s="328">
        <f t="shared" si="77"/>
        <v>4.49</v>
      </c>
      <c r="L220" s="318">
        <v>1674</v>
      </c>
      <c r="M220" s="318">
        <v>153</v>
      </c>
      <c r="N220" s="318">
        <v>1</v>
      </c>
      <c r="O220" s="621">
        <f t="shared" si="78"/>
        <v>4.49</v>
      </c>
      <c r="P220" s="755">
        <v>1</v>
      </c>
      <c r="Q220" s="755">
        <f t="shared" si="79"/>
        <v>0</v>
      </c>
      <c r="R220" s="341">
        <v>1</v>
      </c>
      <c r="S220" s="318">
        <f t="shared" si="85"/>
        <v>4.49</v>
      </c>
      <c r="T220" s="609" t="s">
        <v>3427</v>
      </c>
      <c r="V220" s="328">
        <f t="shared" si="87"/>
        <v>4.49</v>
      </c>
      <c r="W220" s="320">
        <v>1</v>
      </c>
      <c r="X220" s="328">
        <f t="shared" si="81"/>
        <v>4.49</v>
      </c>
      <c r="Y220" s="464">
        <v>1</v>
      </c>
      <c r="Z220" s="328">
        <f t="shared" si="82"/>
        <v>4.49</v>
      </c>
      <c r="AB220" s="458">
        <f t="shared" si="83"/>
        <v>0</v>
      </c>
      <c r="AC220" s="348">
        <f t="shared" si="84"/>
        <v>0</v>
      </c>
    </row>
    <row r="221" spans="1:29">
      <c r="A221" s="318"/>
      <c r="B221" s="319"/>
      <c r="C221" s="318"/>
      <c r="D221" s="318"/>
      <c r="E221" s="319"/>
      <c r="F221" s="336"/>
      <c r="G221" s="318" t="s">
        <v>1619</v>
      </c>
      <c r="H221" s="328">
        <v>4.49</v>
      </c>
      <c r="I221" s="318">
        <v>1</v>
      </c>
      <c r="J221" s="318">
        <f t="shared" si="76"/>
        <v>1</v>
      </c>
      <c r="K221" s="328">
        <f t="shared" si="77"/>
        <v>4.49</v>
      </c>
      <c r="L221" s="318">
        <v>1674</v>
      </c>
      <c r="M221" s="318">
        <v>153</v>
      </c>
      <c r="N221" s="318">
        <v>1</v>
      </c>
      <c r="O221" s="621">
        <f t="shared" si="78"/>
        <v>4.49</v>
      </c>
      <c r="P221" s="755">
        <v>1</v>
      </c>
      <c r="Q221" s="755">
        <f t="shared" si="79"/>
        <v>0</v>
      </c>
      <c r="R221" s="341">
        <v>1</v>
      </c>
      <c r="S221" s="318">
        <f t="shared" si="85"/>
        <v>4.49</v>
      </c>
      <c r="T221" s="609" t="s">
        <v>3427</v>
      </c>
      <c r="V221" s="328">
        <f t="shared" si="87"/>
        <v>4.49</v>
      </c>
      <c r="W221" s="320">
        <v>1</v>
      </c>
      <c r="X221" s="328">
        <f t="shared" si="81"/>
        <v>4.49</v>
      </c>
      <c r="Y221" s="464">
        <v>1</v>
      </c>
      <c r="Z221" s="328">
        <f t="shared" si="82"/>
        <v>4.49</v>
      </c>
      <c r="AB221" s="458">
        <f t="shared" si="83"/>
        <v>0</v>
      </c>
      <c r="AC221" s="348">
        <f t="shared" si="84"/>
        <v>0</v>
      </c>
    </row>
    <row r="222" spans="1:29">
      <c r="A222" s="318"/>
      <c r="B222" s="319"/>
      <c r="C222" s="318"/>
      <c r="D222" s="318"/>
      <c r="E222" s="319"/>
      <c r="F222" s="336"/>
      <c r="G222" s="318" t="s">
        <v>1620</v>
      </c>
      <c r="H222" s="328">
        <v>4.49</v>
      </c>
      <c r="I222" s="318">
        <v>1</v>
      </c>
      <c r="J222" s="318">
        <f t="shared" si="76"/>
        <v>1</v>
      </c>
      <c r="K222" s="328">
        <f t="shared" si="77"/>
        <v>4.49</v>
      </c>
      <c r="L222" s="318" t="s">
        <v>2295</v>
      </c>
      <c r="M222" s="318">
        <v>154</v>
      </c>
      <c r="N222" s="318">
        <v>1</v>
      </c>
      <c r="O222" s="621">
        <f t="shared" si="78"/>
        <v>4.49</v>
      </c>
      <c r="P222" s="755">
        <v>1</v>
      </c>
      <c r="Q222" s="755">
        <f t="shared" si="79"/>
        <v>0</v>
      </c>
      <c r="R222" s="341">
        <v>1</v>
      </c>
      <c r="S222" s="318">
        <f t="shared" si="85"/>
        <v>4.49</v>
      </c>
      <c r="T222" s="609" t="s">
        <v>3427</v>
      </c>
      <c r="V222" s="328">
        <f t="shared" si="87"/>
        <v>4.49</v>
      </c>
      <c r="W222" s="320">
        <v>1</v>
      </c>
      <c r="X222" s="328">
        <f t="shared" si="81"/>
        <v>4.49</v>
      </c>
      <c r="Y222" s="464">
        <v>1</v>
      </c>
      <c r="Z222" s="328">
        <f t="shared" si="82"/>
        <v>4.49</v>
      </c>
      <c r="AB222" s="458">
        <f t="shared" si="83"/>
        <v>0</v>
      </c>
      <c r="AC222" s="348">
        <f t="shared" si="84"/>
        <v>0</v>
      </c>
    </row>
    <row r="223" spans="1:29">
      <c r="A223" s="318"/>
      <c r="B223" s="319"/>
      <c r="C223" s="318"/>
      <c r="D223" s="318"/>
      <c r="E223" s="319"/>
      <c r="F223" s="336"/>
      <c r="G223" s="318" t="s">
        <v>1621</v>
      </c>
      <c r="H223" s="328">
        <v>4.49</v>
      </c>
      <c r="I223" s="318">
        <v>1</v>
      </c>
      <c r="J223" s="318">
        <f t="shared" si="76"/>
        <v>1</v>
      </c>
      <c r="K223" s="328">
        <f t="shared" si="77"/>
        <v>4.49</v>
      </c>
      <c r="L223" s="350" t="s">
        <v>2299</v>
      </c>
      <c r="M223" s="349">
        <v>157159</v>
      </c>
      <c r="N223" s="318">
        <v>1</v>
      </c>
      <c r="O223" s="621">
        <f t="shared" si="78"/>
        <v>4.49</v>
      </c>
      <c r="P223" s="755">
        <v>1</v>
      </c>
      <c r="Q223" s="755">
        <f t="shared" si="79"/>
        <v>0</v>
      </c>
      <c r="R223" s="341">
        <v>1</v>
      </c>
      <c r="S223" s="318">
        <f t="shared" si="85"/>
        <v>4.49</v>
      </c>
      <c r="T223" s="609" t="s">
        <v>3427</v>
      </c>
      <c r="V223" s="328">
        <f t="shared" si="87"/>
        <v>4.49</v>
      </c>
      <c r="W223" s="320">
        <v>1</v>
      </c>
      <c r="X223" s="328">
        <f t="shared" ref="X223:X244" si="88">V223*W223</f>
        <v>4.49</v>
      </c>
      <c r="Y223" s="464">
        <v>1</v>
      </c>
      <c r="Z223" s="328">
        <f t="shared" ref="Z223:Z244" si="89">V223*Y223</f>
        <v>4.49</v>
      </c>
      <c r="AB223" s="458">
        <f t="shared" ref="AB223:AB244" si="90">X223-O223</f>
        <v>0</v>
      </c>
      <c r="AC223" s="348">
        <f t="shared" si="84"/>
        <v>0</v>
      </c>
    </row>
    <row r="224" spans="1:29">
      <c r="A224" s="318"/>
      <c r="B224" s="319"/>
      <c r="C224" s="318"/>
      <c r="D224" s="318"/>
      <c r="E224" s="319"/>
      <c r="F224" s="336"/>
      <c r="G224" s="318" t="s">
        <v>1622</v>
      </c>
      <c r="H224" s="328">
        <v>4.49</v>
      </c>
      <c r="I224" s="318">
        <v>1</v>
      </c>
      <c r="J224" s="318">
        <f t="shared" si="76"/>
        <v>1</v>
      </c>
      <c r="K224" s="328">
        <f t="shared" si="77"/>
        <v>4.49</v>
      </c>
      <c r="L224" s="318" t="s">
        <v>366</v>
      </c>
      <c r="M224" s="318">
        <v>154</v>
      </c>
      <c r="N224" s="318">
        <v>1</v>
      </c>
      <c r="O224" s="621">
        <f t="shared" si="78"/>
        <v>4.49</v>
      </c>
      <c r="P224" s="755">
        <v>1</v>
      </c>
      <c r="Q224" s="755">
        <f t="shared" si="79"/>
        <v>0</v>
      </c>
      <c r="R224" s="341">
        <v>1</v>
      </c>
      <c r="S224" s="318">
        <f t="shared" si="85"/>
        <v>4.49</v>
      </c>
      <c r="T224" s="609" t="s">
        <v>3427</v>
      </c>
      <c r="V224" s="328">
        <f t="shared" si="87"/>
        <v>4.49</v>
      </c>
      <c r="W224" s="320">
        <v>1</v>
      </c>
      <c r="X224" s="328">
        <f t="shared" si="88"/>
        <v>4.49</v>
      </c>
      <c r="Y224" s="464">
        <v>1</v>
      </c>
      <c r="Z224" s="328">
        <f t="shared" si="89"/>
        <v>4.49</v>
      </c>
      <c r="AB224" s="458">
        <f t="shared" si="90"/>
        <v>0</v>
      </c>
      <c r="AC224" s="348">
        <f t="shared" si="84"/>
        <v>0</v>
      </c>
    </row>
    <row r="225" spans="1:29">
      <c r="A225" s="318"/>
      <c r="B225" s="319"/>
      <c r="C225" s="318"/>
      <c r="D225" s="318"/>
      <c r="E225" s="319"/>
      <c r="F225" s="336"/>
      <c r="G225" s="318" t="s">
        <v>1623</v>
      </c>
      <c r="H225" s="328">
        <v>4.49</v>
      </c>
      <c r="I225" s="318">
        <v>1</v>
      </c>
      <c r="J225" s="318">
        <f t="shared" si="76"/>
        <v>1</v>
      </c>
      <c r="K225" s="328">
        <f t="shared" si="77"/>
        <v>4.49</v>
      </c>
      <c r="L225" s="318">
        <v>1684</v>
      </c>
      <c r="M225" s="318">
        <v>154</v>
      </c>
      <c r="N225" s="318">
        <v>1</v>
      </c>
      <c r="O225" s="621">
        <f t="shared" si="78"/>
        <v>4.49</v>
      </c>
      <c r="P225" s="755">
        <v>1</v>
      </c>
      <c r="Q225" s="755">
        <f t="shared" si="79"/>
        <v>0</v>
      </c>
      <c r="R225" s="341">
        <v>1</v>
      </c>
      <c r="S225" s="318">
        <f t="shared" si="85"/>
        <v>4.49</v>
      </c>
      <c r="T225" s="609" t="s">
        <v>3427</v>
      </c>
      <c r="V225" s="328">
        <f t="shared" si="87"/>
        <v>4.49</v>
      </c>
      <c r="W225" s="320">
        <v>1</v>
      </c>
      <c r="X225" s="328">
        <f t="shared" si="88"/>
        <v>4.49</v>
      </c>
      <c r="Y225" s="464">
        <v>1</v>
      </c>
      <c r="Z225" s="328">
        <f t="shared" si="89"/>
        <v>4.49</v>
      </c>
      <c r="AB225" s="458">
        <f t="shared" si="90"/>
        <v>0</v>
      </c>
      <c r="AC225" s="348">
        <f t="shared" si="84"/>
        <v>0</v>
      </c>
    </row>
    <row r="226" spans="1:29">
      <c r="A226" s="318"/>
      <c r="B226" s="319"/>
      <c r="C226" s="318"/>
      <c r="D226" s="318"/>
      <c r="E226" s="319"/>
      <c r="F226" s="336"/>
      <c r="G226" s="318" t="s">
        <v>1624</v>
      </c>
      <c r="H226" s="328">
        <v>4.49</v>
      </c>
      <c r="I226" s="318">
        <v>1</v>
      </c>
      <c r="J226" s="318">
        <f t="shared" si="76"/>
        <v>1</v>
      </c>
      <c r="K226" s="328">
        <f t="shared" si="77"/>
        <v>4.49</v>
      </c>
      <c r="L226" s="318">
        <v>1481</v>
      </c>
      <c r="M226" s="318">
        <v>121</v>
      </c>
      <c r="N226" s="318">
        <v>1</v>
      </c>
      <c r="O226" s="621">
        <f t="shared" si="78"/>
        <v>4.49</v>
      </c>
      <c r="P226" s="755">
        <v>1</v>
      </c>
      <c r="Q226" s="755">
        <f t="shared" si="79"/>
        <v>0</v>
      </c>
      <c r="R226" s="341">
        <v>1</v>
      </c>
      <c r="S226" s="318">
        <f t="shared" si="85"/>
        <v>4.49</v>
      </c>
      <c r="T226" s="389"/>
      <c r="V226" s="328">
        <f t="shared" si="87"/>
        <v>4.49</v>
      </c>
      <c r="W226" s="320">
        <v>1</v>
      </c>
      <c r="X226" s="328">
        <f t="shared" si="88"/>
        <v>4.49</v>
      </c>
      <c r="Y226" s="464">
        <v>1</v>
      </c>
      <c r="Z226" s="328">
        <f t="shared" si="89"/>
        <v>4.49</v>
      </c>
      <c r="AB226" s="458">
        <f t="shared" si="90"/>
        <v>0</v>
      </c>
      <c r="AC226" s="348">
        <f t="shared" si="84"/>
        <v>0</v>
      </c>
    </row>
    <row r="227" spans="1:29" ht="15" thickBot="1">
      <c r="A227" s="318"/>
      <c r="B227" s="319"/>
      <c r="C227" s="318"/>
      <c r="D227" s="318"/>
      <c r="E227" s="319"/>
      <c r="F227" s="336"/>
      <c r="G227" s="318" t="s">
        <v>1625</v>
      </c>
      <c r="H227" s="328">
        <v>4.49</v>
      </c>
      <c r="I227" s="318">
        <v>1</v>
      </c>
      <c r="J227" s="318">
        <f t="shared" si="76"/>
        <v>1</v>
      </c>
      <c r="K227" s="328">
        <f t="shared" si="77"/>
        <v>4.49</v>
      </c>
      <c r="L227" s="318">
        <v>1481</v>
      </c>
      <c r="M227" s="318">
        <v>121</v>
      </c>
      <c r="N227" s="318">
        <v>1</v>
      </c>
      <c r="O227" s="621">
        <f t="shared" si="78"/>
        <v>4.49</v>
      </c>
      <c r="P227" s="755">
        <v>1</v>
      </c>
      <c r="Q227" s="755">
        <f t="shared" si="79"/>
        <v>0</v>
      </c>
      <c r="R227" s="341">
        <v>1</v>
      </c>
      <c r="S227" s="318">
        <f t="shared" si="85"/>
        <v>4.49</v>
      </c>
      <c r="T227" s="319"/>
      <c r="V227" s="328">
        <f t="shared" si="87"/>
        <v>4.49</v>
      </c>
      <c r="W227" s="320">
        <v>1</v>
      </c>
      <c r="X227" s="328">
        <f t="shared" si="88"/>
        <v>4.49</v>
      </c>
      <c r="Y227" s="464">
        <v>1</v>
      </c>
      <c r="Z227" s="328">
        <f t="shared" si="89"/>
        <v>4.49</v>
      </c>
      <c r="AB227" s="458">
        <f t="shared" si="90"/>
        <v>0</v>
      </c>
      <c r="AC227" s="348">
        <f t="shared" si="84"/>
        <v>0</v>
      </c>
    </row>
    <row r="228" spans="1:29" ht="15.6" thickTop="1" thickBot="1">
      <c r="A228" s="318"/>
      <c r="B228" s="319"/>
      <c r="C228" s="318"/>
      <c r="D228" s="318"/>
      <c r="E228" s="319"/>
      <c r="F228" s="336"/>
      <c r="G228" s="652" t="s">
        <v>1626</v>
      </c>
      <c r="H228" s="328">
        <v>4.49</v>
      </c>
      <c r="I228" s="318">
        <v>1</v>
      </c>
      <c r="J228" s="318">
        <v>1</v>
      </c>
      <c r="K228" s="328">
        <f t="shared" si="77"/>
        <v>4.49</v>
      </c>
      <c r="L228" s="318"/>
      <c r="M228" s="318"/>
      <c r="N228" s="318"/>
      <c r="O228" s="621">
        <f t="shared" si="78"/>
        <v>0</v>
      </c>
      <c r="P228" s="755"/>
      <c r="Q228" s="764"/>
      <c r="R228" s="627"/>
      <c r="S228" s="622">
        <f t="shared" ref="S228:S234" si="91">H228*R228</f>
        <v>0</v>
      </c>
      <c r="T228" s="319" t="s">
        <v>3351</v>
      </c>
      <c r="V228" s="328">
        <f t="shared" si="87"/>
        <v>4.49</v>
      </c>
      <c r="W228" s="320"/>
      <c r="X228" s="328">
        <f t="shared" si="88"/>
        <v>0</v>
      </c>
      <c r="Y228" s="320"/>
      <c r="Z228" s="328">
        <f t="shared" si="89"/>
        <v>0</v>
      </c>
      <c r="AB228" s="458">
        <f t="shared" si="90"/>
        <v>0</v>
      </c>
      <c r="AC228" s="348">
        <f t="shared" si="84"/>
        <v>0</v>
      </c>
    </row>
    <row r="229" spans="1:29" ht="15.6" thickTop="1" thickBot="1">
      <c r="A229" s="318"/>
      <c r="B229" s="319"/>
      <c r="C229" s="318"/>
      <c r="D229" s="318"/>
      <c r="E229" s="319"/>
      <c r="F229" s="336"/>
      <c r="G229" s="652" t="s">
        <v>1627</v>
      </c>
      <c r="H229" s="328">
        <v>4.49</v>
      </c>
      <c r="I229" s="318">
        <v>1</v>
      </c>
      <c r="J229" s="318">
        <v>1</v>
      </c>
      <c r="K229" s="328">
        <f t="shared" si="77"/>
        <v>4.49</v>
      </c>
      <c r="L229" s="318"/>
      <c r="M229" s="318"/>
      <c r="N229" s="318"/>
      <c r="O229" s="621">
        <f t="shared" si="78"/>
        <v>0</v>
      </c>
      <c r="P229" s="755"/>
      <c r="Q229" s="764"/>
      <c r="R229" s="627"/>
      <c r="S229" s="622">
        <f t="shared" si="91"/>
        <v>0</v>
      </c>
      <c r="T229" s="319" t="s">
        <v>3351</v>
      </c>
      <c r="V229" s="328">
        <f t="shared" si="87"/>
        <v>4.49</v>
      </c>
      <c r="W229" s="320"/>
      <c r="X229" s="328">
        <f t="shared" si="88"/>
        <v>0</v>
      </c>
      <c r="Y229" s="320"/>
      <c r="Z229" s="328">
        <f t="shared" si="89"/>
        <v>0</v>
      </c>
      <c r="AB229" s="458">
        <f t="shared" si="90"/>
        <v>0</v>
      </c>
      <c r="AC229" s="348">
        <f t="shared" si="84"/>
        <v>0</v>
      </c>
    </row>
    <row r="230" spans="1:29" ht="15.6" thickTop="1" thickBot="1">
      <c r="A230" s="318"/>
      <c r="B230" s="319"/>
      <c r="C230" s="318"/>
      <c r="D230" s="318"/>
      <c r="E230" s="319"/>
      <c r="F230" s="336"/>
      <c r="G230" s="652" t="s">
        <v>1628</v>
      </c>
      <c r="H230" s="328">
        <v>4.49</v>
      </c>
      <c r="I230" s="318">
        <v>1</v>
      </c>
      <c r="J230" s="318">
        <v>1</v>
      </c>
      <c r="K230" s="328">
        <f t="shared" si="77"/>
        <v>4.49</v>
      </c>
      <c r="L230" s="318"/>
      <c r="M230" s="318"/>
      <c r="N230" s="318"/>
      <c r="O230" s="621">
        <f t="shared" si="78"/>
        <v>0</v>
      </c>
      <c r="P230" s="755"/>
      <c r="Q230" s="764"/>
      <c r="R230" s="627"/>
      <c r="S230" s="622">
        <f t="shared" si="91"/>
        <v>0</v>
      </c>
      <c r="T230" s="319" t="s">
        <v>3351</v>
      </c>
      <c r="V230" s="328">
        <f t="shared" si="87"/>
        <v>4.49</v>
      </c>
      <c r="W230" s="320"/>
      <c r="X230" s="328">
        <f t="shared" si="88"/>
        <v>0</v>
      </c>
      <c r="Y230" s="320"/>
      <c r="Z230" s="328">
        <f t="shared" si="89"/>
        <v>0</v>
      </c>
      <c r="AB230" s="458">
        <f t="shared" si="90"/>
        <v>0</v>
      </c>
      <c r="AC230" s="348">
        <f t="shared" si="84"/>
        <v>0</v>
      </c>
    </row>
    <row r="231" spans="1:29" ht="15.6" thickTop="1" thickBot="1">
      <c r="A231" s="318"/>
      <c r="B231" s="319"/>
      <c r="C231" s="318"/>
      <c r="D231" s="318"/>
      <c r="E231" s="319"/>
      <c r="F231" s="336"/>
      <c r="G231" s="652" t="s">
        <v>1629</v>
      </c>
      <c r="H231" s="328">
        <v>4.49</v>
      </c>
      <c r="I231" s="318">
        <v>1</v>
      </c>
      <c r="J231" s="318">
        <v>1</v>
      </c>
      <c r="K231" s="328">
        <f t="shared" si="77"/>
        <v>4.49</v>
      </c>
      <c r="L231" s="318"/>
      <c r="M231" s="318"/>
      <c r="N231" s="318"/>
      <c r="O231" s="621">
        <f t="shared" si="78"/>
        <v>0</v>
      </c>
      <c r="P231" s="755"/>
      <c r="Q231" s="764"/>
      <c r="R231" s="627"/>
      <c r="S231" s="622">
        <f t="shared" si="91"/>
        <v>0</v>
      </c>
      <c r="T231" s="319" t="s">
        <v>3351</v>
      </c>
      <c r="V231" s="328">
        <f t="shared" si="87"/>
        <v>4.49</v>
      </c>
      <c r="W231" s="320"/>
      <c r="X231" s="328">
        <f t="shared" si="88"/>
        <v>0</v>
      </c>
      <c r="Y231" s="320"/>
      <c r="Z231" s="328">
        <f t="shared" si="89"/>
        <v>0</v>
      </c>
      <c r="AB231" s="458">
        <f t="shared" si="90"/>
        <v>0</v>
      </c>
      <c r="AC231" s="348">
        <f t="shared" si="84"/>
        <v>0</v>
      </c>
    </row>
    <row r="232" spans="1:29" ht="15.6" thickTop="1" thickBot="1">
      <c r="A232" s="318"/>
      <c r="B232" s="319"/>
      <c r="C232" s="318"/>
      <c r="D232" s="318"/>
      <c r="E232" s="319"/>
      <c r="F232" s="336"/>
      <c r="G232" s="652" t="s">
        <v>1630</v>
      </c>
      <c r="H232" s="328">
        <v>4.49</v>
      </c>
      <c r="I232" s="318">
        <v>1</v>
      </c>
      <c r="J232" s="318">
        <v>1</v>
      </c>
      <c r="K232" s="328">
        <f t="shared" si="77"/>
        <v>4.49</v>
      </c>
      <c r="L232" s="318"/>
      <c r="M232" s="318"/>
      <c r="N232" s="318"/>
      <c r="O232" s="621">
        <f t="shared" si="78"/>
        <v>0</v>
      </c>
      <c r="P232" s="755"/>
      <c r="Q232" s="764"/>
      <c r="R232" s="627"/>
      <c r="S232" s="622">
        <f t="shared" si="91"/>
        <v>0</v>
      </c>
      <c r="T232" s="319" t="s">
        <v>3351</v>
      </c>
      <c r="V232" s="328">
        <f t="shared" si="87"/>
        <v>4.49</v>
      </c>
      <c r="W232" s="320"/>
      <c r="X232" s="328">
        <f t="shared" si="88"/>
        <v>0</v>
      </c>
      <c r="Y232" s="320"/>
      <c r="Z232" s="328">
        <f t="shared" si="89"/>
        <v>0</v>
      </c>
      <c r="AB232" s="458">
        <f t="shared" si="90"/>
        <v>0</v>
      </c>
      <c r="AC232" s="348">
        <f t="shared" si="84"/>
        <v>0</v>
      </c>
    </row>
    <row r="233" spans="1:29" ht="15.6" thickTop="1" thickBot="1">
      <c r="A233" s="318"/>
      <c r="B233" s="319"/>
      <c r="C233" s="318"/>
      <c r="D233" s="318"/>
      <c r="E233" s="319"/>
      <c r="F233" s="336"/>
      <c r="G233" s="652" t="s">
        <v>1631</v>
      </c>
      <c r="H233" s="328">
        <v>4.49</v>
      </c>
      <c r="I233" s="318">
        <v>1</v>
      </c>
      <c r="J233" s="318">
        <v>1</v>
      </c>
      <c r="K233" s="328">
        <f t="shared" si="77"/>
        <v>4.49</v>
      </c>
      <c r="L233" s="318"/>
      <c r="M233" s="318"/>
      <c r="N233" s="318"/>
      <c r="O233" s="621">
        <f t="shared" si="78"/>
        <v>0</v>
      </c>
      <c r="P233" s="755"/>
      <c r="Q233" s="764"/>
      <c r="R233" s="627"/>
      <c r="S233" s="328">
        <f t="shared" si="91"/>
        <v>0</v>
      </c>
      <c r="T233" s="319" t="s">
        <v>3351</v>
      </c>
      <c r="V233" s="328">
        <f t="shared" si="87"/>
        <v>4.49</v>
      </c>
      <c r="W233" s="320"/>
      <c r="X233" s="328">
        <f t="shared" si="88"/>
        <v>0</v>
      </c>
      <c r="Y233" s="320"/>
      <c r="Z233" s="328">
        <f t="shared" si="89"/>
        <v>0</v>
      </c>
      <c r="AB233" s="458">
        <f t="shared" si="90"/>
        <v>0</v>
      </c>
      <c r="AC233" s="348">
        <f t="shared" si="84"/>
        <v>0</v>
      </c>
    </row>
    <row r="234" spans="1:29" ht="15" thickTop="1">
      <c r="A234" s="318"/>
      <c r="B234" s="319"/>
      <c r="C234" s="318"/>
      <c r="D234" s="318"/>
      <c r="E234" s="319"/>
      <c r="F234" s="336"/>
      <c r="G234" s="318" t="s">
        <v>1632</v>
      </c>
      <c r="H234" s="328">
        <v>4.49</v>
      </c>
      <c r="I234" s="318">
        <v>1</v>
      </c>
      <c r="J234" s="318">
        <f t="shared" si="76"/>
        <v>1</v>
      </c>
      <c r="K234" s="328">
        <f t="shared" si="77"/>
        <v>4.49</v>
      </c>
      <c r="L234" s="318"/>
      <c r="M234" s="318"/>
      <c r="N234" s="318">
        <v>1</v>
      </c>
      <c r="O234" s="621">
        <f t="shared" si="78"/>
        <v>4.49</v>
      </c>
      <c r="P234" s="755">
        <v>1</v>
      </c>
      <c r="Q234" s="755">
        <f t="shared" ref="Q234:Q244" si="92">R234-P234</f>
        <v>0</v>
      </c>
      <c r="R234" s="341">
        <v>1</v>
      </c>
      <c r="S234" s="318">
        <f t="shared" si="91"/>
        <v>4.49</v>
      </c>
      <c r="T234" s="319"/>
      <c r="V234" s="328">
        <f t="shared" si="87"/>
        <v>4.49</v>
      </c>
      <c r="W234" s="320">
        <v>1</v>
      </c>
      <c r="X234" s="328">
        <f t="shared" si="88"/>
        <v>4.49</v>
      </c>
      <c r="Y234" s="464">
        <v>1</v>
      </c>
      <c r="Z234" s="328">
        <f t="shared" si="89"/>
        <v>4.49</v>
      </c>
      <c r="AB234" s="458">
        <f t="shared" si="90"/>
        <v>0</v>
      </c>
      <c r="AC234" s="348">
        <f t="shared" si="84"/>
        <v>0</v>
      </c>
    </row>
    <row r="235" spans="1:29">
      <c r="A235" s="318"/>
      <c r="B235" s="319"/>
      <c r="C235" s="318"/>
      <c r="D235" s="318"/>
      <c r="E235" s="319"/>
      <c r="F235" s="336"/>
      <c r="G235" s="318" t="s">
        <v>1633</v>
      </c>
      <c r="H235" s="328">
        <v>4.49</v>
      </c>
      <c r="I235" s="318">
        <v>1</v>
      </c>
      <c r="J235" s="318">
        <f t="shared" si="76"/>
        <v>1</v>
      </c>
      <c r="K235" s="328">
        <f t="shared" si="77"/>
        <v>4.49</v>
      </c>
      <c r="L235" s="318"/>
      <c r="M235" s="318"/>
      <c r="N235" s="318">
        <v>1</v>
      </c>
      <c r="O235" s="621">
        <f t="shared" si="78"/>
        <v>4.49</v>
      </c>
      <c r="P235" s="755">
        <v>1</v>
      </c>
      <c r="Q235" s="755">
        <f t="shared" si="92"/>
        <v>0</v>
      </c>
      <c r="R235" s="341">
        <v>1</v>
      </c>
      <c r="S235" s="318">
        <f t="shared" ref="S235:S244" si="93">H235*R235</f>
        <v>4.49</v>
      </c>
      <c r="T235" s="319"/>
      <c r="V235" s="328">
        <f t="shared" si="87"/>
        <v>4.49</v>
      </c>
      <c r="W235" s="320">
        <v>1</v>
      </c>
      <c r="X235" s="328">
        <f t="shared" si="88"/>
        <v>4.49</v>
      </c>
      <c r="Y235" s="464">
        <v>1</v>
      </c>
      <c r="Z235" s="328">
        <f t="shared" si="89"/>
        <v>4.49</v>
      </c>
      <c r="AB235" s="458">
        <f t="shared" si="90"/>
        <v>0</v>
      </c>
      <c r="AC235" s="348">
        <f t="shared" si="84"/>
        <v>0</v>
      </c>
    </row>
    <row r="236" spans="1:29">
      <c r="A236" s="318"/>
      <c r="B236" s="319"/>
      <c r="C236" s="318"/>
      <c r="D236" s="318"/>
      <c r="E236" s="319"/>
      <c r="F236" s="336"/>
      <c r="G236" s="318" t="s">
        <v>1634</v>
      </c>
      <c r="H236" s="328">
        <v>4.49</v>
      </c>
      <c r="I236" s="318">
        <v>1</v>
      </c>
      <c r="J236" s="318">
        <f t="shared" si="76"/>
        <v>1</v>
      </c>
      <c r="K236" s="328">
        <f t="shared" si="77"/>
        <v>4.49</v>
      </c>
      <c r="L236" s="318"/>
      <c r="M236" s="318"/>
      <c r="N236" s="318">
        <v>1</v>
      </c>
      <c r="O236" s="621">
        <f t="shared" si="78"/>
        <v>4.49</v>
      </c>
      <c r="P236" s="755">
        <v>1</v>
      </c>
      <c r="Q236" s="755">
        <f t="shared" si="92"/>
        <v>0</v>
      </c>
      <c r="R236" s="341">
        <v>1</v>
      </c>
      <c r="S236" s="318">
        <f t="shared" si="93"/>
        <v>4.49</v>
      </c>
      <c r="T236" s="319"/>
      <c r="V236" s="328">
        <f>4.155</f>
        <v>4.1550000000000002</v>
      </c>
      <c r="W236" s="320">
        <v>1</v>
      </c>
      <c r="X236" s="328">
        <f t="shared" si="88"/>
        <v>4.1550000000000002</v>
      </c>
      <c r="Y236" s="464">
        <v>1</v>
      </c>
      <c r="Z236" s="328">
        <f t="shared" si="89"/>
        <v>4.1550000000000002</v>
      </c>
      <c r="AB236" s="458">
        <f t="shared" si="90"/>
        <v>-0.33499999999999996</v>
      </c>
      <c r="AC236" s="348">
        <f t="shared" si="84"/>
        <v>-0.33499999999999996</v>
      </c>
    </row>
    <row r="237" spans="1:29">
      <c r="A237" s="318"/>
      <c r="B237" s="319"/>
      <c r="C237" s="318"/>
      <c r="D237" s="318"/>
      <c r="E237" s="319"/>
      <c r="F237" s="336" t="s">
        <v>696</v>
      </c>
      <c r="G237" s="318" t="s">
        <v>1635</v>
      </c>
      <c r="H237" s="328">
        <v>1.82</v>
      </c>
      <c r="I237" s="318">
        <v>1</v>
      </c>
      <c r="J237" s="318">
        <f t="shared" si="76"/>
        <v>1</v>
      </c>
      <c r="K237" s="328">
        <f t="shared" si="77"/>
        <v>1.82</v>
      </c>
      <c r="L237" s="318"/>
      <c r="M237" s="318"/>
      <c r="N237" s="318">
        <v>1</v>
      </c>
      <c r="O237" s="621">
        <f t="shared" si="78"/>
        <v>1.82</v>
      </c>
      <c r="P237" s="755">
        <v>1</v>
      </c>
      <c r="Q237" s="755">
        <f t="shared" si="92"/>
        <v>0</v>
      </c>
      <c r="R237" s="341">
        <v>1</v>
      </c>
      <c r="S237" s="318">
        <f t="shared" si="93"/>
        <v>1.82</v>
      </c>
      <c r="T237" s="319"/>
      <c r="V237" s="328">
        <f>2.135</f>
        <v>2.1349999999999998</v>
      </c>
      <c r="W237" s="320">
        <v>1</v>
      </c>
      <c r="X237" s="328">
        <f t="shared" si="88"/>
        <v>2.1349999999999998</v>
      </c>
      <c r="Y237" s="464">
        <v>1</v>
      </c>
      <c r="Z237" s="328">
        <f t="shared" si="89"/>
        <v>2.1349999999999998</v>
      </c>
      <c r="AB237" s="458">
        <f t="shared" si="90"/>
        <v>0.31499999999999972</v>
      </c>
      <c r="AC237" s="348">
        <f t="shared" si="84"/>
        <v>0.31499999999999972</v>
      </c>
    </row>
    <row r="238" spans="1:29">
      <c r="A238" s="318"/>
      <c r="B238" s="319"/>
      <c r="C238" s="318"/>
      <c r="D238" s="318"/>
      <c r="E238" s="319"/>
      <c r="F238" s="336" t="s">
        <v>696</v>
      </c>
      <c r="G238" s="318" t="s">
        <v>1636</v>
      </c>
      <c r="H238" s="328">
        <v>3.18</v>
      </c>
      <c r="I238" s="318">
        <v>1</v>
      </c>
      <c r="J238" s="318">
        <f t="shared" si="76"/>
        <v>1</v>
      </c>
      <c r="K238" s="328">
        <f t="shared" si="77"/>
        <v>3.18</v>
      </c>
      <c r="L238" s="318"/>
      <c r="M238" s="318"/>
      <c r="N238" s="318">
        <v>1</v>
      </c>
      <c r="O238" s="621">
        <f t="shared" si="78"/>
        <v>3.18</v>
      </c>
      <c r="P238" s="755">
        <v>1</v>
      </c>
      <c r="Q238" s="755">
        <f t="shared" si="92"/>
        <v>0</v>
      </c>
      <c r="R238" s="341">
        <v>1</v>
      </c>
      <c r="S238" s="318">
        <f t="shared" si="93"/>
        <v>3.18</v>
      </c>
      <c r="T238" s="319"/>
      <c r="V238" s="328">
        <f>3.495</f>
        <v>3.4950000000000001</v>
      </c>
      <c r="W238" s="320">
        <v>1</v>
      </c>
      <c r="X238" s="328">
        <f t="shared" si="88"/>
        <v>3.4950000000000001</v>
      </c>
      <c r="Y238" s="464">
        <v>1</v>
      </c>
      <c r="Z238" s="328">
        <f t="shared" si="89"/>
        <v>3.4950000000000001</v>
      </c>
      <c r="AB238" s="458">
        <f t="shared" si="90"/>
        <v>0.31499999999999995</v>
      </c>
      <c r="AC238" s="348">
        <f t="shared" si="84"/>
        <v>0.31499999999999995</v>
      </c>
    </row>
    <row r="239" spans="1:29">
      <c r="A239" s="318"/>
      <c r="B239" s="319"/>
      <c r="C239" s="318"/>
      <c r="D239" s="318"/>
      <c r="E239" s="319"/>
      <c r="F239" s="336"/>
      <c r="G239" s="318" t="s">
        <v>1637</v>
      </c>
      <c r="H239" s="328">
        <v>4.49</v>
      </c>
      <c r="I239" s="318">
        <v>1</v>
      </c>
      <c r="J239" s="318">
        <f t="shared" si="76"/>
        <v>1</v>
      </c>
      <c r="K239" s="328">
        <f t="shared" si="77"/>
        <v>4.49</v>
      </c>
      <c r="L239" s="318"/>
      <c r="M239" s="318"/>
      <c r="N239" s="318">
        <v>1</v>
      </c>
      <c r="O239" s="621">
        <f t="shared" si="78"/>
        <v>4.49</v>
      </c>
      <c r="P239" s="755">
        <v>1</v>
      </c>
      <c r="Q239" s="755">
        <f t="shared" si="92"/>
        <v>0</v>
      </c>
      <c r="R239" s="341">
        <v>1</v>
      </c>
      <c r="S239" s="318">
        <f t="shared" si="93"/>
        <v>4.49</v>
      </c>
      <c r="T239" s="319"/>
      <c r="V239" s="328">
        <f>4.49</f>
        <v>4.49</v>
      </c>
      <c r="W239" s="320">
        <v>1</v>
      </c>
      <c r="X239" s="328">
        <f t="shared" si="88"/>
        <v>4.49</v>
      </c>
      <c r="Y239" s="464">
        <v>1</v>
      </c>
      <c r="Z239" s="328">
        <f t="shared" si="89"/>
        <v>4.49</v>
      </c>
      <c r="AB239" s="458">
        <f t="shared" si="90"/>
        <v>0</v>
      </c>
      <c r="AC239" s="348">
        <f t="shared" si="84"/>
        <v>0</v>
      </c>
    </row>
    <row r="240" spans="1:29">
      <c r="A240" s="318"/>
      <c r="B240" s="319"/>
      <c r="C240" s="318"/>
      <c r="D240" s="318"/>
      <c r="E240" s="319"/>
      <c r="F240" s="336"/>
      <c r="G240" s="318" t="s">
        <v>1638</v>
      </c>
      <c r="H240" s="328">
        <v>4.49</v>
      </c>
      <c r="I240" s="318">
        <v>1</v>
      </c>
      <c r="J240" s="318">
        <f t="shared" si="76"/>
        <v>1</v>
      </c>
      <c r="K240" s="328">
        <f t="shared" si="77"/>
        <v>4.49</v>
      </c>
      <c r="L240" s="318"/>
      <c r="M240" s="318"/>
      <c r="N240" s="318">
        <v>1</v>
      </c>
      <c r="O240" s="621">
        <f t="shared" si="78"/>
        <v>4.49</v>
      </c>
      <c r="P240" s="755">
        <v>1</v>
      </c>
      <c r="Q240" s="755">
        <f t="shared" si="92"/>
        <v>0</v>
      </c>
      <c r="R240" s="341">
        <v>1</v>
      </c>
      <c r="S240" s="318">
        <f t="shared" si="93"/>
        <v>4.49</v>
      </c>
      <c r="T240" s="319"/>
      <c r="V240" s="328">
        <f>4.49</f>
        <v>4.49</v>
      </c>
      <c r="W240" s="320">
        <v>1</v>
      </c>
      <c r="X240" s="328">
        <f t="shared" si="88"/>
        <v>4.49</v>
      </c>
      <c r="Y240" s="464">
        <v>1</v>
      </c>
      <c r="Z240" s="328">
        <f t="shared" si="89"/>
        <v>4.49</v>
      </c>
      <c r="AB240" s="458">
        <f t="shared" si="90"/>
        <v>0</v>
      </c>
      <c r="AC240" s="348">
        <f t="shared" si="84"/>
        <v>0</v>
      </c>
    </row>
    <row r="241" spans="1:29">
      <c r="A241" s="318"/>
      <c r="B241" s="319"/>
      <c r="C241" s="318"/>
      <c r="D241" s="318"/>
      <c r="E241" s="319"/>
      <c r="F241" s="336"/>
      <c r="G241" s="318" t="s">
        <v>1639</v>
      </c>
      <c r="H241" s="328">
        <v>4.49</v>
      </c>
      <c r="I241" s="318">
        <v>1</v>
      </c>
      <c r="J241" s="318">
        <f t="shared" si="76"/>
        <v>1</v>
      </c>
      <c r="K241" s="328">
        <f t="shared" si="77"/>
        <v>4.49</v>
      </c>
      <c r="L241" s="318"/>
      <c r="M241" s="318"/>
      <c r="N241" s="318">
        <v>1</v>
      </c>
      <c r="O241" s="621">
        <f t="shared" si="78"/>
        <v>4.49</v>
      </c>
      <c r="P241" s="755">
        <v>1</v>
      </c>
      <c r="Q241" s="755">
        <f t="shared" si="92"/>
        <v>0</v>
      </c>
      <c r="R241" s="341">
        <v>1</v>
      </c>
      <c r="S241" s="318">
        <f t="shared" si="93"/>
        <v>4.49</v>
      </c>
      <c r="T241" s="319"/>
      <c r="V241" s="328">
        <f>4.49</f>
        <v>4.49</v>
      </c>
      <c r="W241" s="320">
        <v>1</v>
      </c>
      <c r="X241" s="328">
        <f t="shared" si="88"/>
        <v>4.49</v>
      </c>
      <c r="Y241" s="464">
        <v>1</v>
      </c>
      <c r="Z241" s="328">
        <f t="shared" si="89"/>
        <v>4.49</v>
      </c>
      <c r="AB241" s="458">
        <f t="shared" si="90"/>
        <v>0</v>
      </c>
      <c r="AC241" s="348">
        <f t="shared" si="84"/>
        <v>0</v>
      </c>
    </row>
    <row r="242" spans="1:29" collapsed="1">
      <c r="A242" s="318"/>
      <c r="B242" s="319"/>
      <c r="C242" s="318"/>
      <c r="D242" s="318"/>
      <c r="E242" s="319"/>
      <c r="F242" s="336"/>
      <c r="G242" s="318" t="s">
        <v>1640</v>
      </c>
      <c r="H242" s="328">
        <v>4.49</v>
      </c>
      <c r="I242" s="318">
        <v>1</v>
      </c>
      <c r="J242" s="318">
        <f t="shared" si="76"/>
        <v>1</v>
      </c>
      <c r="K242" s="328">
        <f t="shared" si="77"/>
        <v>4.49</v>
      </c>
      <c r="L242" s="318">
        <v>2025</v>
      </c>
      <c r="M242" s="318">
        <v>186</v>
      </c>
      <c r="N242" s="318">
        <v>1</v>
      </c>
      <c r="O242" s="621">
        <f t="shared" si="78"/>
        <v>4.49</v>
      </c>
      <c r="P242" s="755">
        <v>1</v>
      </c>
      <c r="Q242" s="755">
        <f t="shared" si="92"/>
        <v>0</v>
      </c>
      <c r="R242" s="341">
        <v>1</v>
      </c>
      <c r="S242" s="318">
        <f t="shared" si="93"/>
        <v>4.49</v>
      </c>
      <c r="T242" s="319"/>
      <c r="V242" s="328">
        <f>4.49</f>
        <v>4.49</v>
      </c>
      <c r="W242" s="320"/>
      <c r="X242" s="328">
        <f t="shared" si="88"/>
        <v>0</v>
      </c>
      <c r="Y242" s="320"/>
      <c r="Z242" s="328">
        <f t="shared" si="89"/>
        <v>0</v>
      </c>
      <c r="AB242" s="458">
        <f t="shared" si="90"/>
        <v>-4.49</v>
      </c>
      <c r="AC242" s="348">
        <f t="shared" si="84"/>
        <v>-4.49</v>
      </c>
    </row>
    <row r="243" spans="1:29">
      <c r="A243" s="318"/>
      <c r="B243" s="319"/>
      <c r="C243" s="318"/>
      <c r="D243" s="318"/>
      <c r="E243" s="319"/>
      <c r="F243" s="336" t="s">
        <v>696</v>
      </c>
      <c r="G243" s="318" t="s">
        <v>1641</v>
      </c>
      <c r="H243" s="328">
        <v>3.18</v>
      </c>
      <c r="I243" s="318">
        <v>1</v>
      </c>
      <c r="J243" s="318">
        <f t="shared" si="76"/>
        <v>1</v>
      </c>
      <c r="K243" s="328">
        <f t="shared" si="77"/>
        <v>3.18</v>
      </c>
      <c r="L243" s="318"/>
      <c r="M243" s="318"/>
      <c r="N243" s="318">
        <v>1</v>
      </c>
      <c r="O243" s="621">
        <f t="shared" si="78"/>
        <v>3.18</v>
      </c>
      <c r="P243" s="755">
        <v>1</v>
      </c>
      <c r="Q243" s="755">
        <f t="shared" si="92"/>
        <v>0</v>
      </c>
      <c r="R243" s="341">
        <v>1</v>
      </c>
      <c r="S243" s="318">
        <f t="shared" si="93"/>
        <v>3.18</v>
      </c>
      <c r="T243" s="319"/>
      <c r="V243" s="328">
        <f>3.495</f>
        <v>3.4950000000000001</v>
      </c>
      <c r="W243" s="320">
        <v>1</v>
      </c>
      <c r="X243" s="328">
        <f t="shared" si="88"/>
        <v>3.4950000000000001</v>
      </c>
      <c r="Y243" s="320"/>
      <c r="Z243" s="328">
        <f t="shared" si="89"/>
        <v>0</v>
      </c>
      <c r="AB243" s="458">
        <f t="shared" si="90"/>
        <v>0.31499999999999995</v>
      </c>
      <c r="AC243" s="348">
        <f t="shared" si="84"/>
        <v>-3.18</v>
      </c>
    </row>
    <row r="244" spans="1:29">
      <c r="A244" s="318"/>
      <c r="B244" s="319"/>
      <c r="C244" s="318"/>
      <c r="D244" s="318"/>
      <c r="E244" s="319"/>
      <c r="F244" s="336" t="s">
        <v>696</v>
      </c>
      <c r="G244" s="318" t="s">
        <v>1642</v>
      </c>
      <c r="H244" s="328">
        <v>1.82</v>
      </c>
      <c r="I244" s="318">
        <v>1</v>
      </c>
      <c r="J244" s="318">
        <f t="shared" si="76"/>
        <v>1</v>
      </c>
      <c r="K244" s="328">
        <f>H244*J244</f>
        <v>1.82</v>
      </c>
      <c r="L244" s="318"/>
      <c r="M244" s="318"/>
      <c r="N244" s="318">
        <v>1</v>
      </c>
      <c r="O244" s="621">
        <f t="shared" si="78"/>
        <v>1.82</v>
      </c>
      <c r="P244" s="755">
        <v>1</v>
      </c>
      <c r="Q244" s="755">
        <f t="shared" si="92"/>
        <v>0</v>
      </c>
      <c r="R244" s="341">
        <v>1</v>
      </c>
      <c r="S244" s="318">
        <f t="shared" si="93"/>
        <v>1.82</v>
      </c>
      <c r="T244" s="319"/>
      <c r="V244" s="328">
        <f>2.135</f>
        <v>2.1349999999999998</v>
      </c>
      <c r="W244" s="320"/>
      <c r="X244" s="328">
        <f t="shared" si="88"/>
        <v>0</v>
      </c>
      <c r="Y244" s="320"/>
      <c r="Z244" s="328">
        <f t="shared" si="89"/>
        <v>0</v>
      </c>
      <c r="AB244" s="458">
        <f t="shared" si="90"/>
        <v>-1.82</v>
      </c>
      <c r="AC244" s="348">
        <f t="shared" si="84"/>
        <v>-1.82</v>
      </c>
    </row>
    <row r="245" spans="1:29">
      <c r="A245" s="318"/>
      <c r="B245" s="319"/>
      <c r="C245" s="318"/>
      <c r="D245" s="318"/>
      <c r="E245" s="319"/>
      <c r="F245" s="319"/>
      <c r="G245" s="318"/>
      <c r="H245" s="318"/>
      <c r="I245" s="318"/>
      <c r="J245" s="382" t="s">
        <v>389</v>
      </c>
      <c r="K245" s="338">
        <f>SUM(K191:K244)</f>
        <v>226.55000000000018</v>
      </c>
      <c r="L245" s="318"/>
      <c r="M245" s="318"/>
      <c r="N245" s="382" t="s">
        <v>389</v>
      </c>
      <c r="O245" s="759">
        <f>SUM(O191:O244)</f>
        <v>199.61000000000013</v>
      </c>
      <c r="P245" s="751" t="s">
        <v>389</v>
      </c>
      <c r="Q245" s="751"/>
      <c r="R245" s="382"/>
      <c r="S245" s="338">
        <f>SUM(S191:S244)</f>
        <v>199.61000000000013</v>
      </c>
      <c r="T245" s="319"/>
      <c r="V245" s="318"/>
      <c r="W245" s="321" t="s">
        <v>389</v>
      </c>
      <c r="X245" s="338">
        <f>SUM(X191:X244)</f>
        <v>171.24100000000004</v>
      </c>
      <c r="Y245" s="321" t="s">
        <v>389</v>
      </c>
      <c r="Z245" s="338">
        <f>SUM(Z191:Z244)</f>
        <v>141.62699999999998</v>
      </c>
      <c r="AB245" s="338"/>
      <c r="AC245" s="338"/>
    </row>
    <row r="246" spans="1:29" ht="6.75" customHeight="1">
      <c r="A246" s="316"/>
      <c r="B246" s="317"/>
      <c r="C246" s="316"/>
      <c r="D246" s="316"/>
      <c r="E246" s="317"/>
      <c r="F246" s="317"/>
      <c r="G246" s="316"/>
      <c r="H246" s="332"/>
      <c r="I246" s="316"/>
      <c r="J246" s="316"/>
      <c r="K246" s="316"/>
      <c r="L246" s="316"/>
      <c r="M246" s="316"/>
      <c r="N246" s="316"/>
      <c r="O246" s="760"/>
      <c r="P246" s="752"/>
      <c r="Q246" s="752"/>
      <c r="R246" s="316"/>
      <c r="S246" s="332"/>
      <c r="T246" s="317"/>
      <c r="V246" s="332"/>
      <c r="W246" s="316"/>
      <c r="X246" s="332"/>
      <c r="Y246" s="316"/>
      <c r="Z246" s="332"/>
      <c r="AB246" s="339"/>
      <c r="AC246" s="339"/>
    </row>
    <row r="247" spans="1:29">
      <c r="A247" s="318">
        <v>7</v>
      </c>
      <c r="B247" s="319" t="s">
        <v>383</v>
      </c>
      <c r="C247" s="318">
        <v>600</v>
      </c>
      <c r="D247" s="318">
        <v>13</v>
      </c>
      <c r="E247" s="319">
        <v>1</v>
      </c>
      <c r="F247" s="336"/>
      <c r="G247" s="318" t="s">
        <v>1643</v>
      </c>
      <c r="H247" s="328">
        <v>4.16</v>
      </c>
      <c r="I247" s="318">
        <v>1</v>
      </c>
      <c r="J247" s="318">
        <f t="shared" ref="J247:J284" si="94">IF(N247&gt;0,1,0)</f>
        <v>1</v>
      </c>
      <c r="K247" s="328">
        <f t="shared" ref="K247:K284" si="95">H247*J247</f>
        <v>4.16</v>
      </c>
      <c r="L247" s="318">
        <v>1413</v>
      </c>
      <c r="M247" s="318">
        <v>102</v>
      </c>
      <c r="N247" s="318">
        <v>1</v>
      </c>
      <c r="O247" s="621">
        <f t="shared" ref="O247:O284" si="96">H247*N247</f>
        <v>4.16</v>
      </c>
      <c r="P247" s="755">
        <v>1</v>
      </c>
      <c r="Q247" s="755">
        <f t="shared" ref="Q247:Q284" si="97">R247-P247</f>
        <v>0</v>
      </c>
      <c r="R247" s="341">
        <v>1</v>
      </c>
      <c r="S247" s="318">
        <f t="shared" ref="S247" si="98">H247*R247</f>
        <v>4.16</v>
      </c>
      <c r="T247" s="319"/>
      <c r="V247" s="328">
        <f>4.155</f>
        <v>4.1550000000000002</v>
      </c>
      <c r="W247" s="320">
        <v>1</v>
      </c>
      <c r="X247" s="328">
        <f t="shared" ref="X247:X284" si="99">V247*W247</f>
        <v>4.1550000000000002</v>
      </c>
      <c r="Y247" s="320"/>
      <c r="Z247" s="328">
        <f t="shared" ref="Z247:Z284" si="100">V247*Y247</f>
        <v>0</v>
      </c>
      <c r="AB247" s="458">
        <f t="shared" ref="AB247:AB284" si="101">X247-O247</f>
        <v>-4.9999999999998934E-3</v>
      </c>
      <c r="AC247" s="348">
        <f t="shared" ref="AC247:AC284" si="102">Z247-S247</f>
        <v>-4.16</v>
      </c>
    </row>
    <row r="248" spans="1:29">
      <c r="A248" s="318"/>
      <c r="B248" s="319"/>
      <c r="C248" s="318"/>
      <c r="D248" s="318"/>
      <c r="E248" s="319"/>
      <c r="F248" s="319"/>
      <c r="G248" s="318" t="s">
        <v>1644</v>
      </c>
      <c r="H248" s="328">
        <v>4.49</v>
      </c>
      <c r="I248" s="318">
        <v>1</v>
      </c>
      <c r="J248" s="318">
        <f t="shared" si="94"/>
        <v>1</v>
      </c>
      <c r="K248" s="328">
        <f t="shared" si="95"/>
        <v>4.49</v>
      </c>
      <c r="L248" s="318" t="s">
        <v>203</v>
      </c>
      <c r="M248" s="318" t="s">
        <v>204</v>
      </c>
      <c r="N248" s="318">
        <v>1</v>
      </c>
      <c r="O248" s="621">
        <f t="shared" si="96"/>
        <v>4.49</v>
      </c>
      <c r="P248" s="755">
        <v>1</v>
      </c>
      <c r="Q248" s="755">
        <f t="shared" si="97"/>
        <v>0</v>
      </c>
      <c r="R248" s="341">
        <v>1</v>
      </c>
      <c r="S248" s="318">
        <f t="shared" ref="S248:S284" si="103">H248*R248</f>
        <v>4.49</v>
      </c>
      <c r="T248" s="319"/>
      <c r="V248" s="328">
        <f>4.49</f>
        <v>4.49</v>
      </c>
      <c r="W248" s="320">
        <v>0.5</v>
      </c>
      <c r="X248" s="457">
        <f t="shared" si="99"/>
        <v>2.2450000000000001</v>
      </c>
      <c r="Y248" s="464"/>
      <c r="Z248" s="328">
        <f t="shared" si="100"/>
        <v>0</v>
      </c>
      <c r="AB248" s="458">
        <f t="shared" si="101"/>
        <v>-2.2450000000000001</v>
      </c>
      <c r="AC248" s="348">
        <f t="shared" si="102"/>
        <v>-4.49</v>
      </c>
    </row>
    <row r="249" spans="1:29">
      <c r="A249" s="318"/>
      <c r="B249" s="319"/>
      <c r="C249" s="318"/>
      <c r="D249" s="318"/>
      <c r="E249" s="319"/>
      <c r="F249" s="319"/>
      <c r="G249" s="318" t="s">
        <v>1645</v>
      </c>
      <c r="H249" s="328">
        <v>4.49</v>
      </c>
      <c r="I249" s="318">
        <v>1</v>
      </c>
      <c r="J249" s="318">
        <f t="shared" si="94"/>
        <v>1</v>
      </c>
      <c r="K249" s="328">
        <f t="shared" si="95"/>
        <v>4.49</v>
      </c>
      <c r="L249" s="318" t="s">
        <v>203</v>
      </c>
      <c r="M249" s="318" t="s">
        <v>204</v>
      </c>
      <c r="N249" s="318">
        <v>1</v>
      </c>
      <c r="O249" s="621">
        <f t="shared" si="96"/>
        <v>4.49</v>
      </c>
      <c r="P249" s="755">
        <v>1</v>
      </c>
      <c r="Q249" s="755">
        <f t="shared" si="97"/>
        <v>0</v>
      </c>
      <c r="R249" s="341">
        <v>1</v>
      </c>
      <c r="S249" s="318">
        <f t="shared" si="103"/>
        <v>4.49</v>
      </c>
      <c r="T249" s="319"/>
      <c r="V249" s="328">
        <f t="shared" ref="V249:V263" si="104">4.49</f>
        <v>4.49</v>
      </c>
      <c r="W249" s="320">
        <v>1</v>
      </c>
      <c r="X249" s="328">
        <f t="shared" si="99"/>
        <v>4.49</v>
      </c>
      <c r="Y249" s="464">
        <v>1</v>
      </c>
      <c r="Z249" s="328">
        <f t="shared" si="100"/>
        <v>4.49</v>
      </c>
      <c r="AB249" s="458">
        <f t="shared" si="101"/>
        <v>0</v>
      </c>
      <c r="AC249" s="348">
        <f t="shared" si="102"/>
        <v>0</v>
      </c>
    </row>
    <row r="250" spans="1:29">
      <c r="A250" s="318"/>
      <c r="B250" s="319"/>
      <c r="C250" s="318"/>
      <c r="D250" s="318"/>
      <c r="E250" s="319"/>
      <c r="F250" s="319"/>
      <c r="G250" s="318" t="s">
        <v>1646</v>
      </c>
      <c r="H250" s="328">
        <v>4.49</v>
      </c>
      <c r="I250" s="318">
        <v>1</v>
      </c>
      <c r="J250" s="318">
        <f t="shared" si="94"/>
        <v>1</v>
      </c>
      <c r="K250" s="328">
        <f t="shared" si="95"/>
        <v>4.49</v>
      </c>
      <c r="L250" s="318" t="s">
        <v>203</v>
      </c>
      <c r="M250" s="318" t="s">
        <v>204</v>
      </c>
      <c r="N250" s="318">
        <v>1</v>
      </c>
      <c r="O250" s="621">
        <f t="shared" si="96"/>
        <v>4.49</v>
      </c>
      <c r="P250" s="755">
        <v>1</v>
      </c>
      <c r="Q250" s="755">
        <f t="shared" si="97"/>
        <v>0</v>
      </c>
      <c r="R250" s="341">
        <v>1</v>
      </c>
      <c r="S250" s="318">
        <f t="shared" si="103"/>
        <v>4.49</v>
      </c>
      <c r="T250" s="319"/>
      <c r="V250" s="328">
        <f t="shared" si="104"/>
        <v>4.49</v>
      </c>
      <c r="W250" s="320">
        <v>1</v>
      </c>
      <c r="X250" s="328">
        <f t="shared" si="99"/>
        <v>4.49</v>
      </c>
      <c r="Y250" s="464">
        <v>1</v>
      </c>
      <c r="Z250" s="328">
        <f t="shared" si="100"/>
        <v>4.49</v>
      </c>
      <c r="AB250" s="458">
        <f t="shared" si="101"/>
        <v>0</v>
      </c>
      <c r="AC250" s="348">
        <f t="shared" si="102"/>
        <v>0</v>
      </c>
    </row>
    <row r="251" spans="1:29">
      <c r="A251" s="318"/>
      <c r="B251" s="319"/>
      <c r="C251" s="318"/>
      <c r="D251" s="318"/>
      <c r="E251" s="319"/>
      <c r="F251" s="319"/>
      <c r="G251" s="318" t="s">
        <v>1647</v>
      </c>
      <c r="H251" s="328">
        <v>4.49</v>
      </c>
      <c r="I251" s="318">
        <v>1</v>
      </c>
      <c r="J251" s="318">
        <f t="shared" si="94"/>
        <v>1</v>
      </c>
      <c r="K251" s="328">
        <f t="shared" si="95"/>
        <v>4.49</v>
      </c>
      <c r="L251" s="318" t="s">
        <v>203</v>
      </c>
      <c r="M251" s="318" t="s">
        <v>204</v>
      </c>
      <c r="N251" s="318">
        <v>1</v>
      </c>
      <c r="O251" s="621">
        <f t="shared" si="96"/>
        <v>4.49</v>
      </c>
      <c r="P251" s="755">
        <v>1</v>
      </c>
      <c r="Q251" s="755">
        <f t="shared" si="97"/>
        <v>0</v>
      </c>
      <c r="R251" s="341">
        <v>1</v>
      </c>
      <c r="S251" s="318">
        <f t="shared" si="103"/>
        <v>4.49</v>
      </c>
      <c r="T251" s="319"/>
      <c r="V251" s="328">
        <f t="shared" si="104"/>
        <v>4.49</v>
      </c>
      <c r="W251" s="320">
        <v>1</v>
      </c>
      <c r="X251" s="328">
        <f t="shared" si="99"/>
        <v>4.49</v>
      </c>
      <c r="Y251" s="464">
        <v>1</v>
      </c>
      <c r="Z251" s="328">
        <f t="shared" si="100"/>
        <v>4.49</v>
      </c>
      <c r="AB251" s="458">
        <f t="shared" si="101"/>
        <v>0</v>
      </c>
      <c r="AC251" s="348">
        <f t="shared" si="102"/>
        <v>0</v>
      </c>
    </row>
    <row r="252" spans="1:29">
      <c r="A252" s="318"/>
      <c r="B252" s="319"/>
      <c r="C252" s="318"/>
      <c r="D252" s="318"/>
      <c r="E252" s="319"/>
      <c r="F252" s="319"/>
      <c r="G252" s="318" t="s">
        <v>1648</v>
      </c>
      <c r="H252" s="328">
        <v>4.49</v>
      </c>
      <c r="I252" s="318">
        <v>1</v>
      </c>
      <c r="J252" s="318">
        <f t="shared" si="94"/>
        <v>1</v>
      </c>
      <c r="K252" s="328">
        <f t="shared" si="95"/>
        <v>4.49</v>
      </c>
      <c r="L252" s="350" t="s">
        <v>2689</v>
      </c>
      <c r="M252" s="350" t="s">
        <v>2707</v>
      </c>
      <c r="N252" s="318">
        <v>1</v>
      </c>
      <c r="O252" s="621">
        <f t="shared" si="96"/>
        <v>4.49</v>
      </c>
      <c r="P252" s="755">
        <v>1</v>
      </c>
      <c r="Q252" s="755">
        <f t="shared" si="97"/>
        <v>0</v>
      </c>
      <c r="R252" s="341">
        <v>1</v>
      </c>
      <c r="S252" s="318">
        <f t="shared" si="103"/>
        <v>4.49</v>
      </c>
      <c r="T252" s="319"/>
      <c r="V252" s="328">
        <f t="shared" si="104"/>
        <v>4.49</v>
      </c>
      <c r="W252" s="320">
        <v>1</v>
      </c>
      <c r="X252" s="328">
        <f t="shared" si="99"/>
        <v>4.49</v>
      </c>
      <c r="Y252" s="464">
        <v>1</v>
      </c>
      <c r="Z252" s="328">
        <f t="shared" si="100"/>
        <v>4.49</v>
      </c>
      <c r="AB252" s="458">
        <f t="shared" si="101"/>
        <v>0</v>
      </c>
      <c r="AC252" s="348">
        <f t="shared" si="102"/>
        <v>0</v>
      </c>
    </row>
    <row r="253" spans="1:29">
      <c r="A253" s="318"/>
      <c r="B253" s="319"/>
      <c r="C253" s="318"/>
      <c r="D253" s="318"/>
      <c r="E253" s="319"/>
      <c r="F253" s="319"/>
      <c r="G253" s="318" t="s">
        <v>1649</v>
      </c>
      <c r="H253" s="328">
        <v>4.49</v>
      </c>
      <c r="I253" s="318">
        <v>1</v>
      </c>
      <c r="J253" s="318">
        <f t="shared" si="94"/>
        <v>1</v>
      </c>
      <c r="K253" s="328">
        <f t="shared" si="95"/>
        <v>4.49</v>
      </c>
      <c r="L253" s="318" t="s">
        <v>203</v>
      </c>
      <c r="M253" s="318" t="s">
        <v>204</v>
      </c>
      <c r="N253" s="318">
        <v>1</v>
      </c>
      <c r="O253" s="621">
        <f t="shared" si="96"/>
        <v>4.49</v>
      </c>
      <c r="P253" s="755">
        <v>1</v>
      </c>
      <c r="Q253" s="755">
        <f t="shared" si="97"/>
        <v>0</v>
      </c>
      <c r="R253" s="341">
        <v>1</v>
      </c>
      <c r="S253" s="318">
        <f t="shared" si="103"/>
        <v>4.49</v>
      </c>
      <c r="T253" s="319"/>
      <c r="V253" s="328">
        <f t="shared" si="104"/>
        <v>4.49</v>
      </c>
      <c r="W253" s="320">
        <v>1</v>
      </c>
      <c r="X253" s="328">
        <f t="shared" si="99"/>
        <v>4.49</v>
      </c>
      <c r="Y253" s="464">
        <v>1</v>
      </c>
      <c r="Z253" s="328">
        <f t="shared" si="100"/>
        <v>4.49</v>
      </c>
      <c r="AB253" s="458">
        <f t="shared" si="101"/>
        <v>0</v>
      </c>
      <c r="AC253" s="348">
        <f t="shared" si="102"/>
        <v>0</v>
      </c>
    </row>
    <row r="254" spans="1:29">
      <c r="A254" s="318"/>
      <c r="B254" s="319"/>
      <c r="C254" s="318"/>
      <c r="D254" s="318"/>
      <c r="E254" s="319"/>
      <c r="F254" s="319"/>
      <c r="G254" s="318" t="s">
        <v>1650</v>
      </c>
      <c r="H254" s="328">
        <v>4.49</v>
      </c>
      <c r="I254" s="318">
        <v>1</v>
      </c>
      <c r="J254" s="318">
        <f t="shared" si="94"/>
        <v>1</v>
      </c>
      <c r="K254" s="328">
        <f t="shared" si="95"/>
        <v>4.49</v>
      </c>
      <c r="L254" s="318" t="s">
        <v>203</v>
      </c>
      <c r="M254" s="318" t="s">
        <v>204</v>
      </c>
      <c r="N254" s="318">
        <v>1</v>
      </c>
      <c r="O254" s="621">
        <f t="shared" si="96"/>
        <v>4.49</v>
      </c>
      <c r="P254" s="755">
        <v>1</v>
      </c>
      <c r="Q254" s="755">
        <f t="shared" si="97"/>
        <v>0</v>
      </c>
      <c r="R254" s="341">
        <v>1</v>
      </c>
      <c r="S254" s="318">
        <f t="shared" si="103"/>
        <v>4.49</v>
      </c>
      <c r="T254" s="319"/>
      <c r="V254" s="328">
        <f t="shared" si="104"/>
        <v>4.49</v>
      </c>
      <c r="W254" s="320">
        <v>1</v>
      </c>
      <c r="X254" s="328">
        <f t="shared" si="99"/>
        <v>4.49</v>
      </c>
      <c r="Y254" s="464">
        <v>1</v>
      </c>
      <c r="Z254" s="328">
        <f t="shared" si="100"/>
        <v>4.49</v>
      </c>
      <c r="AB254" s="458">
        <f t="shared" si="101"/>
        <v>0</v>
      </c>
      <c r="AC254" s="348">
        <f t="shared" si="102"/>
        <v>0</v>
      </c>
    </row>
    <row r="255" spans="1:29">
      <c r="A255" s="318"/>
      <c r="B255" s="319"/>
      <c r="C255" s="318"/>
      <c r="D255" s="318"/>
      <c r="E255" s="319"/>
      <c r="F255" s="319"/>
      <c r="G255" s="318" t="s">
        <v>1651</v>
      </c>
      <c r="H255" s="328">
        <v>4.49</v>
      </c>
      <c r="I255" s="318">
        <v>1</v>
      </c>
      <c r="J255" s="318">
        <f t="shared" si="94"/>
        <v>1</v>
      </c>
      <c r="K255" s="328">
        <f t="shared" si="95"/>
        <v>4.49</v>
      </c>
      <c r="L255" s="318" t="s">
        <v>203</v>
      </c>
      <c r="M255" s="318" t="s">
        <v>204</v>
      </c>
      <c r="N255" s="318">
        <v>1</v>
      </c>
      <c r="O255" s="621">
        <f t="shared" si="96"/>
        <v>4.49</v>
      </c>
      <c r="P255" s="755">
        <v>1</v>
      </c>
      <c r="Q255" s="755">
        <f t="shared" si="97"/>
        <v>0</v>
      </c>
      <c r="R255" s="341">
        <v>1</v>
      </c>
      <c r="S255" s="318">
        <f t="shared" si="103"/>
        <v>4.49</v>
      </c>
      <c r="T255" s="319"/>
      <c r="V255" s="328">
        <f t="shared" si="104"/>
        <v>4.49</v>
      </c>
      <c r="W255" s="320">
        <v>1</v>
      </c>
      <c r="X255" s="328">
        <f t="shared" si="99"/>
        <v>4.49</v>
      </c>
      <c r="Y255" s="464">
        <v>1</v>
      </c>
      <c r="Z255" s="328">
        <f t="shared" si="100"/>
        <v>4.49</v>
      </c>
      <c r="AB255" s="458">
        <f t="shared" si="101"/>
        <v>0</v>
      </c>
      <c r="AC255" s="348">
        <f t="shared" si="102"/>
        <v>0</v>
      </c>
    </row>
    <row r="256" spans="1:29">
      <c r="A256" s="318"/>
      <c r="B256" s="319"/>
      <c r="C256" s="318"/>
      <c r="D256" s="318"/>
      <c r="E256" s="319"/>
      <c r="F256" s="319"/>
      <c r="G256" s="318" t="s">
        <v>1652</v>
      </c>
      <c r="H256" s="328">
        <v>4.49</v>
      </c>
      <c r="I256" s="318">
        <v>1</v>
      </c>
      <c r="J256" s="318">
        <f t="shared" si="94"/>
        <v>1</v>
      </c>
      <c r="K256" s="328">
        <f t="shared" si="95"/>
        <v>4.49</v>
      </c>
      <c r="L256" s="318"/>
      <c r="M256" s="318"/>
      <c r="N256" s="318">
        <v>1</v>
      </c>
      <c r="O256" s="621">
        <f t="shared" si="96"/>
        <v>4.49</v>
      </c>
      <c r="P256" s="755">
        <v>1</v>
      </c>
      <c r="Q256" s="755">
        <f t="shared" si="97"/>
        <v>0</v>
      </c>
      <c r="R256" s="341">
        <v>1</v>
      </c>
      <c r="S256" s="318">
        <f t="shared" si="103"/>
        <v>4.49</v>
      </c>
      <c r="T256" s="319"/>
      <c r="V256" s="328">
        <f t="shared" si="104"/>
        <v>4.49</v>
      </c>
      <c r="W256" s="320">
        <v>1</v>
      </c>
      <c r="X256" s="328">
        <f t="shared" si="99"/>
        <v>4.49</v>
      </c>
      <c r="Y256" s="464">
        <v>1</v>
      </c>
      <c r="Z256" s="328">
        <f t="shared" si="100"/>
        <v>4.49</v>
      </c>
      <c r="AB256" s="458">
        <f t="shared" si="101"/>
        <v>0</v>
      </c>
      <c r="AC256" s="348">
        <f t="shared" si="102"/>
        <v>0</v>
      </c>
    </row>
    <row r="257" spans="1:29">
      <c r="A257" s="318"/>
      <c r="B257" s="319"/>
      <c r="C257" s="318"/>
      <c r="D257" s="318"/>
      <c r="E257" s="319"/>
      <c r="F257" s="319"/>
      <c r="G257" s="318" t="s">
        <v>1653</v>
      </c>
      <c r="H257" s="328">
        <v>4.49</v>
      </c>
      <c r="I257" s="318">
        <v>1</v>
      </c>
      <c r="J257" s="318">
        <f t="shared" si="94"/>
        <v>1</v>
      </c>
      <c r="K257" s="328">
        <f t="shared" si="95"/>
        <v>4.49</v>
      </c>
      <c r="L257" s="350" t="s">
        <v>3222</v>
      </c>
      <c r="M257" s="350" t="s">
        <v>3237</v>
      </c>
      <c r="N257" s="318">
        <v>1</v>
      </c>
      <c r="O257" s="621">
        <f t="shared" si="96"/>
        <v>4.49</v>
      </c>
      <c r="P257" s="755">
        <v>1</v>
      </c>
      <c r="Q257" s="755">
        <f t="shared" si="97"/>
        <v>0</v>
      </c>
      <c r="R257" s="341">
        <v>1</v>
      </c>
      <c r="S257" s="318">
        <f t="shared" si="103"/>
        <v>4.49</v>
      </c>
      <c r="T257" s="319"/>
      <c r="V257" s="328">
        <f t="shared" si="104"/>
        <v>4.49</v>
      </c>
      <c r="W257" s="320">
        <v>1</v>
      </c>
      <c r="X257" s="328">
        <f t="shared" si="99"/>
        <v>4.49</v>
      </c>
      <c r="Y257" s="464">
        <v>1</v>
      </c>
      <c r="Z257" s="328">
        <f t="shared" si="100"/>
        <v>4.49</v>
      </c>
      <c r="AB257" s="458">
        <f t="shared" si="101"/>
        <v>0</v>
      </c>
      <c r="AC257" s="348">
        <f t="shared" si="102"/>
        <v>0</v>
      </c>
    </row>
    <row r="258" spans="1:29">
      <c r="A258" s="318"/>
      <c r="B258" s="319"/>
      <c r="C258" s="318"/>
      <c r="D258" s="318"/>
      <c r="E258" s="319"/>
      <c r="F258" s="319"/>
      <c r="G258" s="318" t="s">
        <v>1654</v>
      </c>
      <c r="H258" s="328">
        <v>4.49</v>
      </c>
      <c r="I258" s="318">
        <v>1</v>
      </c>
      <c r="J258" s="318">
        <f t="shared" si="94"/>
        <v>1</v>
      </c>
      <c r="K258" s="328">
        <f t="shared" si="95"/>
        <v>4.49</v>
      </c>
      <c r="L258" s="318">
        <v>2100</v>
      </c>
      <c r="M258" s="318"/>
      <c r="N258" s="318">
        <v>1</v>
      </c>
      <c r="O258" s="621">
        <f t="shared" si="96"/>
        <v>4.49</v>
      </c>
      <c r="P258" s="755">
        <v>1</v>
      </c>
      <c r="Q258" s="755">
        <f t="shared" si="97"/>
        <v>0</v>
      </c>
      <c r="R258" s="341">
        <v>1</v>
      </c>
      <c r="S258" s="318">
        <f t="shared" si="103"/>
        <v>4.49</v>
      </c>
      <c r="T258" s="319"/>
      <c r="V258" s="328">
        <f t="shared" si="104"/>
        <v>4.49</v>
      </c>
      <c r="W258" s="320">
        <v>1</v>
      </c>
      <c r="X258" s="328">
        <f t="shared" si="99"/>
        <v>4.49</v>
      </c>
      <c r="Y258" s="464">
        <v>1</v>
      </c>
      <c r="Z258" s="328">
        <f t="shared" si="100"/>
        <v>4.49</v>
      </c>
      <c r="AB258" s="458">
        <f t="shared" si="101"/>
        <v>0</v>
      </c>
      <c r="AC258" s="348">
        <f t="shared" si="102"/>
        <v>0</v>
      </c>
    </row>
    <row r="259" spans="1:29">
      <c r="A259" s="318"/>
      <c r="B259" s="319"/>
      <c r="C259" s="318"/>
      <c r="D259" s="318"/>
      <c r="E259" s="319"/>
      <c r="F259" s="319"/>
      <c r="G259" s="318" t="s">
        <v>1655</v>
      </c>
      <c r="H259" s="328">
        <v>4.49</v>
      </c>
      <c r="I259" s="318">
        <v>1</v>
      </c>
      <c r="J259" s="318">
        <f t="shared" si="94"/>
        <v>1</v>
      </c>
      <c r="K259" s="328">
        <f t="shared" si="95"/>
        <v>4.49</v>
      </c>
      <c r="L259" s="350" t="s">
        <v>2769</v>
      </c>
      <c r="M259" s="318"/>
      <c r="N259" s="318">
        <v>1</v>
      </c>
      <c r="O259" s="621">
        <f t="shared" si="96"/>
        <v>4.49</v>
      </c>
      <c r="P259" s="755">
        <v>1</v>
      </c>
      <c r="Q259" s="755">
        <f t="shared" si="97"/>
        <v>0</v>
      </c>
      <c r="R259" s="341">
        <v>1</v>
      </c>
      <c r="S259" s="318">
        <f t="shared" si="103"/>
        <v>4.49</v>
      </c>
      <c r="T259" s="319"/>
      <c r="V259" s="328">
        <f t="shared" si="104"/>
        <v>4.49</v>
      </c>
      <c r="W259" s="320">
        <v>1</v>
      </c>
      <c r="X259" s="328">
        <f t="shared" si="99"/>
        <v>4.49</v>
      </c>
      <c r="Y259" s="464">
        <v>1</v>
      </c>
      <c r="Z259" s="328">
        <f t="shared" si="100"/>
        <v>4.49</v>
      </c>
      <c r="AB259" s="458">
        <f t="shared" si="101"/>
        <v>0</v>
      </c>
      <c r="AC259" s="348">
        <f t="shared" si="102"/>
        <v>0</v>
      </c>
    </row>
    <row r="260" spans="1:29">
      <c r="A260" s="318"/>
      <c r="B260" s="319"/>
      <c r="C260" s="318"/>
      <c r="D260" s="318"/>
      <c r="E260" s="319"/>
      <c r="F260" s="319"/>
      <c r="G260" s="318" t="s">
        <v>1656</v>
      </c>
      <c r="H260" s="328">
        <v>4.49</v>
      </c>
      <c r="I260" s="318">
        <v>1</v>
      </c>
      <c r="J260" s="318">
        <f t="shared" si="94"/>
        <v>1</v>
      </c>
      <c r="K260" s="328">
        <f t="shared" si="95"/>
        <v>4.49</v>
      </c>
      <c r="L260" s="318"/>
      <c r="M260" s="318"/>
      <c r="N260" s="318">
        <v>1</v>
      </c>
      <c r="O260" s="621">
        <f t="shared" si="96"/>
        <v>4.49</v>
      </c>
      <c r="P260" s="755">
        <v>1</v>
      </c>
      <c r="Q260" s="755">
        <f t="shared" si="97"/>
        <v>0</v>
      </c>
      <c r="R260" s="341">
        <v>1</v>
      </c>
      <c r="S260" s="318">
        <f t="shared" si="103"/>
        <v>4.49</v>
      </c>
      <c r="T260" s="319"/>
      <c r="V260" s="328">
        <f t="shared" si="104"/>
        <v>4.49</v>
      </c>
      <c r="W260" s="320">
        <v>1</v>
      </c>
      <c r="X260" s="328">
        <f t="shared" si="99"/>
        <v>4.49</v>
      </c>
      <c r="Y260" s="464">
        <v>1</v>
      </c>
      <c r="Z260" s="328">
        <f t="shared" si="100"/>
        <v>4.49</v>
      </c>
      <c r="AB260" s="458">
        <f t="shared" si="101"/>
        <v>0</v>
      </c>
      <c r="AC260" s="348">
        <f t="shared" si="102"/>
        <v>0</v>
      </c>
    </row>
    <row r="261" spans="1:29">
      <c r="A261" s="318"/>
      <c r="B261" s="319"/>
      <c r="C261" s="318"/>
      <c r="D261" s="318"/>
      <c r="E261" s="319"/>
      <c r="F261" s="319"/>
      <c r="G261" s="318" t="s">
        <v>1657</v>
      </c>
      <c r="H261" s="328">
        <v>4.49</v>
      </c>
      <c r="I261" s="318">
        <v>1</v>
      </c>
      <c r="J261" s="318">
        <f t="shared" si="94"/>
        <v>1</v>
      </c>
      <c r="K261" s="328">
        <f t="shared" si="95"/>
        <v>4.49</v>
      </c>
      <c r="L261" s="350" t="s">
        <v>2769</v>
      </c>
      <c r="M261" s="318"/>
      <c r="N261" s="318">
        <v>1</v>
      </c>
      <c r="O261" s="621">
        <f t="shared" si="96"/>
        <v>4.49</v>
      </c>
      <c r="P261" s="755">
        <v>1</v>
      </c>
      <c r="Q261" s="755">
        <f t="shared" si="97"/>
        <v>0</v>
      </c>
      <c r="R261" s="341">
        <v>1</v>
      </c>
      <c r="S261" s="318">
        <f t="shared" si="103"/>
        <v>4.49</v>
      </c>
      <c r="T261" s="319"/>
      <c r="V261" s="328">
        <f t="shared" si="104"/>
        <v>4.49</v>
      </c>
      <c r="W261" s="320">
        <v>1</v>
      </c>
      <c r="X261" s="328">
        <f t="shared" si="99"/>
        <v>4.49</v>
      </c>
      <c r="Y261" s="464">
        <v>1</v>
      </c>
      <c r="Z261" s="328">
        <f t="shared" si="100"/>
        <v>4.49</v>
      </c>
      <c r="AB261" s="458">
        <f t="shared" si="101"/>
        <v>0</v>
      </c>
      <c r="AC261" s="348">
        <f t="shared" si="102"/>
        <v>0</v>
      </c>
    </row>
    <row r="262" spans="1:29">
      <c r="A262" s="318"/>
      <c r="B262" s="319"/>
      <c r="C262" s="318"/>
      <c r="D262" s="318"/>
      <c r="E262" s="319"/>
      <c r="F262" s="319"/>
      <c r="G262" s="318" t="s">
        <v>1658</v>
      </c>
      <c r="H262" s="328">
        <v>4.49</v>
      </c>
      <c r="I262" s="318">
        <v>1</v>
      </c>
      <c r="J262" s="318">
        <f t="shared" si="94"/>
        <v>1</v>
      </c>
      <c r="K262" s="328">
        <f t="shared" si="95"/>
        <v>4.49</v>
      </c>
      <c r="L262" s="318"/>
      <c r="M262" s="318"/>
      <c r="N262" s="318">
        <v>1</v>
      </c>
      <c r="O262" s="621">
        <f t="shared" si="96"/>
        <v>4.49</v>
      </c>
      <c r="P262" s="755">
        <v>1</v>
      </c>
      <c r="Q262" s="755">
        <f t="shared" si="97"/>
        <v>0</v>
      </c>
      <c r="R262" s="341">
        <v>1</v>
      </c>
      <c r="S262" s="318">
        <f t="shared" si="103"/>
        <v>4.49</v>
      </c>
      <c r="T262" s="319"/>
      <c r="V262" s="328">
        <f t="shared" si="104"/>
        <v>4.49</v>
      </c>
      <c r="W262" s="320">
        <v>1</v>
      </c>
      <c r="X262" s="328">
        <f t="shared" si="99"/>
        <v>4.49</v>
      </c>
      <c r="Y262" s="464">
        <v>1</v>
      </c>
      <c r="Z262" s="328">
        <f t="shared" si="100"/>
        <v>4.49</v>
      </c>
      <c r="AB262" s="458">
        <f t="shared" si="101"/>
        <v>0</v>
      </c>
      <c r="AC262" s="348">
        <f t="shared" si="102"/>
        <v>0</v>
      </c>
    </row>
    <row r="263" spans="1:29">
      <c r="A263" s="318"/>
      <c r="B263" s="319"/>
      <c r="C263" s="318"/>
      <c r="D263" s="318"/>
      <c r="E263" s="319"/>
      <c r="F263" s="319"/>
      <c r="G263" s="318" t="s">
        <v>1659</v>
      </c>
      <c r="H263" s="328">
        <v>4.49</v>
      </c>
      <c r="I263" s="318">
        <v>1</v>
      </c>
      <c r="J263" s="318">
        <f t="shared" si="94"/>
        <v>1</v>
      </c>
      <c r="K263" s="328">
        <f t="shared" si="95"/>
        <v>4.49</v>
      </c>
      <c r="L263" s="318" t="s">
        <v>210</v>
      </c>
      <c r="M263" s="318" t="s">
        <v>209</v>
      </c>
      <c r="N263" s="318">
        <v>1</v>
      </c>
      <c r="O263" s="621">
        <f t="shared" si="96"/>
        <v>4.49</v>
      </c>
      <c r="P263" s="755">
        <v>1</v>
      </c>
      <c r="Q263" s="755">
        <f t="shared" si="97"/>
        <v>0</v>
      </c>
      <c r="R263" s="341">
        <v>1</v>
      </c>
      <c r="S263" s="318">
        <f t="shared" si="103"/>
        <v>4.49</v>
      </c>
      <c r="T263" s="319"/>
      <c r="V263" s="328">
        <f t="shared" si="104"/>
        <v>4.49</v>
      </c>
      <c r="W263" s="320">
        <v>1</v>
      </c>
      <c r="X263" s="328">
        <f t="shared" si="99"/>
        <v>4.49</v>
      </c>
      <c r="Y263" s="464">
        <v>1</v>
      </c>
      <c r="Z263" s="328">
        <f t="shared" si="100"/>
        <v>4.49</v>
      </c>
      <c r="AB263" s="458">
        <f t="shared" si="101"/>
        <v>0</v>
      </c>
      <c r="AC263" s="348">
        <f t="shared" si="102"/>
        <v>0</v>
      </c>
    </row>
    <row r="264" spans="1:29">
      <c r="A264" s="318"/>
      <c r="B264" s="319"/>
      <c r="C264" s="318"/>
      <c r="D264" s="318"/>
      <c r="E264" s="319"/>
      <c r="F264" s="319"/>
      <c r="G264" s="318" t="s">
        <v>1660</v>
      </c>
      <c r="H264" s="328">
        <v>4.1100000000000003</v>
      </c>
      <c r="I264" s="318">
        <v>1</v>
      </c>
      <c r="J264" s="318">
        <f t="shared" si="94"/>
        <v>1</v>
      </c>
      <c r="K264" s="328">
        <f t="shared" si="95"/>
        <v>4.1100000000000003</v>
      </c>
      <c r="L264" s="318" t="s">
        <v>210</v>
      </c>
      <c r="M264" s="318" t="s">
        <v>209</v>
      </c>
      <c r="N264" s="318">
        <v>1</v>
      </c>
      <c r="O264" s="621">
        <f t="shared" si="96"/>
        <v>4.1100000000000003</v>
      </c>
      <c r="P264" s="755">
        <v>1</v>
      </c>
      <c r="Q264" s="755">
        <f t="shared" si="97"/>
        <v>0</v>
      </c>
      <c r="R264" s="341">
        <v>1</v>
      </c>
      <c r="S264" s="318">
        <f t="shared" si="103"/>
        <v>4.1100000000000003</v>
      </c>
      <c r="T264" s="319"/>
      <c r="V264" s="328">
        <v>4.1040000000000001</v>
      </c>
      <c r="W264" s="320">
        <v>1</v>
      </c>
      <c r="X264" s="328">
        <f t="shared" si="99"/>
        <v>4.1040000000000001</v>
      </c>
      <c r="Y264" s="464">
        <v>1</v>
      </c>
      <c r="Z264" s="328">
        <f t="shared" si="100"/>
        <v>4.1040000000000001</v>
      </c>
      <c r="AB264" s="458">
        <f t="shared" si="101"/>
        <v>-6.0000000000002274E-3</v>
      </c>
      <c r="AC264" s="348">
        <f t="shared" si="102"/>
        <v>-6.0000000000002274E-3</v>
      </c>
    </row>
    <row r="265" spans="1:29">
      <c r="A265" s="318"/>
      <c r="B265" s="319"/>
      <c r="C265" s="318"/>
      <c r="D265" s="318"/>
      <c r="E265" s="319"/>
      <c r="F265" s="336" t="s">
        <v>558</v>
      </c>
      <c r="G265" s="318" t="s">
        <v>1661</v>
      </c>
      <c r="H265" s="328">
        <v>2.4500000000000002</v>
      </c>
      <c r="I265" s="318">
        <v>1</v>
      </c>
      <c r="J265" s="318">
        <f t="shared" si="94"/>
        <v>1</v>
      </c>
      <c r="K265" s="328">
        <f t="shared" si="95"/>
        <v>2.4500000000000002</v>
      </c>
      <c r="L265" s="350" t="s">
        <v>2685</v>
      </c>
      <c r="M265" s="350" t="s">
        <v>2708</v>
      </c>
      <c r="N265" s="318">
        <v>1</v>
      </c>
      <c r="O265" s="621">
        <f t="shared" si="96"/>
        <v>2.4500000000000002</v>
      </c>
      <c r="P265" s="755">
        <v>1</v>
      </c>
      <c r="Q265" s="755">
        <f t="shared" si="97"/>
        <v>0</v>
      </c>
      <c r="R265" s="341">
        <v>1</v>
      </c>
      <c r="S265" s="318">
        <f t="shared" si="103"/>
        <v>2.4500000000000002</v>
      </c>
      <c r="T265" s="319"/>
      <c r="V265" s="328">
        <f>2.44</f>
        <v>2.44</v>
      </c>
      <c r="W265" s="320">
        <v>1</v>
      </c>
      <c r="X265" s="328">
        <f t="shared" si="99"/>
        <v>2.44</v>
      </c>
      <c r="Y265" s="464">
        <v>1</v>
      </c>
      <c r="Z265" s="328">
        <f t="shared" si="100"/>
        <v>2.44</v>
      </c>
      <c r="AB265" s="458">
        <f t="shared" si="101"/>
        <v>-1.0000000000000231E-2</v>
      </c>
      <c r="AC265" s="348">
        <f t="shared" si="102"/>
        <v>-1.0000000000000231E-2</v>
      </c>
    </row>
    <row r="266" spans="1:29">
      <c r="A266" s="318"/>
      <c r="B266" s="319"/>
      <c r="C266" s="318"/>
      <c r="D266" s="318"/>
      <c r="E266" s="319"/>
      <c r="F266" s="336" t="s">
        <v>558</v>
      </c>
      <c r="G266" s="318" t="s">
        <v>1662</v>
      </c>
      <c r="H266" s="328">
        <v>3.43</v>
      </c>
      <c r="I266" s="318">
        <v>1</v>
      </c>
      <c r="J266" s="318">
        <f t="shared" si="94"/>
        <v>1</v>
      </c>
      <c r="K266" s="328">
        <f t="shared" si="95"/>
        <v>3.43</v>
      </c>
      <c r="L266" s="350" t="s">
        <v>2685</v>
      </c>
      <c r="M266" s="350" t="s">
        <v>2708</v>
      </c>
      <c r="N266" s="318">
        <v>1</v>
      </c>
      <c r="O266" s="621">
        <f t="shared" si="96"/>
        <v>3.43</v>
      </c>
      <c r="P266" s="755">
        <v>1</v>
      </c>
      <c r="Q266" s="755">
        <f t="shared" si="97"/>
        <v>0</v>
      </c>
      <c r="R266" s="341">
        <v>1</v>
      </c>
      <c r="S266" s="318">
        <f t="shared" si="103"/>
        <v>3.43</v>
      </c>
      <c r="T266" s="319"/>
      <c r="V266" s="328">
        <f>2.44+0.977</f>
        <v>3.4169999999999998</v>
      </c>
      <c r="W266" s="320">
        <v>1</v>
      </c>
      <c r="X266" s="328">
        <f t="shared" si="99"/>
        <v>3.4169999999999998</v>
      </c>
      <c r="Y266" s="464">
        <v>1</v>
      </c>
      <c r="Z266" s="328">
        <f t="shared" si="100"/>
        <v>3.4169999999999998</v>
      </c>
      <c r="AB266" s="458">
        <f t="shared" si="101"/>
        <v>-1.3000000000000345E-2</v>
      </c>
      <c r="AC266" s="348">
        <f t="shared" si="102"/>
        <v>-1.3000000000000345E-2</v>
      </c>
    </row>
    <row r="267" spans="1:29">
      <c r="A267" s="318"/>
      <c r="B267" s="319"/>
      <c r="C267" s="318"/>
      <c r="D267" s="318"/>
      <c r="E267" s="319"/>
      <c r="F267" s="319"/>
      <c r="G267" s="318" t="s">
        <v>1663</v>
      </c>
      <c r="H267" s="328">
        <v>4.24</v>
      </c>
      <c r="I267" s="318">
        <v>1</v>
      </c>
      <c r="J267" s="318">
        <f t="shared" si="94"/>
        <v>1</v>
      </c>
      <c r="K267" s="328">
        <f t="shared" si="95"/>
        <v>4.24</v>
      </c>
      <c r="L267" s="318"/>
      <c r="M267" s="318"/>
      <c r="N267" s="318">
        <v>1</v>
      </c>
      <c r="O267" s="621">
        <f t="shared" si="96"/>
        <v>4.24</v>
      </c>
      <c r="P267" s="755">
        <v>1</v>
      </c>
      <c r="Q267" s="755">
        <f t="shared" si="97"/>
        <v>0</v>
      </c>
      <c r="R267" s="341">
        <v>1</v>
      </c>
      <c r="S267" s="318">
        <f t="shared" si="103"/>
        <v>4.24</v>
      </c>
      <c r="T267" s="319"/>
      <c r="V267" s="328">
        <v>4.2279999999999998</v>
      </c>
      <c r="W267" s="320">
        <v>1</v>
      </c>
      <c r="X267" s="328">
        <f t="shared" si="99"/>
        <v>4.2279999999999998</v>
      </c>
      <c r="Y267" s="464">
        <v>1</v>
      </c>
      <c r="Z267" s="328">
        <f t="shared" si="100"/>
        <v>4.2279999999999998</v>
      </c>
      <c r="AB267" s="458">
        <f t="shared" si="101"/>
        <v>-1.2000000000000455E-2</v>
      </c>
      <c r="AC267" s="348">
        <f t="shared" si="102"/>
        <v>-1.2000000000000455E-2</v>
      </c>
    </row>
    <row r="268" spans="1:29">
      <c r="A268" s="318"/>
      <c r="B268" s="319"/>
      <c r="C268" s="318"/>
      <c r="D268" s="318"/>
      <c r="E268" s="319"/>
      <c r="F268" s="319"/>
      <c r="G268" s="318" t="s">
        <v>1664</v>
      </c>
      <c r="H268" s="328">
        <v>4.24</v>
      </c>
      <c r="I268" s="318">
        <v>1</v>
      </c>
      <c r="J268" s="318">
        <f t="shared" si="94"/>
        <v>1</v>
      </c>
      <c r="K268" s="328">
        <f t="shared" si="95"/>
        <v>4.24</v>
      </c>
      <c r="L268" s="318" t="s">
        <v>210</v>
      </c>
      <c r="M268" s="318" t="s">
        <v>209</v>
      </c>
      <c r="N268" s="318">
        <v>1</v>
      </c>
      <c r="O268" s="621">
        <f t="shared" si="96"/>
        <v>4.24</v>
      </c>
      <c r="P268" s="755">
        <v>1</v>
      </c>
      <c r="Q268" s="755">
        <f t="shared" si="97"/>
        <v>0</v>
      </c>
      <c r="R268" s="341">
        <v>1</v>
      </c>
      <c r="S268" s="318">
        <f t="shared" si="103"/>
        <v>4.24</v>
      </c>
      <c r="T268" s="319"/>
      <c r="V268" s="328">
        <v>4.2290000000000001</v>
      </c>
      <c r="W268" s="320">
        <v>1</v>
      </c>
      <c r="X268" s="328">
        <f t="shared" si="99"/>
        <v>4.2290000000000001</v>
      </c>
      <c r="Y268" s="464">
        <v>1</v>
      </c>
      <c r="Z268" s="328">
        <f t="shared" si="100"/>
        <v>4.2290000000000001</v>
      </c>
      <c r="AB268" s="458">
        <f t="shared" si="101"/>
        <v>-1.1000000000000121E-2</v>
      </c>
      <c r="AC268" s="348">
        <f t="shared" si="102"/>
        <v>-1.1000000000000121E-2</v>
      </c>
    </row>
    <row r="269" spans="1:29">
      <c r="A269" s="318"/>
      <c r="B269" s="319"/>
      <c r="C269" s="318"/>
      <c r="D269" s="318"/>
      <c r="E269" s="319"/>
      <c r="F269" s="336"/>
      <c r="G269" s="318" t="s">
        <v>1665</v>
      </c>
      <c r="H269" s="328">
        <v>4.24</v>
      </c>
      <c r="I269" s="318">
        <v>1</v>
      </c>
      <c r="J269" s="318">
        <f t="shared" si="94"/>
        <v>1</v>
      </c>
      <c r="K269" s="328">
        <f t="shared" si="95"/>
        <v>4.24</v>
      </c>
      <c r="L269" s="318"/>
      <c r="M269" s="318"/>
      <c r="N269" s="318">
        <v>1</v>
      </c>
      <c r="O269" s="621">
        <f t="shared" si="96"/>
        <v>4.24</v>
      </c>
      <c r="P269" s="755">
        <v>1</v>
      </c>
      <c r="Q269" s="755">
        <f t="shared" si="97"/>
        <v>0</v>
      </c>
      <c r="R269" s="341">
        <v>1</v>
      </c>
      <c r="S269" s="318">
        <f t="shared" si="103"/>
        <v>4.24</v>
      </c>
      <c r="T269" s="389"/>
      <c r="V269" s="328">
        <v>4.2290000000000001</v>
      </c>
      <c r="W269" s="320">
        <v>1</v>
      </c>
      <c r="X269" s="328">
        <f t="shared" si="99"/>
        <v>4.2290000000000001</v>
      </c>
      <c r="Y269" s="464">
        <v>1</v>
      </c>
      <c r="Z269" s="328">
        <f t="shared" si="100"/>
        <v>4.2290000000000001</v>
      </c>
      <c r="AB269" s="458">
        <f t="shared" si="101"/>
        <v>-1.1000000000000121E-2</v>
      </c>
      <c r="AC269" s="348">
        <f t="shared" si="102"/>
        <v>-1.1000000000000121E-2</v>
      </c>
    </row>
    <row r="270" spans="1:29" ht="14.4" customHeight="1">
      <c r="A270" s="318"/>
      <c r="B270" s="319"/>
      <c r="C270" s="318"/>
      <c r="D270" s="318"/>
      <c r="E270" s="319"/>
      <c r="F270" s="336"/>
      <c r="G270" s="318" t="s">
        <v>1666</v>
      </c>
      <c r="H270" s="328">
        <v>4.24</v>
      </c>
      <c r="I270" s="318">
        <v>1</v>
      </c>
      <c r="J270" s="318">
        <f t="shared" si="94"/>
        <v>1</v>
      </c>
      <c r="K270" s="328">
        <f t="shared" si="95"/>
        <v>4.24</v>
      </c>
      <c r="L270" s="318">
        <v>1244</v>
      </c>
      <c r="M270" s="318" t="s">
        <v>212</v>
      </c>
      <c r="N270" s="318">
        <v>1</v>
      </c>
      <c r="O270" s="621">
        <f t="shared" si="96"/>
        <v>4.24</v>
      </c>
      <c r="P270" s="755">
        <v>1</v>
      </c>
      <c r="Q270" s="755">
        <f t="shared" si="97"/>
        <v>0</v>
      </c>
      <c r="R270" s="341">
        <v>1</v>
      </c>
      <c r="S270" s="318">
        <f t="shared" si="103"/>
        <v>4.24</v>
      </c>
      <c r="T270" s="388"/>
      <c r="V270" s="328">
        <v>4.2290000000000001</v>
      </c>
      <c r="W270" s="320">
        <v>1</v>
      </c>
      <c r="X270" s="328">
        <f t="shared" si="99"/>
        <v>4.2290000000000001</v>
      </c>
      <c r="Y270" s="464">
        <v>1</v>
      </c>
      <c r="Z270" s="328">
        <f t="shared" si="100"/>
        <v>4.2290000000000001</v>
      </c>
      <c r="AB270" s="458">
        <f t="shared" si="101"/>
        <v>-1.1000000000000121E-2</v>
      </c>
      <c r="AC270" s="348">
        <f t="shared" si="102"/>
        <v>-1.1000000000000121E-2</v>
      </c>
    </row>
    <row r="271" spans="1:29">
      <c r="A271" s="318"/>
      <c r="B271" s="319"/>
      <c r="C271" s="318"/>
      <c r="D271" s="318"/>
      <c r="E271" s="319"/>
      <c r="F271" s="336" t="s">
        <v>558</v>
      </c>
      <c r="G271" s="318" t="s">
        <v>1667</v>
      </c>
      <c r="H271" s="328">
        <v>4.2</v>
      </c>
      <c r="I271" s="318">
        <v>1</v>
      </c>
      <c r="J271" s="318">
        <f t="shared" si="94"/>
        <v>1</v>
      </c>
      <c r="K271" s="328">
        <f t="shared" si="95"/>
        <v>4.2</v>
      </c>
      <c r="L271" s="350" t="s">
        <v>2685</v>
      </c>
      <c r="M271" s="350" t="s">
        <v>2708</v>
      </c>
      <c r="N271" s="318">
        <v>1</v>
      </c>
      <c r="O271" s="621">
        <f t="shared" si="96"/>
        <v>4.2</v>
      </c>
      <c r="P271" s="755">
        <v>1</v>
      </c>
      <c r="Q271" s="755">
        <f t="shared" si="97"/>
        <v>0</v>
      </c>
      <c r="R271" s="341">
        <v>1</v>
      </c>
      <c r="S271" s="318">
        <f t="shared" si="103"/>
        <v>4.2</v>
      </c>
      <c r="T271" s="389" t="s">
        <v>3429</v>
      </c>
      <c r="V271" s="328">
        <f>4.072+0.122</f>
        <v>4.194</v>
      </c>
      <c r="W271" s="320">
        <v>1</v>
      </c>
      <c r="X271" s="328">
        <f t="shared" si="99"/>
        <v>4.194</v>
      </c>
      <c r="Y271" s="464">
        <v>1</v>
      </c>
      <c r="Z271" s="328">
        <f t="shared" si="100"/>
        <v>4.194</v>
      </c>
      <c r="AB271" s="458">
        <f t="shared" si="101"/>
        <v>-6.0000000000002274E-3</v>
      </c>
      <c r="AC271" s="348">
        <f t="shared" si="102"/>
        <v>-6.0000000000002274E-3</v>
      </c>
    </row>
    <row r="272" spans="1:29">
      <c r="A272" s="318"/>
      <c r="B272" s="319"/>
      <c r="C272" s="318"/>
      <c r="D272" s="318"/>
      <c r="E272" s="319"/>
      <c r="F272" s="336" t="s">
        <v>558</v>
      </c>
      <c r="G272" s="318" t="s">
        <v>1668</v>
      </c>
      <c r="H272" s="328">
        <v>4.08</v>
      </c>
      <c r="I272" s="318">
        <v>1</v>
      </c>
      <c r="J272" s="318">
        <f t="shared" si="94"/>
        <v>1</v>
      </c>
      <c r="K272" s="328">
        <f t="shared" si="95"/>
        <v>4.08</v>
      </c>
      <c r="L272" s="350" t="s">
        <v>2685</v>
      </c>
      <c r="M272" s="350" t="s">
        <v>2708</v>
      </c>
      <c r="N272" s="318">
        <v>1</v>
      </c>
      <c r="O272" s="621">
        <f t="shared" si="96"/>
        <v>4.08</v>
      </c>
      <c r="P272" s="755">
        <v>1</v>
      </c>
      <c r="Q272" s="755">
        <f t="shared" si="97"/>
        <v>0</v>
      </c>
      <c r="R272" s="341">
        <v>1</v>
      </c>
      <c r="S272" s="318">
        <f t="shared" si="103"/>
        <v>4.08</v>
      </c>
      <c r="T272" s="389" t="s">
        <v>3429</v>
      </c>
      <c r="V272" s="328">
        <f>4.072</f>
        <v>4.0720000000000001</v>
      </c>
      <c r="W272" s="320">
        <v>1</v>
      </c>
      <c r="X272" s="328">
        <f t="shared" si="99"/>
        <v>4.0720000000000001</v>
      </c>
      <c r="Y272" s="464">
        <v>1</v>
      </c>
      <c r="Z272" s="328">
        <f t="shared" si="100"/>
        <v>4.0720000000000001</v>
      </c>
      <c r="AB272" s="458">
        <f t="shared" si="101"/>
        <v>-8.0000000000000071E-3</v>
      </c>
      <c r="AC272" s="348">
        <f t="shared" si="102"/>
        <v>-8.0000000000000071E-3</v>
      </c>
    </row>
    <row r="273" spans="1:29">
      <c r="A273" s="318"/>
      <c r="B273" s="319"/>
      <c r="C273" s="318"/>
      <c r="D273" s="318"/>
      <c r="E273" s="319"/>
      <c r="F273" s="319"/>
      <c r="G273" s="318" t="s">
        <v>1669</v>
      </c>
      <c r="H273" s="328">
        <v>2.0299999999999998</v>
      </c>
      <c r="I273" s="318">
        <v>1</v>
      </c>
      <c r="J273" s="318">
        <f t="shared" si="94"/>
        <v>1</v>
      </c>
      <c r="K273" s="328">
        <f t="shared" si="95"/>
        <v>2.0299999999999998</v>
      </c>
      <c r="L273" s="318"/>
      <c r="M273" s="318"/>
      <c r="N273" s="318">
        <v>1</v>
      </c>
      <c r="O273" s="621">
        <f t="shared" si="96"/>
        <v>2.0299999999999998</v>
      </c>
      <c r="P273" s="755">
        <v>1</v>
      </c>
      <c r="Q273" s="755">
        <f t="shared" si="97"/>
        <v>0</v>
      </c>
      <c r="R273" s="341">
        <v>1</v>
      </c>
      <c r="S273" s="318">
        <f t="shared" si="103"/>
        <v>2.0299999999999998</v>
      </c>
      <c r="T273" s="388"/>
      <c r="V273" s="328">
        <v>2.0169999999999999</v>
      </c>
      <c r="W273" s="320">
        <v>1</v>
      </c>
      <c r="X273" s="328">
        <f t="shared" si="99"/>
        <v>2.0169999999999999</v>
      </c>
      <c r="Y273" s="464">
        <v>1</v>
      </c>
      <c r="Z273" s="328">
        <f t="shared" si="100"/>
        <v>2.0169999999999999</v>
      </c>
      <c r="AB273" s="458">
        <f t="shared" si="101"/>
        <v>-1.2999999999999901E-2</v>
      </c>
      <c r="AC273" s="348">
        <f t="shared" si="102"/>
        <v>-1.2999999999999901E-2</v>
      </c>
    </row>
    <row r="274" spans="1:29">
      <c r="A274" s="318"/>
      <c r="B274" s="319"/>
      <c r="C274" s="318"/>
      <c r="D274" s="318"/>
      <c r="E274" s="319"/>
      <c r="F274" s="319"/>
      <c r="G274" s="318" t="s">
        <v>1670</v>
      </c>
      <c r="H274" s="328">
        <v>4.49</v>
      </c>
      <c r="I274" s="318">
        <v>1</v>
      </c>
      <c r="J274" s="318">
        <f t="shared" si="94"/>
        <v>1</v>
      </c>
      <c r="K274" s="328">
        <f t="shared" si="95"/>
        <v>4.49</v>
      </c>
      <c r="L274" s="318"/>
      <c r="M274" s="318"/>
      <c r="N274" s="318">
        <v>1</v>
      </c>
      <c r="O274" s="621">
        <f t="shared" si="96"/>
        <v>4.49</v>
      </c>
      <c r="P274" s="755">
        <v>1</v>
      </c>
      <c r="Q274" s="755">
        <f t="shared" si="97"/>
        <v>0</v>
      </c>
      <c r="R274" s="341">
        <v>1</v>
      </c>
      <c r="S274" s="318">
        <f t="shared" si="103"/>
        <v>4.49</v>
      </c>
      <c r="T274" s="388"/>
      <c r="V274" s="328">
        <f t="shared" ref="V274:V291" si="105">4.49</f>
        <v>4.49</v>
      </c>
      <c r="W274" s="320">
        <v>1</v>
      </c>
      <c r="X274" s="328">
        <f t="shared" si="99"/>
        <v>4.49</v>
      </c>
      <c r="Y274" s="464">
        <v>1</v>
      </c>
      <c r="Z274" s="328">
        <f t="shared" si="100"/>
        <v>4.49</v>
      </c>
      <c r="AB274" s="458">
        <f t="shared" si="101"/>
        <v>0</v>
      </c>
      <c r="AC274" s="348">
        <f t="shared" si="102"/>
        <v>0</v>
      </c>
    </row>
    <row r="275" spans="1:29">
      <c r="A275" s="318"/>
      <c r="B275" s="319"/>
      <c r="C275" s="318"/>
      <c r="D275" s="318"/>
      <c r="E275" s="319"/>
      <c r="F275" s="336"/>
      <c r="G275" s="318" t="s">
        <v>1671</v>
      </c>
      <c r="H275" s="328">
        <v>4.49</v>
      </c>
      <c r="I275" s="318">
        <v>1</v>
      </c>
      <c r="J275" s="318">
        <f t="shared" si="94"/>
        <v>1</v>
      </c>
      <c r="K275" s="328">
        <f t="shared" si="95"/>
        <v>4.49</v>
      </c>
      <c r="L275" s="318"/>
      <c r="M275" s="318"/>
      <c r="N275" s="318">
        <v>1</v>
      </c>
      <c r="O275" s="621">
        <f t="shared" si="96"/>
        <v>4.49</v>
      </c>
      <c r="P275" s="755">
        <v>1</v>
      </c>
      <c r="Q275" s="755">
        <f t="shared" si="97"/>
        <v>0</v>
      </c>
      <c r="R275" s="341">
        <v>1</v>
      </c>
      <c r="S275" s="318">
        <f t="shared" si="103"/>
        <v>4.49</v>
      </c>
      <c r="T275" s="389"/>
      <c r="V275" s="328">
        <f t="shared" si="105"/>
        <v>4.49</v>
      </c>
      <c r="W275" s="320">
        <v>1</v>
      </c>
      <c r="X275" s="328">
        <f t="shared" si="99"/>
        <v>4.49</v>
      </c>
      <c r="Y275" s="464">
        <v>1</v>
      </c>
      <c r="Z275" s="328">
        <f t="shared" si="100"/>
        <v>4.49</v>
      </c>
      <c r="AB275" s="458">
        <f t="shared" si="101"/>
        <v>0</v>
      </c>
      <c r="AC275" s="348">
        <f t="shared" si="102"/>
        <v>0</v>
      </c>
    </row>
    <row r="276" spans="1:29">
      <c r="A276" s="318"/>
      <c r="B276" s="319"/>
      <c r="C276" s="318"/>
      <c r="D276" s="318"/>
      <c r="E276" s="319"/>
      <c r="F276" s="336"/>
      <c r="G276" s="318" t="s">
        <v>1672</v>
      </c>
      <c r="H276" s="328">
        <v>4.49</v>
      </c>
      <c r="I276" s="318">
        <v>1</v>
      </c>
      <c r="J276" s="318">
        <f t="shared" si="94"/>
        <v>1</v>
      </c>
      <c r="K276" s="328">
        <f t="shared" si="95"/>
        <v>4.49</v>
      </c>
      <c r="L276" s="318">
        <v>1219</v>
      </c>
      <c r="M276" s="318" t="s">
        <v>208</v>
      </c>
      <c r="N276" s="318">
        <v>1</v>
      </c>
      <c r="O276" s="621">
        <f t="shared" si="96"/>
        <v>4.49</v>
      </c>
      <c r="P276" s="755">
        <v>1</v>
      </c>
      <c r="Q276" s="755">
        <f t="shared" si="97"/>
        <v>0</v>
      </c>
      <c r="R276" s="341">
        <v>1</v>
      </c>
      <c r="S276" s="318">
        <f t="shared" si="103"/>
        <v>4.49</v>
      </c>
      <c r="T276" s="389"/>
      <c r="V276" s="328">
        <f t="shared" si="105"/>
        <v>4.49</v>
      </c>
      <c r="W276" s="320">
        <v>1</v>
      </c>
      <c r="X276" s="328">
        <f t="shared" si="99"/>
        <v>4.49</v>
      </c>
      <c r="Y276" s="464">
        <v>1</v>
      </c>
      <c r="Z276" s="328">
        <f t="shared" si="100"/>
        <v>4.49</v>
      </c>
      <c r="AB276" s="458">
        <f t="shared" si="101"/>
        <v>0</v>
      </c>
      <c r="AC276" s="348">
        <f t="shared" si="102"/>
        <v>0</v>
      </c>
    </row>
    <row r="277" spans="1:29">
      <c r="A277" s="318"/>
      <c r="B277" s="319"/>
      <c r="C277" s="318"/>
      <c r="D277" s="318"/>
      <c r="E277" s="319"/>
      <c r="F277" s="336"/>
      <c r="G277" s="318" t="s">
        <v>1673</v>
      </c>
      <c r="H277" s="328">
        <v>4.49</v>
      </c>
      <c r="I277" s="318">
        <v>1</v>
      </c>
      <c r="J277" s="318">
        <f t="shared" si="94"/>
        <v>1</v>
      </c>
      <c r="K277" s="328">
        <f t="shared" si="95"/>
        <v>4.49</v>
      </c>
      <c r="L277" s="318">
        <v>1219</v>
      </c>
      <c r="M277" s="318" t="s">
        <v>208</v>
      </c>
      <c r="N277" s="318">
        <v>1</v>
      </c>
      <c r="O277" s="621">
        <f t="shared" si="96"/>
        <v>4.49</v>
      </c>
      <c r="P277" s="755">
        <v>1</v>
      </c>
      <c r="Q277" s="755">
        <f t="shared" si="97"/>
        <v>0</v>
      </c>
      <c r="R277" s="341">
        <v>1</v>
      </c>
      <c r="S277" s="318">
        <f t="shared" si="103"/>
        <v>4.49</v>
      </c>
      <c r="T277" s="389"/>
      <c r="V277" s="328">
        <f t="shared" si="105"/>
        <v>4.49</v>
      </c>
      <c r="W277" s="320">
        <v>1</v>
      </c>
      <c r="X277" s="328">
        <f t="shared" si="99"/>
        <v>4.49</v>
      </c>
      <c r="Y277" s="464">
        <v>1</v>
      </c>
      <c r="Z277" s="328">
        <f t="shared" si="100"/>
        <v>4.49</v>
      </c>
      <c r="AB277" s="458">
        <f t="shared" si="101"/>
        <v>0</v>
      </c>
      <c r="AC277" s="348">
        <f t="shared" si="102"/>
        <v>0</v>
      </c>
    </row>
    <row r="278" spans="1:29">
      <c r="A278" s="318"/>
      <c r="B278" s="319"/>
      <c r="C278" s="318"/>
      <c r="D278" s="318"/>
      <c r="E278" s="319"/>
      <c r="F278" s="336"/>
      <c r="G278" s="318" t="s">
        <v>1674</v>
      </c>
      <c r="H278" s="328">
        <v>4.49</v>
      </c>
      <c r="I278" s="318">
        <v>1</v>
      </c>
      <c r="J278" s="318">
        <f t="shared" si="94"/>
        <v>1</v>
      </c>
      <c r="K278" s="328">
        <f t="shared" si="95"/>
        <v>4.49</v>
      </c>
      <c r="L278" s="318" t="s">
        <v>205</v>
      </c>
      <c r="M278" s="318" t="s">
        <v>206</v>
      </c>
      <c r="N278" s="318">
        <v>1</v>
      </c>
      <c r="O278" s="621">
        <f t="shared" si="96"/>
        <v>4.49</v>
      </c>
      <c r="P278" s="755">
        <v>1</v>
      </c>
      <c r="Q278" s="755">
        <f t="shared" si="97"/>
        <v>0</v>
      </c>
      <c r="R278" s="341">
        <v>1</v>
      </c>
      <c r="S278" s="318">
        <f t="shared" si="103"/>
        <v>4.49</v>
      </c>
      <c r="T278" s="389"/>
      <c r="V278" s="328">
        <f t="shared" si="105"/>
        <v>4.49</v>
      </c>
      <c r="W278" s="320">
        <v>1</v>
      </c>
      <c r="X278" s="328">
        <f t="shared" si="99"/>
        <v>4.49</v>
      </c>
      <c r="Y278" s="464">
        <v>1</v>
      </c>
      <c r="Z278" s="328">
        <f t="shared" si="100"/>
        <v>4.49</v>
      </c>
      <c r="AB278" s="458">
        <f t="shared" si="101"/>
        <v>0</v>
      </c>
      <c r="AC278" s="348">
        <f t="shared" si="102"/>
        <v>0</v>
      </c>
    </row>
    <row r="279" spans="1:29">
      <c r="A279" s="318"/>
      <c r="B279" s="319"/>
      <c r="C279" s="318"/>
      <c r="D279" s="318"/>
      <c r="E279" s="319"/>
      <c r="F279" s="336"/>
      <c r="G279" s="318" t="s">
        <v>1675</v>
      </c>
      <c r="H279" s="328">
        <v>4.49</v>
      </c>
      <c r="I279" s="318">
        <v>1</v>
      </c>
      <c r="J279" s="318">
        <f t="shared" si="94"/>
        <v>1</v>
      </c>
      <c r="K279" s="328">
        <f t="shared" si="95"/>
        <v>4.49</v>
      </c>
      <c r="L279" s="318" t="s">
        <v>205</v>
      </c>
      <c r="M279" s="318" t="s">
        <v>206</v>
      </c>
      <c r="N279" s="318">
        <v>1</v>
      </c>
      <c r="O279" s="621">
        <f t="shared" si="96"/>
        <v>4.49</v>
      </c>
      <c r="P279" s="755">
        <v>1</v>
      </c>
      <c r="Q279" s="755">
        <f t="shared" si="97"/>
        <v>0</v>
      </c>
      <c r="R279" s="341">
        <v>1</v>
      </c>
      <c r="S279" s="318">
        <f t="shared" si="103"/>
        <v>4.49</v>
      </c>
      <c r="T279" s="389"/>
      <c r="V279" s="328">
        <f t="shared" si="105"/>
        <v>4.49</v>
      </c>
      <c r="W279" s="320">
        <v>1</v>
      </c>
      <c r="X279" s="328">
        <f t="shared" si="99"/>
        <v>4.49</v>
      </c>
      <c r="Y279" s="464">
        <v>1</v>
      </c>
      <c r="Z279" s="328">
        <f t="shared" si="100"/>
        <v>4.49</v>
      </c>
      <c r="AB279" s="458">
        <f t="shared" si="101"/>
        <v>0</v>
      </c>
      <c r="AC279" s="348">
        <f t="shared" si="102"/>
        <v>0</v>
      </c>
    </row>
    <row r="280" spans="1:29">
      <c r="A280" s="318"/>
      <c r="B280" s="319"/>
      <c r="C280" s="318"/>
      <c r="D280" s="318"/>
      <c r="E280" s="319"/>
      <c r="F280" s="336"/>
      <c r="G280" s="318" t="s">
        <v>1676</v>
      </c>
      <c r="H280" s="328">
        <v>4.49</v>
      </c>
      <c r="I280" s="318">
        <v>1</v>
      </c>
      <c r="J280" s="318">
        <f t="shared" si="94"/>
        <v>1</v>
      </c>
      <c r="K280" s="328">
        <f t="shared" si="95"/>
        <v>4.49</v>
      </c>
      <c r="L280" s="318" t="s">
        <v>205</v>
      </c>
      <c r="M280" s="318" t="s">
        <v>206</v>
      </c>
      <c r="N280" s="318">
        <v>1</v>
      </c>
      <c r="O280" s="621">
        <f t="shared" si="96"/>
        <v>4.49</v>
      </c>
      <c r="P280" s="755">
        <v>1</v>
      </c>
      <c r="Q280" s="755">
        <f t="shared" si="97"/>
        <v>0</v>
      </c>
      <c r="R280" s="341">
        <v>1</v>
      </c>
      <c r="S280" s="318">
        <f t="shared" si="103"/>
        <v>4.49</v>
      </c>
      <c r="T280" s="389"/>
      <c r="V280" s="328">
        <f t="shared" si="105"/>
        <v>4.49</v>
      </c>
      <c r="W280" s="320">
        <v>1</v>
      </c>
      <c r="X280" s="328">
        <f t="shared" si="99"/>
        <v>4.49</v>
      </c>
      <c r="Y280" s="464">
        <v>1</v>
      </c>
      <c r="Z280" s="328">
        <f t="shared" si="100"/>
        <v>4.49</v>
      </c>
      <c r="AB280" s="458">
        <f t="shared" si="101"/>
        <v>0</v>
      </c>
      <c r="AC280" s="348">
        <f t="shared" si="102"/>
        <v>0</v>
      </c>
    </row>
    <row r="281" spans="1:29">
      <c r="A281" s="318"/>
      <c r="B281" s="319"/>
      <c r="C281" s="318"/>
      <c r="D281" s="318"/>
      <c r="E281" s="319"/>
      <c r="F281" s="336"/>
      <c r="G281" s="318" t="s">
        <v>1677</v>
      </c>
      <c r="H281" s="328">
        <v>4.49</v>
      </c>
      <c r="I281" s="318">
        <v>1</v>
      </c>
      <c r="J281" s="318">
        <f t="shared" si="94"/>
        <v>1</v>
      </c>
      <c r="K281" s="328">
        <f t="shared" si="95"/>
        <v>4.49</v>
      </c>
      <c r="L281" s="318" t="s">
        <v>205</v>
      </c>
      <c r="M281" s="318" t="s">
        <v>206</v>
      </c>
      <c r="N281" s="318">
        <v>1</v>
      </c>
      <c r="O281" s="621">
        <f t="shared" si="96"/>
        <v>4.49</v>
      </c>
      <c r="P281" s="755">
        <v>1</v>
      </c>
      <c r="Q281" s="755">
        <f t="shared" si="97"/>
        <v>0</v>
      </c>
      <c r="R281" s="341">
        <v>1</v>
      </c>
      <c r="S281" s="318">
        <f t="shared" si="103"/>
        <v>4.49</v>
      </c>
      <c r="T281" s="389"/>
      <c r="V281" s="328">
        <f t="shared" si="105"/>
        <v>4.49</v>
      </c>
      <c r="W281" s="320">
        <v>1</v>
      </c>
      <c r="X281" s="328">
        <f t="shared" si="99"/>
        <v>4.49</v>
      </c>
      <c r="Y281" s="464">
        <v>1</v>
      </c>
      <c r="Z281" s="328">
        <f t="shared" si="100"/>
        <v>4.49</v>
      </c>
      <c r="AB281" s="458">
        <f t="shared" si="101"/>
        <v>0</v>
      </c>
      <c r="AC281" s="348">
        <f t="shared" si="102"/>
        <v>0</v>
      </c>
    </row>
    <row r="282" spans="1:29">
      <c r="A282" s="318"/>
      <c r="B282" s="319"/>
      <c r="C282" s="318"/>
      <c r="D282" s="318"/>
      <c r="E282" s="319"/>
      <c r="F282" s="336"/>
      <c r="G282" s="318" t="s">
        <v>1678</v>
      </c>
      <c r="H282" s="328">
        <v>4.49</v>
      </c>
      <c r="I282" s="318">
        <v>1</v>
      </c>
      <c r="J282" s="318">
        <f t="shared" si="94"/>
        <v>1</v>
      </c>
      <c r="K282" s="328">
        <f t="shared" si="95"/>
        <v>4.49</v>
      </c>
      <c r="L282" s="318">
        <v>1229</v>
      </c>
      <c r="M282" s="318" t="s">
        <v>350</v>
      </c>
      <c r="N282" s="318">
        <v>1</v>
      </c>
      <c r="O282" s="621">
        <f t="shared" si="96"/>
        <v>4.49</v>
      </c>
      <c r="P282" s="755">
        <v>1</v>
      </c>
      <c r="Q282" s="755">
        <f t="shared" si="97"/>
        <v>0</v>
      </c>
      <c r="R282" s="341">
        <v>1</v>
      </c>
      <c r="S282" s="318">
        <f t="shared" si="103"/>
        <v>4.49</v>
      </c>
      <c r="T282" s="389"/>
      <c r="V282" s="328">
        <f t="shared" si="105"/>
        <v>4.49</v>
      </c>
      <c r="W282" s="320">
        <v>1</v>
      </c>
      <c r="X282" s="328">
        <f t="shared" si="99"/>
        <v>4.49</v>
      </c>
      <c r="Y282" s="464">
        <v>1</v>
      </c>
      <c r="Z282" s="328">
        <f t="shared" si="100"/>
        <v>4.49</v>
      </c>
      <c r="AB282" s="458">
        <f t="shared" si="101"/>
        <v>0</v>
      </c>
      <c r="AC282" s="348">
        <f t="shared" si="102"/>
        <v>0</v>
      </c>
    </row>
    <row r="283" spans="1:29">
      <c r="A283" s="318"/>
      <c r="B283" s="319"/>
      <c r="C283" s="318"/>
      <c r="D283" s="318"/>
      <c r="E283" s="319"/>
      <c r="F283" s="336"/>
      <c r="G283" s="318" t="s">
        <v>1679</v>
      </c>
      <c r="H283" s="328">
        <v>4.49</v>
      </c>
      <c r="I283" s="318">
        <v>1</v>
      </c>
      <c r="J283" s="318">
        <f t="shared" si="94"/>
        <v>1</v>
      </c>
      <c r="K283" s="328">
        <f t="shared" si="95"/>
        <v>4.49</v>
      </c>
      <c r="L283" s="318">
        <v>1229</v>
      </c>
      <c r="M283" s="318" t="s">
        <v>350</v>
      </c>
      <c r="N283" s="318">
        <v>1</v>
      </c>
      <c r="O283" s="621">
        <f t="shared" si="96"/>
        <v>4.49</v>
      </c>
      <c r="P283" s="755">
        <v>1</v>
      </c>
      <c r="Q283" s="755">
        <f t="shared" si="97"/>
        <v>0</v>
      </c>
      <c r="R283" s="341">
        <v>1</v>
      </c>
      <c r="S283" s="318">
        <f t="shared" si="103"/>
        <v>4.49</v>
      </c>
      <c r="T283" s="389"/>
      <c r="V283" s="328">
        <f t="shared" si="105"/>
        <v>4.49</v>
      </c>
      <c r="W283" s="320">
        <v>1</v>
      </c>
      <c r="X283" s="328">
        <f t="shared" si="99"/>
        <v>4.49</v>
      </c>
      <c r="Y283" s="464">
        <v>1</v>
      </c>
      <c r="Z283" s="328">
        <f t="shared" si="100"/>
        <v>4.49</v>
      </c>
      <c r="AB283" s="458">
        <f t="shared" si="101"/>
        <v>0</v>
      </c>
      <c r="AC283" s="348">
        <f t="shared" si="102"/>
        <v>0</v>
      </c>
    </row>
    <row r="284" spans="1:29" ht="20.399999999999999">
      <c r="A284" s="318"/>
      <c r="B284" s="319"/>
      <c r="C284" s="318"/>
      <c r="D284" s="318"/>
      <c r="E284" s="319"/>
      <c r="F284" s="336" t="s">
        <v>604</v>
      </c>
      <c r="G284" s="318" t="s">
        <v>1680</v>
      </c>
      <c r="H284" s="328">
        <v>4.72</v>
      </c>
      <c r="I284" s="318">
        <v>1</v>
      </c>
      <c r="J284" s="318">
        <f t="shared" si="94"/>
        <v>1</v>
      </c>
      <c r="K284" s="328">
        <f t="shared" si="95"/>
        <v>4.72</v>
      </c>
      <c r="L284" s="350" t="s">
        <v>3151</v>
      </c>
      <c r="M284" s="350" t="s">
        <v>3144</v>
      </c>
      <c r="N284" s="318">
        <v>1</v>
      </c>
      <c r="O284" s="621">
        <f t="shared" si="96"/>
        <v>4.72</v>
      </c>
      <c r="P284" s="755">
        <v>1</v>
      </c>
      <c r="Q284" s="755">
        <f t="shared" si="97"/>
        <v>0</v>
      </c>
      <c r="R284" s="341">
        <v>1</v>
      </c>
      <c r="S284" s="318">
        <f t="shared" si="103"/>
        <v>4.72</v>
      </c>
      <c r="T284" s="389" t="s">
        <v>3428</v>
      </c>
      <c r="V284" s="328">
        <f t="shared" si="105"/>
        <v>4.49</v>
      </c>
      <c r="W284" s="320"/>
      <c r="X284" s="328">
        <f t="shared" si="99"/>
        <v>0</v>
      </c>
      <c r="Y284" s="320"/>
      <c r="Z284" s="328">
        <f t="shared" si="100"/>
        <v>0</v>
      </c>
      <c r="AB284" s="458">
        <f t="shared" si="101"/>
        <v>-4.72</v>
      </c>
      <c r="AC284" s="348">
        <f t="shared" si="102"/>
        <v>-4.72</v>
      </c>
    </row>
    <row r="285" spans="1:29">
      <c r="A285" s="584"/>
      <c r="B285" s="585"/>
      <c r="C285" s="584"/>
      <c r="D285" s="584"/>
      <c r="E285" s="585"/>
      <c r="F285" s="585" t="s">
        <v>384</v>
      </c>
      <c r="G285" s="584" t="s">
        <v>406</v>
      </c>
      <c r="H285" s="587"/>
      <c r="I285" s="584"/>
      <c r="J285" s="584"/>
      <c r="K285" s="584"/>
      <c r="L285" s="584"/>
      <c r="M285" s="584"/>
      <c r="N285" s="584"/>
      <c r="O285" s="634" t="s">
        <v>2321</v>
      </c>
      <c r="P285" s="763"/>
      <c r="Q285" s="763"/>
      <c r="R285" s="584"/>
      <c r="S285" s="588" t="s">
        <v>2321</v>
      </c>
      <c r="T285" s="1024" t="s">
        <v>1456</v>
      </c>
      <c r="V285" s="328"/>
      <c r="W285" s="318"/>
      <c r="X285" s="387" t="s">
        <v>2321</v>
      </c>
      <c r="Y285" s="318"/>
      <c r="Z285" s="387" t="s">
        <v>2321</v>
      </c>
      <c r="AB285" s="348"/>
      <c r="AC285" s="384"/>
    </row>
    <row r="286" spans="1:29">
      <c r="A286" s="584"/>
      <c r="B286" s="585"/>
      <c r="C286" s="584"/>
      <c r="D286" s="584"/>
      <c r="E286" s="585"/>
      <c r="F286" s="585" t="s">
        <v>384</v>
      </c>
      <c r="G286" s="584" t="s">
        <v>407</v>
      </c>
      <c r="H286" s="587"/>
      <c r="I286" s="584"/>
      <c r="J286" s="584"/>
      <c r="K286" s="584"/>
      <c r="L286" s="584"/>
      <c r="M286" s="584"/>
      <c r="N286" s="584"/>
      <c r="O286" s="634" t="s">
        <v>2321</v>
      </c>
      <c r="P286" s="763"/>
      <c r="Q286" s="763"/>
      <c r="R286" s="584"/>
      <c r="S286" s="588" t="s">
        <v>2321</v>
      </c>
      <c r="T286" s="1025"/>
      <c r="V286" s="328"/>
      <c r="W286" s="318"/>
      <c r="X286" s="387" t="s">
        <v>2321</v>
      </c>
      <c r="Y286" s="318"/>
      <c r="Z286" s="387" t="s">
        <v>2321</v>
      </c>
      <c r="AB286" s="348"/>
      <c r="AC286" s="384"/>
    </row>
    <row r="287" spans="1:29">
      <c r="A287" s="584"/>
      <c r="B287" s="585"/>
      <c r="C287" s="584"/>
      <c r="D287" s="584"/>
      <c r="E287" s="585"/>
      <c r="F287" s="585" t="s">
        <v>384</v>
      </c>
      <c r="G287" s="584" t="s">
        <v>408</v>
      </c>
      <c r="H287" s="587"/>
      <c r="I287" s="584"/>
      <c r="J287" s="584"/>
      <c r="K287" s="584"/>
      <c r="L287" s="584"/>
      <c r="M287" s="584"/>
      <c r="N287" s="584"/>
      <c r="O287" s="634" t="s">
        <v>2321</v>
      </c>
      <c r="P287" s="763"/>
      <c r="Q287" s="763"/>
      <c r="R287" s="584"/>
      <c r="S287" s="588" t="s">
        <v>2321</v>
      </c>
      <c r="T287" s="1025"/>
      <c r="V287" s="328"/>
      <c r="W287" s="318"/>
      <c r="X287" s="387" t="s">
        <v>2321</v>
      </c>
      <c r="Y287" s="318"/>
      <c r="Z287" s="387" t="s">
        <v>2321</v>
      </c>
      <c r="AB287" s="348"/>
      <c r="AC287" s="384"/>
    </row>
    <row r="288" spans="1:29">
      <c r="A288" s="584"/>
      <c r="B288" s="585"/>
      <c r="C288" s="584"/>
      <c r="D288" s="584"/>
      <c r="E288" s="585"/>
      <c r="F288" s="585" t="s">
        <v>384</v>
      </c>
      <c r="G288" s="584" t="s">
        <v>409</v>
      </c>
      <c r="H288" s="587"/>
      <c r="I288" s="584"/>
      <c r="J288" s="584"/>
      <c r="K288" s="584"/>
      <c r="L288" s="584"/>
      <c r="M288" s="584"/>
      <c r="N288" s="584"/>
      <c r="O288" s="634" t="s">
        <v>2321</v>
      </c>
      <c r="P288" s="763"/>
      <c r="Q288" s="763"/>
      <c r="R288" s="584"/>
      <c r="S288" s="588" t="s">
        <v>2321</v>
      </c>
      <c r="T288" s="1026"/>
      <c r="V288" s="328"/>
      <c r="W288" s="318"/>
      <c r="X288" s="387" t="s">
        <v>2321</v>
      </c>
      <c r="Y288" s="318"/>
      <c r="Z288" s="387" t="s">
        <v>2321</v>
      </c>
      <c r="AB288" s="348"/>
      <c r="AC288" s="384"/>
    </row>
    <row r="289" spans="1:29" ht="20.399999999999999">
      <c r="A289" s="318"/>
      <c r="B289" s="319"/>
      <c r="C289" s="318"/>
      <c r="D289" s="318"/>
      <c r="E289" s="319"/>
      <c r="F289" s="336" t="s">
        <v>604</v>
      </c>
      <c r="G289" s="318" t="s">
        <v>1681</v>
      </c>
      <c r="H289" s="328">
        <v>4.72</v>
      </c>
      <c r="I289" s="318">
        <v>1</v>
      </c>
      <c r="J289" s="318">
        <f t="shared" ref="J289:J298" si="106">IF(N289&gt;0,1,0)</f>
        <v>1</v>
      </c>
      <c r="K289" s="328">
        <f t="shared" ref="K289:K298" si="107">H289*J289</f>
        <v>4.72</v>
      </c>
      <c r="L289" s="350" t="s">
        <v>3145</v>
      </c>
      <c r="M289" s="318">
        <v>240</v>
      </c>
      <c r="N289" s="318">
        <v>1</v>
      </c>
      <c r="O289" s="621">
        <f t="shared" ref="O289:O298" si="108">H289*N289</f>
        <v>4.72</v>
      </c>
      <c r="P289" s="755">
        <v>1</v>
      </c>
      <c r="Q289" s="755">
        <f t="shared" ref="Q289:Q298" si="109">R289-P289</f>
        <v>0</v>
      </c>
      <c r="R289" s="341">
        <v>1</v>
      </c>
      <c r="S289" s="318">
        <f t="shared" ref="S289" si="110">H289*R289</f>
        <v>4.72</v>
      </c>
      <c r="T289" s="389" t="s">
        <v>3428</v>
      </c>
      <c r="V289" s="328">
        <f t="shared" si="105"/>
        <v>4.49</v>
      </c>
      <c r="W289" s="320"/>
      <c r="X289" s="328">
        <f t="shared" ref="X289:X298" si="111">V289*W289</f>
        <v>0</v>
      </c>
      <c r="Y289" s="320"/>
      <c r="Z289" s="328">
        <f t="shared" ref="Z289:Z298" si="112">V289*Y289</f>
        <v>0</v>
      </c>
      <c r="AB289" s="458">
        <f t="shared" ref="AB289:AB298" si="113">X289-O289</f>
        <v>-4.72</v>
      </c>
      <c r="AC289" s="348">
        <f t="shared" ref="AC289:AC298" si="114">Z289-S289</f>
        <v>-4.72</v>
      </c>
    </row>
    <row r="290" spans="1:29">
      <c r="A290" s="318"/>
      <c r="B290" s="319"/>
      <c r="C290" s="318"/>
      <c r="D290" s="318"/>
      <c r="E290" s="319"/>
      <c r="F290" s="336"/>
      <c r="G290" s="318" t="s">
        <v>1682</v>
      </c>
      <c r="H290" s="328">
        <v>4.49</v>
      </c>
      <c r="I290" s="318">
        <v>1</v>
      </c>
      <c r="J290" s="318">
        <f t="shared" si="106"/>
        <v>1</v>
      </c>
      <c r="K290" s="328">
        <f t="shared" si="107"/>
        <v>4.49</v>
      </c>
      <c r="L290" s="318">
        <v>1229</v>
      </c>
      <c r="M290" s="318" t="s">
        <v>350</v>
      </c>
      <c r="N290" s="318">
        <v>1</v>
      </c>
      <c r="O290" s="621">
        <f t="shared" si="108"/>
        <v>4.49</v>
      </c>
      <c r="P290" s="755">
        <v>1</v>
      </c>
      <c r="Q290" s="755">
        <f t="shared" si="109"/>
        <v>0</v>
      </c>
      <c r="R290" s="341">
        <v>1</v>
      </c>
      <c r="S290" s="318">
        <f t="shared" ref="S290:S298" si="115">H290*R290</f>
        <v>4.49</v>
      </c>
      <c r="T290" s="319"/>
      <c r="V290" s="328">
        <f t="shared" si="105"/>
        <v>4.49</v>
      </c>
      <c r="W290" s="320">
        <v>1</v>
      </c>
      <c r="X290" s="328">
        <f t="shared" si="111"/>
        <v>4.49</v>
      </c>
      <c r="Y290" s="464">
        <v>1</v>
      </c>
      <c r="Z290" s="328">
        <f t="shared" si="112"/>
        <v>4.49</v>
      </c>
      <c r="AB290" s="458">
        <f t="shared" si="113"/>
        <v>0</v>
      </c>
      <c r="AC290" s="348">
        <f t="shared" si="114"/>
        <v>0</v>
      </c>
    </row>
    <row r="291" spans="1:29">
      <c r="A291" s="318"/>
      <c r="B291" s="319"/>
      <c r="C291" s="318"/>
      <c r="D291" s="318"/>
      <c r="E291" s="319"/>
      <c r="F291" s="336"/>
      <c r="G291" s="318" t="s">
        <v>1683</v>
      </c>
      <c r="H291" s="328">
        <v>4.49</v>
      </c>
      <c r="I291" s="318">
        <v>1</v>
      </c>
      <c r="J291" s="318">
        <f t="shared" si="106"/>
        <v>1</v>
      </c>
      <c r="K291" s="328">
        <f t="shared" si="107"/>
        <v>4.49</v>
      </c>
      <c r="L291" s="318">
        <v>1229</v>
      </c>
      <c r="M291" s="318" t="s">
        <v>350</v>
      </c>
      <c r="N291" s="318">
        <v>1</v>
      </c>
      <c r="O291" s="621">
        <f t="shared" si="108"/>
        <v>4.49</v>
      </c>
      <c r="P291" s="755">
        <v>1</v>
      </c>
      <c r="Q291" s="755">
        <f t="shared" si="109"/>
        <v>0</v>
      </c>
      <c r="R291" s="341">
        <v>1</v>
      </c>
      <c r="S291" s="318">
        <f t="shared" si="115"/>
        <v>4.49</v>
      </c>
      <c r="T291" s="319"/>
      <c r="V291" s="328">
        <f t="shared" si="105"/>
        <v>4.49</v>
      </c>
      <c r="W291" s="320">
        <v>1</v>
      </c>
      <c r="X291" s="328">
        <f t="shared" si="111"/>
        <v>4.49</v>
      </c>
      <c r="Y291" s="464">
        <v>1</v>
      </c>
      <c r="Z291" s="328">
        <f t="shared" si="112"/>
        <v>4.49</v>
      </c>
      <c r="AB291" s="458">
        <f t="shared" si="113"/>
        <v>0</v>
      </c>
      <c r="AC291" s="348">
        <f t="shared" si="114"/>
        <v>0</v>
      </c>
    </row>
    <row r="292" spans="1:29">
      <c r="A292" s="318"/>
      <c r="B292" s="319"/>
      <c r="C292" s="318"/>
      <c r="D292" s="318"/>
      <c r="E292" s="319"/>
      <c r="F292" s="336"/>
      <c r="G292" s="318" t="s">
        <v>1684</v>
      </c>
      <c r="H292" s="328">
        <v>4.49</v>
      </c>
      <c r="I292" s="318">
        <v>1</v>
      </c>
      <c r="J292" s="318">
        <f t="shared" si="106"/>
        <v>1</v>
      </c>
      <c r="K292" s="328">
        <f t="shared" si="107"/>
        <v>4.49</v>
      </c>
      <c r="L292" s="318">
        <v>1416</v>
      </c>
      <c r="M292" s="318">
        <v>104</v>
      </c>
      <c r="N292" s="318">
        <v>1</v>
      </c>
      <c r="O292" s="621">
        <f t="shared" si="108"/>
        <v>4.49</v>
      </c>
      <c r="P292" s="755">
        <v>1</v>
      </c>
      <c r="Q292" s="755">
        <f t="shared" si="109"/>
        <v>0</v>
      </c>
      <c r="R292" s="341">
        <v>1</v>
      </c>
      <c r="S292" s="318">
        <f t="shared" si="115"/>
        <v>4.49</v>
      </c>
      <c r="T292" s="319"/>
      <c r="V292" s="328">
        <f>4.155</f>
        <v>4.1550000000000002</v>
      </c>
      <c r="W292" s="320">
        <v>1</v>
      </c>
      <c r="X292" s="328">
        <f t="shared" si="111"/>
        <v>4.1550000000000002</v>
      </c>
      <c r="Y292" s="464">
        <v>1</v>
      </c>
      <c r="Z292" s="328">
        <f t="shared" si="112"/>
        <v>4.1550000000000002</v>
      </c>
      <c r="AB292" s="458">
        <f t="shared" si="113"/>
        <v>-0.33499999999999996</v>
      </c>
      <c r="AC292" s="348">
        <f t="shared" si="114"/>
        <v>-0.33499999999999996</v>
      </c>
    </row>
    <row r="293" spans="1:29">
      <c r="A293" s="318"/>
      <c r="B293" s="319"/>
      <c r="C293" s="318"/>
      <c r="D293" s="318"/>
      <c r="E293" s="319"/>
      <c r="F293" s="336" t="s">
        <v>696</v>
      </c>
      <c r="G293" s="318" t="s">
        <v>1685</v>
      </c>
      <c r="H293" s="328">
        <v>5.01</v>
      </c>
      <c r="I293" s="318">
        <v>1</v>
      </c>
      <c r="J293" s="318">
        <f t="shared" si="106"/>
        <v>1</v>
      </c>
      <c r="K293" s="328">
        <f t="shared" si="107"/>
        <v>5.01</v>
      </c>
      <c r="L293" s="318">
        <v>1416</v>
      </c>
      <c r="M293" s="318">
        <v>104</v>
      </c>
      <c r="N293" s="318">
        <v>1</v>
      </c>
      <c r="O293" s="621">
        <f t="shared" si="108"/>
        <v>5.01</v>
      </c>
      <c r="P293" s="755">
        <v>1</v>
      </c>
      <c r="Q293" s="755">
        <f t="shared" si="109"/>
        <v>0</v>
      </c>
      <c r="R293" s="341">
        <v>1</v>
      </c>
      <c r="S293" s="318">
        <f t="shared" si="115"/>
        <v>5.01</v>
      </c>
      <c r="T293" s="319"/>
      <c r="V293" s="328">
        <f>2.135-0.6+3.495</f>
        <v>5.0299999999999994</v>
      </c>
      <c r="W293" s="320">
        <v>1</v>
      </c>
      <c r="X293" s="328">
        <f t="shared" si="111"/>
        <v>5.0299999999999994</v>
      </c>
      <c r="Y293" s="464">
        <v>1</v>
      </c>
      <c r="Z293" s="328">
        <f t="shared" si="112"/>
        <v>5.0299999999999994</v>
      </c>
      <c r="AB293" s="458">
        <f t="shared" si="113"/>
        <v>1.9999999999999574E-2</v>
      </c>
      <c r="AC293" s="348">
        <f t="shared" si="114"/>
        <v>1.9999999999999574E-2</v>
      </c>
    </row>
    <row r="294" spans="1:29">
      <c r="A294" s="318"/>
      <c r="B294" s="319"/>
      <c r="C294" s="318"/>
      <c r="D294" s="318"/>
      <c r="E294" s="319"/>
      <c r="F294" s="336"/>
      <c r="G294" s="318" t="s">
        <v>1686</v>
      </c>
      <c r="H294" s="328">
        <v>4.49</v>
      </c>
      <c r="I294" s="318">
        <v>1</v>
      </c>
      <c r="J294" s="318">
        <f t="shared" si="106"/>
        <v>1</v>
      </c>
      <c r="K294" s="328">
        <f t="shared" si="107"/>
        <v>4.49</v>
      </c>
      <c r="L294" s="318">
        <v>1231</v>
      </c>
      <c r="M294" s="318" t="s">
        <v>352</v>
      </c>
      <c r="N294" s="318">
        <v>1</v>
      </c>
      <c r="O294" s="621">
        <f t="shared" si="108"/>
        <v>4.49</v>
      </c>
      <c r="P294" s="755">
        <v>1</v>
      </c>
      <c r="Q294" s="755">
        <f t="shared" si="109"/>
        <v>0</v>
      </c>
      <c r="R294" s="341">
        <v>1</v>
      </c>
      <c r="S294" s="318">
        <f t="shared" si="115"/>
        <v>4.49</v>
      </c>
      <c r="T294" s="319"/>
      <c r="V294" s="328">
        <f>4.49</f>
        <v>4.49</v>
      </c>
      <c r="W294" s="320">
        <v>1</v>
      </c>
      <c r="X294" s="328">
        <f t="shared" si="111"/>
        <v>4.49</v>
      </c>
      <c r="Y294" s="464">
        <v>1</v>
      </c>
      <c r="Z294" s="328">
        <f t="shared" si="112"/>
        <v>4.49</v>
      </c>
      <c r="AB294" s="458">
        <f t="shared" si="113"/>
        <v>0</v>
      </c>
      <c r="AC294" s="348">
        <f t="shared" si="114"/>
        <v>0</v>
      </c>
    </row>
    <row r="295" spans="1:29">
      <c r="A295" s="318"/>
      <c r="B295" s="319"/>
      <c r="C295" s="318"/>
      <c r="D295" s="318"/>
      <c r="E295" s="319"/>
      <c r="F295" s="336"/>
      <c r="G295" s="318" t="s">
        <v>1687</v>
      </c>
      <c r="H295" s="328">
        <v>4.49</v>
      </c>
      <c r="I295" s="318">
        <v>1</v>
      </c>
      <c r="J295" s="318">
        <f t="shared" si="106"/>
        <v>1</v>
      </c>
      <c r="K295" s="328">
        <f t="shared" si="107"/>
        <v>4.49</v>
      </c>
      <c r="L295" s="318">
        <v>1231</v>
      </c>
      <c r="M295" s="318" t="s">
        <v>352</v>
      </c>
      <c r="N295" s="318">
        <v>1</v>
      </c>
      <c r="O295" s="621">
        <f t="shared" si="108"/>
        <v>4.49</v>
      </c>
      <c r="P295" s="755">
        <v>1</v>
      </c>
      <c r="Q295" s="755">
        <f t="shared" si="109"/>
        <v>0</v>
      </c>
      <c r="R295" s="341">
        <v>1</v>
      </c>
      <c r="S295" s="318">
        <f t="shared" si="115"/>
        <v>4.49</v>
      </c>
      <c r="T295" s="319"/>
      <c r="V295" s="328">
        <f>4.49</f>
        <v>4.49</v>
      </c>
      <c r="W295" s="320">
        <v>1</v>
      </c>
      <c r="X295" s="328">
        <f t="shared" si="111"/>
        <v>4.49</v>
      </c>
      <c r="Y295" s="464">
        <v>1</v>
      </c>
      <c r="Z295" s="328">
        <f t="shared" si="112"/>
        <v>4.49</v>
      </c>
      <c r="AB295" s="458">
        <f t="shared" si="113"/>
        <v>0</v>
      </c>
      <c r="AC295" s="348">
        <f t="shared" si="114"/>
        <v>0</v>
      </c>
    </row>
    <row r="296" spans="1:29">
      <c r="A296" s="318"/>
      <c r="B296" s="319"/>
      <c r="C296" s="318"/>
      <c r="D296" s="318"/>
      <c r="E296" s="319"/>
      <c r="F296" s="336"/>
      <c r="G296" s="318" t="s">
        <v>1688</v>
      </c>
      <c r="H296" s="328">
        <v>4.49</v>
      </c>
      <c r="I296" s="318">
        <v>1</v>
      </c>
      <c r="J296" s="318">
        <f t="shared" si="106"/>
        <v>1</v>
      </c>
      <c r="K296" s="328">
        <f t="shared" si="107"/>
        <v>4.49</v>
      </c>
      <c r="L296" s="318">
        <v>1231</v>
      </c>
      <c r="M296" s="318" t="s">
        <v>352</v>
      </c>
      <c r="N296" s="318">
        <v>1</v>
      </c>
      <c r="O296" s="621">
        <f t="shared" si="108"/>
        <v>4.49</v>
      </c>
      <c r="P296" s="755">
        <v>1</v>
      </c>
      <c r="Q296" s="755">
        <f t="shared" si="109"/>
        <v>0</v>
      </c>
      <c r="R296" s="341">
        <v>1</v>
      </c>
      <c r="S296" s="318">
        <f t="shared" si="115"/>
        <v>4.49</v>
      </c>
      <c r="T296" s="319"/>
      <c r="V296" s="328">
        <f>4.49</f>
        <v>4.49</v>
      </c>
      <c r="W296" s="320">
        <v>1</v>
      </c>
      <c r="X296" s="328">
        <f t="shared" si="111"/>
        <v>4.49</v>
      </c>
      <c r="Y296" s="464">
        <v>1</v>
      </c>
      <c r="Z296" s="328">
        <f t="shared" si="112"/>
        <v>4.49</v>
      </c>
      <c r="AB296" s="458">
        <f t="shared" si="113"/>
        <v>0</v>
      </c>
      <c r="AC296" s="348">
        <f t="shared" si="114"/>
        <v>0</v>
      </c>
    </row>
    <row r="297" spans="1:29">
      <c r="A297" s="318"/>
      <c r="B297" s="319"/>
      <c r="C297" s="318"/>
      <c r="D297" s="318"/>
      <c r="E297" s="319"/>
      <c r="F297" s="336"/>
      <c r="G297" s="318" t="s">
        <v>1689</v>
      </c>
      <c r="H297" s="328">
        <v>4.49</v>
      </c>
      <c r="I297" s="318">
        <v>1</v>
      </c>
      <c r="J297" s="318">
        <f t="shared" si="106"/>
        <v>1</v>
      </c>
      <c r="K297" s="328">
        <f t="shared" si="107"/>
        <v>4.49</v>
      </c>
      <c r="L297" s="350" t="s">
        <v>2781</v>
      </c>
      <c r="M297" s="350" t="s">
        <v>2851</v>
      </c>
      <c r="N297" s="318">
        <v>1</v>
      </c>
      <c r="O297" s="621">
        <f t="shared" si="108"/>
        <v>4.49</v>
      </c>
      <c r="P297" s="755">
        <v>1</v>
      </c>
      <c r="Q297" s="755">
        <f t="shared" si="109"/>
        <v>0</v>
      </c>
      <c r="R297" s="341">
        <v>1</v>
      </c>
      <c r="S297" s="318">
        <f t="shared" si="115"/>
        <v>4.49</v>
      </c>
      <c r="T297" s="319"/>
      <c r="V297" s="328">
        <f>4.49</f>
        <v>4.49</v>
      </c>
      <c r="W297" s="320">
        <v>1</v>
      </c>
      <c r="X297" s="328">
        <f t="shared" si="111"/>
        <v>4.49</v>
      </c>
      <c r="Y297" s="464">
        <v>1</v>
      </c>
      <c r="Z297" s="328">
        <f t="shared" si="112"/>
        <v>4.49</v>
      </c>
      <c r="AB297" s="458">
        <f t="shared" si="113"/>
        <v>0</v>
      </c>
      <c r="AC297" s="348">
        <f t="shared" si="114"/>
        <v>0</v>
      </c>
    </row>
    <row r="298" spans="1:29">
      <c r="A298" s="318"/>
      <c r="B298" s="319"/>
      <c r="C298" s="318"/>
      <c r="D298" s="318"/>
      <c r="E298" s="319"/>
      <c r="F298" s="336" t="s">
        <v>696</v>
      </c>
      <c r="G298" s="318" t="s">
        <v>1690</v>
      </c>
      <c r="H298" s="328">
        <v>5.01</v>
      </c>
      <c r="I298" s="318">
        <v>1</v>
      </c>
      <c r="J298" s="318">
        <f t="shared" si="106"/>
        <v>1</v>
      </c>
      <c r="K298" s="328">
        <f t="shared" si="107"/>
        <v>5.01</v>
      </c>
      <c r="L298" s="318">
        <v>1419</v>
      </c>
      <c r="M298" s="318">
        <v>105</v>
      </c>
      <c r="N298" s="318">
        <v>1</v>
      </c>
      <c r="O298" s="621">
        <f t="shared" si="108"/>
        <v>5.01</v>
      </c>
      <c r="P298" s="755">
        <v>1</v>
      </c>
      <c r="Q298" s="755">
        <f t="shared" si="109"/>
        <v>0</v>
      </c>
      <c r="R298" s="341">
        <v>1</v>
      </c>
      <c r="S298" s="318">
        <f t="shared" si="115"/>
        <v>5.01</v>
      </c>
      <c r="T298" s="319"/>
      <c r="V298" s="328">
        <f>2.135-0.6+3.495</f>
        <v>5.0299999999999994</v>
      </c>
      <c r="W298" s="320">
        <v>1</v>
      </c>
      <c r="X298" s="328">
        <f t="shared" si="111"/>
        <v>5.0299999999999994</v>
      </c>
      <c r="Y298" s="320"/>
      <c r="Z298" s="328">
        <f t="shared" si="112"/>
        <v>0</v>
      </c>
      <c r="AB298" s="458">
        <f t="shared" si="113"/>
        <v>1.9999999999999574E-2</v>
      </c>
      <c r="AC298" s="348">
        <f t="shared" si="114"/>
        <v>-5.01</v>
      </c>
    </row>
    <row r="299" spans="1:29">
      <c r="A299" s="318"/>
      <c r="B299" s="319"/>
      <c r="C299" s="318"/>
      <c r="D299" s="318"/>
      <c r="E299" s="319"/>
      <c r="F299" s="319"/>
      <c r="G299" s="318"/>
      <c r="H299" s="318"/>
      <c r="I299" s="318"/>
      <c r="J299" s="382" t="s">
        <v>389</v>
      </c>
      <c r="K299" s="338">
        <f>SUM(K247:K298)</f>
        <v>209.0500000000001</v>
      </c>
      <c r="L299" s="318"/>
      <c r="M299" s="318"/>
      <c r="N299" s="382" t="s">
        <v>389</v>
      </c>
      <c r="O299" s="759">
        <f>SUM(O247:O298)</f>
        <v>209.0500000000001</v>
      </c>
      <c r="P299" s="751" t="s">
        <v>389</v>
      </c>
      <c r="Q299" s="751"/>
      <c r="R299" s="382"/>
      <c r="S299" s="338">
        <f>SUM(S247:S298)</f>
        <v>209.0500000000001</v>
      </c>
      <c r="T299" s="319"/>
      <c r="V299" s="318"/>
      <c r="W299" s="321" t="s">
        <v>389</v>
      </c>
      <c r="X299" s="338">
        <f>SUM(X247:X298)</f>
        <v>196.96400000000008</v>
      </c>
      <c r="Y299" s="321" t="s">
        <v>389</v>
      </c>
      <c r="Z299" s="338">
        <f>SUM(Z247:Z298)</f>
        <v>185.53400000000008</v>
      </c>
      <c r="AB299" s="338"/>
      <c r="AC299" s="338"/>
    </row>
    <row r="300" spans="1:29" ht="6.75" customHeight="1">
      <c r="A300" s="316"/>
      <c r="B300" s="317"/>
      <c r="C300" s="316"/>
      <c r="D300" s="316"/>
      <c r="E300" s="317"/>
      <c r="F300" s="317"/>
      <c r="G300" s="316"/>
      <c r="H300" s="316"/>
      <c r="I300" s="316"/>
      <c r="J300" s="316"/>
      <c r="K300" s="316"/>
      <c r="L300" s="316"/>
      <c r="M300" s="316"/>
      <c r="N300" s="316"/>
      <c r="O300" s="749"/>
      <c r="P300" s="752"/>
      <c r="Q300" s="752"/>
      <c r="R300" s="316"/>
      <c r="S300" s="316"/>
      <c r="T300" s="317"/>
      <c r="V300" s="316"/>
      <c r="W300" s="316"/>
      <c r="X300" s="316"/>
      <c r="Y300" s="316"/>
      <c r="Z300" s="316"/>
      <c r="AB300" s="339"/>
      <c r="AC300" s="339"/>
    </row>
    <row r="301" spans="1:29">
      <c r="A301" s="318">
        <v>8</v>
      </c>
      <c r="B301" s="319" t="s">
        <v>383</v>
      </c>
      <c r="C301" s="318">
        <v>600</v>
      </c>
      <c r="D301" s="318">
        <v>14</v>
      </c>
      <c r="E301" s="319">
        <v>1</v>
      </c>
      <c r="F301" s="336" t="s">
        <v>696</v>
      </c>
      <c r="G301" s="318" t="s">
        <v>1691</v>
      </c>
      <c r="H301" s="328">
        <v>2.58</v>
      </c>
      <c r="I301" s="318">
        <v>1</v>
      </c>
      <c r="J301" s="318">
        <f t="shared" ref="J301:J328" si="116">IF(N301&gt;0,1,0)</f>
        <v>1</v>
      </c>
      <c r="K301" s="328">
        <f t="shared" ref="K301:K328" si="117">H301*J301</f>
        <v>2.58</v>
      </c>
      <c r="L301" s="318" t="s">
        <v>288</v>
      </c>
      <c r="M301" s="318" t="s">
        <v>289</v>
      </c>
      <c r="N301" s="318">
        <v>1</v>
      </c>
      <c r="O301" s="621">
        <f t="shared" ref="O301:O328" si="118">H301*N301</f>
        <v>2.58</v>
      </c>
      <c r="P301" s="755">
        <v>1</v>
      </c>
      <c r="Q301" s="755">
        <f t="shared" ref="Q301:Q328" si="119">R301-P301</f>
        <v>0</v>
      </c>
      <c r="R301" s="341">
        <v>1</v>
      </c>
      <c r="S301" s="318">
        <f t="shared" ref="S301" si="120">H301*R301</f>
        <v>2.58</v>
      </c>
      <c r="T301" s="319"/>
      <c r="V301" s="328">
        <f>2.05+1.15-0.6</f>
        <v>2.5999999999999996</v>
      </c>
      <c r="W301" s="320">
        <v>1</v>
      </c>
      <c r="X301" s="328">
        <f t="shared" ref="X301:X328" si="121">V301*W301</f>
        <v>2.5999999999999996</v>
      </c>
      <c r="Y301" s="464">
        <v>1</v>
      </c>
      <c r="Z301" s="328">
        <f t="shared" ref="Z301:Z328" si="122">V301*Y301</f>
        <v>2.5999999999999996</v>
      </c>
      <c r="AB301" s="458">
        <f t="shared" ref="AB301:AB328" si="123">X301-O301</f>
        <v>1.9999999999999574E-2</v>
      </c>
      <c r="AC301" s="348">
        <f t="shared" ref="AC301:AC328" si="124">Z301-S301</f>
        <v>1.9999999999999574E-2</v>
      </c>
    </row>
    <row r="302" spans="1:29">
      <c r="A302" s="318"/>
      <c r="B302" s="319"/>
      <c r="C302" s="318"/>
      <c r="D302" s="318"/>
      <c r="E302" s="319"/>
      <c r="F302" s="336"/>
      <c r="G302" s="318" t="s">
        <v>1692</v>
      </c>
      <c r="H302" s="328">
        <v>4.49</v>
      </c>
      <c r="I302" s="318">
        <v>1</v>
      </c>
      <c r="J302" s="318">
        <f t="shared" si="116"/>
        <v>1</v>
      </c>
      <c r="K302" s="328">
        <f t="shared" si="117"/>
        <v>4.49</v>
      </c>
      <c r="L302" s="318">
        <v>1244</v>
      </c>
      <c r="M302" s="318" t="s">
        <v>212</v>
      </c>
      <c r="N302" s="318">
        <v>1</v>
      </c>
      <c r="O302" s="621">
        <f t="shared" si="118"/>
        <v>4.49</v>
      </c>
      <c r="P302" s="755">
        <v>1</v>
      </c>
      <c r="Q302" s="755">
        <f t="shared" si="119"/>
        <v>0</v>
      </c>
      <c r="R302" s="341">
        <v>1</v>
      </c>
      <c r="S302" s="318">
        <f t="shared" ref="S302:S328" si="125">H302*R302</f>
        <v>4.49</v>
      </c>
      <c r="T302" s="319"/>
      <c r="V302" s="328">
        <f>4.49</f>
        <v>4.49</v>
      </c>
      <c r="W302" s="320">
        <v>1</v>
      </c>
      <c r="X302" s="328">
        <f t="shared" si="121"/>
        <v>4.49</v>
      </c>
      <c r="Y302" s="464">
        <v>1</v>
      </c>
      <c r="Z302" s="328">
        <f t="shared" si="122"/>
        <v>4.49</v>
      </c>
      <c r="AB302" s="458">
        <f t="shared" si="123"/>
        <v>0</v>
      </c>
      <c r="AC302" s="348">
        <f t="shared" si="124"/>
        <v>0</v>
      </c>
    </row>
    <row r="303" spans="1:29">
      <c r="A303" s="318"/>
      <c r="B303" s="319"/>
      <c r="C303" s="318"/>
      <c r="D303" s="318"/>
      <c r="E303" s="319"/>
      <c r="F303" s="319"/>
      <c r="G303" s="318" t="s">
        <v>1693</v>
      </c>
      <c r="H303" s="328">
        <v>4.49</v>
      </c>
      <c r="I303" s="318">
        <v>1</v>
      </c>
      <c r="J303" s="318">
        <f t="shared" si="116"/>
        <v>1</v>
      </c>
      <c r="K303" s="328">
        <f t="shared" si="117"/>
        <v>4.49</v>
      </c>
      <c r="L303" s="350" t="s">
        <v>2686</v>
      </c>
      <c r="M303" s="350" t="s">
        <v>2709</v>
      </c>
      <c r="N303" s="318">
        <v>1</v>
      </c>
      <c r="O303" s="621">
        <f t="shared" si="118"/>
        <v>4.49</v>
      </c>
      <c r="P303" s="755">
        <v>1</v>
      </c>
      <c r="Q303" s="755">
        <f t="shared" si="119"/>
        <v>0</v>
      </c>
      <c r="R303" s="341">
        <v>1</v>
      </c>
      <c r="S303" s="318">
        <f t="shared" si="125"/>
        <v>4.49</v>
      </c>
      <c r="T303" s="319"/>
      <c r="V303" s="328">
        <f t="shared" ref="V303:V315" si="126">4.49</f>
        <v>4.49</v>
      </c>
      <c r="W303" s="320">
        <v>1</v>
      </c>
      <c r="X303" s="328">
        <f t="shared" si="121"/>
        <v>4.49</v>
      </c>
      <c r="Y303" s="464">
        <v>1</v>
      </c>
      <c r="Z303" s="328">
        <f t="shared" si="122"/>
        <v>4.49</v>
      </c>
      <c r="AB303" s="458">
        <f t="shared" si="123"/>
        <v>0</v>
      </c>
      <c r="AC303" s="348">
        <f t="shared" si="124"/>
        <v>0</v>
      </c>
    </row>
    <row r="304" spans="1:29">
      <c r="A304" s="318"/>
      <c r="B304" s="319"/>
      <c r="C304" s="318"/>
      <c r="D304" s="318"/>
      <c r="E304" s="319"/>
      <c r="F304" s="319"/>
      <c r="G304" s="318" t="s">
        <v>1694</v>
      </c>
      <c r="H304" s="328">
        <v>4.49</v>
      </c>
      <c r="I304" s="318">
        <v>1</v>
      </c>
      <c r="J304" s="318">
        <f t="shared" si="116"/>
        <v>1</v>
      </c>
      <c r="K304" s="328">
        <f t="shared" si="117"/>
        <v>4.49</v>
      </c>
      <c r="L304" s="318">
        <v>1252</v>
      </c>
      <c r="M304" s="318" t="s">
        <v>214</v>
      </c>
      <c r="N304" s="318">
        <v>1</v>
      </c>
      <c r="O304" s="621">
        <f t="shared" si="118"/>
        <v>4.49</v>
      </c>
      <c r="P304" s="755">
        <v>1</v>
      </c>
      <c r="Q304" s="755">
        <f t="shared" si="119"/>
        <v>0</v>
      </c>
      <c r="R304" s="341">
        <v>1</v>
      </c>
      <c r="S304" s="318">
        <f t="shared" si="125"/>
        <v>4.49</v>
      </c>
      <c r="T304" s="319"/>
      <c r="V304" s="328">
        <f t="shared" si="126"/>
        <v>4.49</v>
      </c>
      <c r="W304" s="320">
        <v>1</v>
      </c>
      <c r="X304" s="328">
        <f t="shared" si="121"/>
        <v>4.49</v>
      </c>
      <c r="Y304" s="464">
        <v>1</v>
      </c>
      <c r="Z304" s="328">
        <f t="shared" si="122"/>
        <v>4.49</v>
      </c>
      <c r="AB304" s="458">
        <f t="shared" si="123"/>
        <v>0</v>
      </c>
      <c r="AC304" s="348">
        <f t="shared" si="124"/>
        <v>0</v>
      </c>
    </row>
    <row r="305" spans="1:29">
      <c r="A305" s="318"/>
      <c r="B305" s="319"/>
      <c r="C305" s="318"/>
      <c r="D305" s="318"/>
      <c r="E305" s="319"/>
      <c r="F305" s="319"/>
      <c r="G305" s="318" t="s">
        <v>1695</v>
      </c>
      <c r="H305" s="328">
        <v>4.49</v>
      </c>
      <c r="I305" s="318">
        <v>1</v>
      </c>
      <c r="J305" s="318">
        <f t="shared" si="116"/>
        <v>1</v>
      </c>
      <c r="K305" s="328">
        <f t="shared" si="117"/>
        <v>4.49</v>
      </c>
      <c r="L305" s="318">
        <v>1252</v>
      </c>
      <c r="M305" s="318" t="s">
        <v>214</v>
      </c>
      <c r="N305" s="318">
        <v>1</v>
      </c>
      <c r="O305" s="621">
        <f t="shared" si="118"/>
        <v>4.49</v>
      </c>
      <c r="P305" s="755">
        <v>1</v>
      </c>
      <c r="Q305" s="755">
        <f t="shared" si="119"/>
        <v>0</v>
      </c>
      <c r="R305" s="341">
        <v>1</v>
      </c>
      <c r="S305" s="318">
        <f t="shared" si="125"/>
        <v>4.49</v>
      </c>
      <c r="T305" s="319"/>
      <c r="V305" s="328">
        <f t="shared" si="126"/>
        <v>4.49</v>
      </c>
      <c r="W305" s="320">
        <v>1</v>
      </c>
      <c r="X305" s="328">
        <f t="shared" si="121"/>
        <v>4.49</v>
      </c>
      <c r="Y305" s="464">
        <v>1</v>
      </c>
      <c r="Z305" s="328">
        <f t="shared" si="122"/>
        <v>4.49</v>
      </c>
      <c r="AB305" s="458">
        <f t="shared" si="123"/>
        <v>0</v>
      </c>
      <c r="AC305" s="348">
        <f t="shared" si="124"/>
        <v>0</v>
      </c>
    </row>
    <row r="306" spans="1:29">
      <c r="A306" s="318"/>
      <c r="B306" s="319"/>
      <c r="C306" s="318"/>
      <c r="D306" s="318"/>
      <c r="E306" s="319"/>
      <c r="F306" s="319"/>
      <c r="G306" s="318" t="s">
        <v>1696</v>
      </c>
      <c r="H306" s="328">
        <v>4.49</v>
      </c>
      <c r="I306" s="318">
        <v>1</v>
      </c>
      <c r="J306" s="318">
        <f t="shared" si="116"/>
        <v>1</v>
      </c>
      <c r="K306" s="328">
        <f t="shared" si="117"/>
        <v>4.49</v>
      </c>
      <c r="L306" s="318">
        <v>1252</v>
      </c>
      <c r="M306" s="318" t="s">
        <v>214</v>
      </c>
      <c r="N306" s="318">
        <v>1</v>
      </c>
      <c r="O306" s="621">
        <f t="shared" si="118"/>
        <v>4.49</v>
      </c>
      <c r="P306" s="755">
        <v>1</v>
      </c>
      <c r="Q306" s="755">
        <f t="shared" si="119"/>
        <v>0</v>
      </c>
      <c r="R306" s="341">
        <v>1</v>
      </c>
      <c r="S306" s="318">
        <f t="shared" si="125"/>
        <v>4.49</v>
      </c>
      <c r="T306" s="319"/>
      <c r="V306" s="328">
        <f t="shared" si="126"/>
        <v>4.49</v>
      </c>
      <c r="W306" s="320">
        <v>1</v>
      </c>
      <c r="X306" s="328">
        <f t="shared" si="121"/>
        <v>4.49</v>
      </c>
      <c r="Y306" s="464">
        <v>1</v>
      </c>
      <c r="Z306" s="328">
        <f t="shared" si="122"/>
        <v>4.49</v>
      </c>
      <c r="AB306" s="458">
        <f t="shared" si="123"/>
        <v>0</v>
      </c>
      <c r="AC306" s="348">
        <f t="shared" si="124"/>
        <v>0</v>
      </c>
    </row>
    <row r="307" spans="1:29">
      <c r="A307" s="318"/>
      <c r="B307" s="319"/>
      <c r="C307" s="318"/>
      <c r="D307" s="318"/>
      <c r="E307" s="319"/>
      <c r="F307" s="319"/>
      <c r="G307" s="318" t="s">
        <v>1697</v>
      </c>
      <c r="H307" s="328">
        <v>4.49</v>
      </c>
      <c r="I307" s="318">
        <v>1</v>
      </c>
      <c r="J307" s="318">
        <f t="shared" si="116"/>
        <v>1</v>
      </c>
      <c r="K307" s="328">
        <f t="shared" si="117"/>
        <v>4.49</v>
      </c>
      <c r="L307" s="318">
        <v>1261</v>
      </c>
      <c r="M307" s="318" t="s">
        <v>218</v>
      </c>
      <c r="N307" s="318">
        <v>1</v>
      </c>
      <c r="O307" s="621">
        <f t="shared" si="118"/>
        <v>4.49</v>
      </c>
      <c r="P307" s="755">
        <v>1</v>
      </c>
      <c r="Q307" s="755">
        <f t="shared" si="119"/>
        <v>0</v>
      </c>
      <c r="R307" s="341">
        <v>1</v>
      </c>
      <c r="S307" s="318">
        <f t="shared" si="125"/>
        <v>4.49</v>
      </c>
      <c r="T307" s="319"/>
      <c r="V307" s="328">
        <f t="shared" si="126"/>
        <v>4.49</v>
      </c>
      <c r="W307" s="320">
        <v>1</v>
      </c>
      <c r="X307" s="328">
        <f t="shared" si="121"/>
        <v>4.49</v>
      </c>
      <c r="Y307" s="464">
        <v>1</v>
      </c>
      <c r="Z307" s="328">
        <f t="shared" si="122"/>
        <v>4.49</v>
      </c>
      <c r="AB307" s="458">
        <f t="shared" si="123"/>
        <v>0</v>
      </c>
      <c r="AC307" s="348">
        <f t="shared" si="124"/>
        <v>0</v>
      </c>
    </row>
    <row r="308" spans="1:29">
      <c r="A308" s="318"/>
      <c r="B308" s="319"/>
      <c r="C308" s="318"/>
      <c r="D308" s="318"/>
      <c r="E308" s="319"/>
      <c r="F308" s="319"/>
      <c r="G308" s="318" t="s">
        <v>1698</v>
      </c>
      <c r="H308" s="328">
        <v>4.49</v>
      </c>
      <c r="I308" s="318">
        <v>1</v>
      </c>
      <c r="J308" s="318">
        <f t="shared" si="116"/>
        <v>1</v>
      </c>
      <c r="K308" s="328">
        <f t="shared" si="117"/>
        <v>4.49</v>
      </c>
      <c r="L308" s="318">
        <v>1261</v>
      </c>
      <c r="M308" s="318" t="s">
        <v>218</v>
      </c>
      <c r="N308" s="318">
        <v>1</v>
      </c>
      <c r="O308" s="621">
        <f t="shared" si="118"/>
        <v>4.49</v>
      </c>
      <c r="P308" s="755">
        <v>1</v>
      </c>
      <c r="Q308" s="755">
        <f t="shared" si="119"/>
        <v>0</v>
      </c>
      <c r="R308" s="341">
        <v>1</v>
      </c>
      <c r="S308" s="318">
        <f t="shared" si="125"/>
        <v>4.49</v>
      </c>
      <c r="T308" s="319"/>
      <c r="V308" s="328">
        <f t="shared" si="126"/>
        <v>4.49</v>
      </c>
      <c r="W308" s="320">
        <v>1</v>
      </c>
      <c r="X308" s="328">
        <f t="shared" si="121"/>
        <v>4.49</v>
      </c>
      <c r="Y308" s="464">
        <v>1</v>
      </c>
      <c r="Z308" s="328">
        <f t="shared" si="122"/>
        <v>4.49</v>
      </c>
      <c r="AB308" s="458">
        <f t="shared" si="123"/>
        <v>0</v>
      </c>
      <c r="AC308" s="348">
        <f t="shared" si="124"/>
        <v>0</v>
      </c>
    </row>
    <row r="309" spans="1:29">
      <c r="A309" s="318"/>
      <c r="B309" s="319"/>
      <c r="C309" s="318"/>
      <c r="D309" s="318"/>
      <c r="E309" s="319"/>
      <c r="F309" s="319"/>
      <c r="G309" s="318" t="s">
        <v>1699</v>
      </c>
      <c r="H309" s="328">
        <v>4.49</v>
      </c>
      <c r="I309" s="318">
        <v>1</v>
      </c>
      <c r="J309" s="318">
        <f t="shared" si="116"/>
        <v>1</v>
      </c>
      <c r="K309" s="328">
        <f t="shared" si="117"/>
        <v>4.49</v>
      </c>
      <c r="L309" s="318">
        <v>1261</v>
      </c>
      <c r="M309" s="318" t="s">
        <v>218</v>
      </c>
      <c r="N309" s="318">
        <v>1</v>
      </c>
      <c r="O309" s="621">
        <f t="shared" si="118"/>
        <v>4.49</v>
      </c>
      <c r="P309" s="755">
        <v>1</v>
      </c>
      <c r="Q309" s="755">
        <f t="shared" si="119"/>
        <v>0</v>
      </c>
      <c r="R309" s="341">
        <v>1</v>
      </c>
      <c r="S309" s="318">
        <f t="shared" si="125"/>
        <v>4.49</v>
      </c>
      <c r="T309" s="319"/>
      <c r="V309" s="328">
        <f t="shared" si="126"/>
        <v>4.49</v>
      </c>
      <c r="W309" s="320">
        <v>1</v>
      </c>
      <c r="X309" s="328">
        <f t="shared" si="121"/>
        <v>4.49</v>
      </c>
      <c r="Y309" s="464">
        <v>1</v>
      </c>
      <c r="Z309" s="328">
        <f t="shared" si="122"/>
        <v>4.49</v>
      </c>
      <c r="AB309" s="458">
        <f t="shared" si="123"/>
        <v>0</v>
      </c>
      <c r="AC309" s="348">
        <f t="shared" si="124"/>
        <v>0</v>
      </c>
    </row>
    <row r="310" spans="1:29">
      <c r="A310" s="318"/>
      <c r="B310" s="319"/>
      <c r="C310" s="318"/>
      <c r="D310" s="318"/>
      <c r="E310" s="319"/>
      <c r="F310" s="319"/>
      <c r="G310" s="318" t="s">
        <v>1700</v>
      </c>
      <c r="H310" s="328">
        <v>4.49</v>
      </c>
      <c r="I310" s="318">
        <v>1</v>
      </c>
      <c r="J310" s="318">
        <f t="shared" si="116"/>
        <v>1</v>
      </c>
      <c r="K310" s="328">
        <f t="shared" si="117"/>
        <v>4.49</v>
      </c>
      <c r="L310" s="318">
        <v>1261</v>
      </c>
      <c r="M310" s="318" t="s">
        <v>218</v>
      </c>
      <c r="N310" s="318">
        <v>1</v>
      </c>
      <c r="O310" s="621">
        <f t="shared" si="118"/>
        <v>4.49</v>
      </c>
      <c r="P310" s="755">
        <v>1</v>
      </c>
      <c r="Q310" s="755">
        <f t="shared" si="119"/>
        <v>0</v>
      </c>
      <c r="R310" s="341">
        <v>1</v>
      </c>
      <c r="S310" s="318">
        <f t="shared" si="125"/>
        <v>4.49</v>
      </c>
      <c r="T310" s="319"/>
      <c r="V310" s="328">
        <f t="shared" si="126"/>
        <v>4.49</v>
      </c>
      <c r="W310" s="320">
        <v>1</v>
      </c>
      <c r="X310" s="328">
        <f t="shared" si="121"/>
        <v>4.49</v>
      </c>
      <c r="Y310" s="464">
        <v>1</v>
      </c>
      <c r="Z310" s="328">
        <f t="shared" si="122"/>
        <v>4.49</v>
      </c>
      <c r="AB310" s="458">
        <f t="shared" si="123"/>
        <v>0</v>
      </c>
      <c r="AC310" s="348">
        <f t="shared" si="124"/>
        <v>0</v>
      </c>
    </row>
    <row r="311" spans="1:29">
      <c r="A311" s="318"/>
      <c r="B311" s="319"/>
      <c r="C311" s="318"/>
      <c r="D311" s="318"/>
      <c r="E311" s="319"/>
      <c r="F311" s="319"/>
      <c r="G311" s="318" t="s">
        <v>1701</v>
      </c>
      <c r="H311" s="328">
        <v>4.49</v>
      </c>
      <c r="I311" s="318">
        <v>1</v>
      </c>
      <c r="J311" s="318">
        <f t="shared" si="116"/>
        <v>1</v>
      </c>
      <c r="K311" s="328">
        <f t="shared" si="117"/>
        <v>4.49</v>
      </c>
      <c r="L311" s="318">
        <v>1262</v>
      </c>
      <c r="M311" s="318" t="s">
        <v>219</v>
      </c>
      <c r="N311" s="318">
        <v>1</v>
      </c>
      <c r="O311" s="621">
        <f t="shared" si="118"/>
        <v>4.49</v>
      </c>
      <c r="P311" s="755">
        <v>1</v>
      </c>
      <c r="Q311" s="755">
        <f t="shared" si="119"/>
        <v>0</v>
      </c>
      <c r="R311" s="341">
        <v>1</v>
      </c>
      <c r="S311" s="318">
        <f t="shared" si="125"/>
        <v>4.49</v>
      </c>
      <c r="T311" s="319"/>
      <c r="V311" s="328">
        <f t="shared" si="126"/>
        <v>4.49</v>
      </c>
      <c r="W311" s="320">
        <v>1</v>
      </c>
      <c r="X311" s="328">
        <f t="shared" si="121"/>
        <v>4.49</v>
      </c>
      <c r="Y311" s="464">
        <v>1</v>
      </c>
      <c r="Z311" s="328">
        <f t="shared" si="122"/>
        <v>4.49</v>
      </c>
      <c r="AB311" s="458">
        <f t="shared" si="123"/>
        <v>0</v>
      </c>
      <c r="AC311" s="348">
        <f t="shared" si="124"/>
        <v>0</v>
      </c>
    </row>
    <row r="312" spans="1:29">
      <c r="A312" s="318"/>
      <c r="B312" s="319"/>
      <c r="C312" s="318"/>
      <c r="D312" s="318"/>
      <c r="E312" s="319"/>
      <c r="F312" s="319"/>
      <c r="G312" s="318" t="s">
        <v>1702</v>
      </c>
      <c r="H312" s="328">
        <v>4.49</v>
      </c>
      <c r="I312" s="318">
        <v>1</v>
      </c>
      <c r="J312" s="318">
        <f t="shared" si="116"/>
        <v>1</v>
      </c>
      <c r="K312" s="328">
        <f t="shared" si="117"/>
        <v>4.49</v>
      </c>
      <c r="L312" s="318">
        <v>1254</v>
      </c>
      <c r="M312" s="318" t="s">
        <v>215</v>
      </c>
      <c r="N312" s="318">
        <v>1</v>
      </c>
      <c r="O312" s="621">
        <f t="shared" si="118"/>
        <v>4.49</v>
      </c>
      <c r="P312" s="755">
        <v>1</v>
      </c>
      <c r="Q312" s="755">
        <f t="shared" si="119"/>
        <v>0</v>
      </c>
      <c r="R312" s="341">
        <v>1</v>
      </c>
      <c r="S312" s="318">
        <f t="shared" si="125"/>
        <v>4.49</v>
      </c>
      <c r="T312" s="319"/>
      <c r="V312" s="328">
        <f t="shared" si="126"/>
        <v>4.49</v>
      </c>
      <c r="W312" s="320">
        <v>1</v>
      </c>
      <c r="X312" s="328">
        <f t="shared" si="121"/>
        <v>4.49</v>
      </c>
      <c r="Y312" s="464">
        <v>1</v>
      </c>
      <c r="Z312" s="328">
        <f t="shared" si="122"/>
        <v>4.49</v>
      </c>
      <c r="AB312" s="458">
        <f t="shared" si="123"/>
        <v>0</v>
      </c>
      <c r="AC312" s="348">
        <f t="shared" si="124"/>
        <v>0</v>
      </c>
    </row>
    <row r="313" spans="1:29">
      <c r="A313" s="318"/>
      <c r="B313" s="319"/>
      <c r="C313" s="318"/>
      <c r="D313" s="318"/>
      <c r="E313" s="319"/>
      <c r="F313" s="319"/>
      <c r="G313" s="318" t="s">
        <v>1703</v>
      </c>
      <c r="H313" s="328">
        <v>4.49</v>
      </c>
      <c r="I313" s="318">
        <v>1</v>
      </c>
      <c r="J313" s="318">
        <f t="shared" si="116"/>
        <v>1</v>
      </c>
      <c r="K313" s="328">
        <f t="shared" si="117"/>
        <v>4.49</v>
      </c>
      <c r="L313" s="318">
        <v>1254</v>
      </c>
      <c r="M313" s="318" t="s">
        <v>215</v>
      </c>
      <c r="N313" s="318">
        <v>1</v>
      </c>
      <c r="O313" s="621">
        <f t="shared" si="118"/>
        <v>4.49</v>
      </c>
      <c r="P313" s="755">
        <v>1</v>
      </c>
      <c r="Q313" s="755">
        <f t="shared" si="119"/>
        <v>0</v>
      </c>
      <c r="R313" s="341">
        <v>1</v>
      </c>
      <c r="S313" s="318">
        <f t="shared" si="125"/>
        <v>4.49</v>
      </c>
      <c r="T313" s="319"/>
      <c r="V313" s="328">
        <f t="shared" si="126"/>
        <v>4.49</v>
      </c>
      <c r="W313" s="320">
        <v>1</v>
      </c>
      <c r="X313" s="328">
        <f t="shared" si="121"/>
        <v>4.49</v>
      </c>
      <c r="Y313" s="464">
        <v>1</v>
      </c>
      <c r="Z313" s="328">
        <f t="shared" si="122"/>
        <v>4.49</v>
      </c>
      <c r="AB313" s="458">
        <f t="shared" si="123"/>
        <v>0</v>
      </c>
      <c r="AC313" s="348">
        <f t="shared" si="124"/>
        <v>0</v>
      </c>
    </row>
    <row r="314" spans="1:29">
      <c r="A314" s="318"/>
      <c r="B314" s="319"/>
      <c r="C314" s="318"/>
      <c r="D314" s="318"/>
      <c r="E314" s="319"/>
      <c r="F314" s="319"/>
      <c r="G314" s="318" t="s">
        <v>1704</v>
      </c>
      <c r="H314" s="328">
        <v>4.49</v>
      </c>
      <c r="I314" s="318">
        <v>1</v>
      </c>
      <c r="J314" s="318">
        <f t="shared" si="116"/>
        <v>1</v>
      </c>
      <c r="K314" s="328">
        <f t="shared" si="117"/>
        <v>4.49</v>
      </c>
      <c r="L314" s="318">
        <v>1254</v>
      </c>
      <c r="M314" s="318" t="s">
        <v>215</v>
      </c>
      <c r="N314" s="318">
        <v>1</v>
      </c>
      <c r="O314" s="621">
        <f t="shared" si="118"/>
        <v>4.49</v>
      </c>
      <c r="P314" s="755">
        <v>1</v>
      </c>
      <c r="Q314" s="755">
        <f t="shared" si="119"/>
        <v>0</v>
      </c>
      <c r="R314" s="341">
        <v>1</v>
      </c>
      <c r="S314" s="318">
        <f t="shared" si="125"/>
        <v>4.49</v>
      </c>
      <c r="T314" s="319"/>
      <c r="V314" s="328">
        <f t="shared" si="126"/>
        <v>4.49</v>
      </c>
      <c r="W314" s="320">
        <v>1</v>
      </c>
      <c r="X314" s="328">
        <f t="shared" si="121"/>
        <v>4.49</v>
      </c>
      <c r="Y314" s="464">
        <v>1</v>
      </c>
      <c r="Z314" s="328">
        <f t="shared" si="122"/>
        <v>4.49</v>
      </c>
      <c r="AB314" s="458">
        <f t="shared" si="123"/>
        <v>0</v>
      </c>
      <c r="AC314" s="348">
        <f t="shared" si="124"/>
        <v>0</v>
      </c>
    </row>
    <row r="315" spans="1:29">
      <c r="A315" s="318"/>
      <c r="B315" s="319"/>
      <c r="C315" s="318"/>
      <c r="D315" s="318"/>
      <c r="E315" s="319"/>
      <c r="F315" s="319"/>
      <c r="G315" s="318" t="s">
        <v>1705</v>
      </c>
      <c r="H315" s="328">
        <v>4.49</v>
      </c>
      <c r="I315" s="318">
        <v>1</v>
      </c>
      <c r="J315" s="318">
        <f t="shared" si="116"/>
        <v>1</v>
      </c>
      <c r="K315" s="328">
        <f t="shared" si="117"/>
        <v>4.49</v>
      </c>
      <c r="L315" s="318">
        <v>1254</v>
      </c>
      <c r="M315" s="318" t="s">
        <v>215</v>
      </c>
      <c r="N315" s="318">
        <v>1</v>
      </c>
      <c r="O315" s="621">
        <f t="shared" si="118"/>
        <v>4.49</v>
      </c>
      <c r="P315" s="755">
        <v>1</v>
      </c>
      <c r="Q315" s="755">
        <f t="shared" si="119"/>
        <v>0</v>
      </c>
      <c r="R315" s="341">
        <v>1</v>
      </c>
      <c r="S315" s="318">
        <f t="shared" si="125"/>
        <v>4.49</v>
      </c>
      <c r="T315" s="319"/>
      <c r="V315" s="328">
        <f t="shared" si="126"/>
        <v>4.49</v>
      </c>
      <c r="W315" s="320">
        <v>1</v>
      </c>
      <c r="X315" s="328">
        <f t="shared" si="121"/>
        <v>4.49</v>
      </c>
      <c r="Y315" s="464">
        <v>1</v>
      </c>
      <c r="Z315" s="328">
        <f t="shared" si="122"/>
        <v>4.49</v>
      </c>
      <c r="AB315" s="458">
        <f t="shared" si="123"/>
        <v>0</v>
      </c>
      <c r="AC315" s="348">
        <f t="shared" si="124"/>
        <v>0</v>
      </c>
    </row>
    <row r="316" spans="1:29">
      <c r="A316" s="318"/>
      <c r="B316" s="319"/>
      <c r="C316" s="318"/>
      <c r="D316" s="318"/>
      <c r="E316" s="319"/>
      <c r="F316" s="319"/>
      <c r="G316" s="318" t="s">
        <v>1706</v>
      </c>
      <c r="H316" s="328">
        <v>2.68</v>
      </c>
      <c r="I316" s="318">
        <v>1</v>
      </c>
      <c r="J316" s="318">
        <f t="shared" si="116"/>
        <v>1</v>
      </c>
      <c r="K316" s="328">
        <f t="shared" si="117"/>
        <v>2.68</v>
      </c>
      <c r="L316" s="318">
        <v>1408</v>
      </c>
      <c r="M316" s="318" t="s">
        <v>264</v>
      </c>
      <c r="N316" s="318">
        <v>1</v>
      </c>
      <c r="O316" s="621">
        <f t="shared" si="118"/>
        <v>2.68</v>
      </c>
      <c r="P316" s="755">
        <v>1</v>
      </c>
      <c r="Q316" s="755">
        <f t="shared" si="119"/>
        <v>0</v>
      </c>
      <c r="R316" s="341">
        <v>1</v>
      </c>
      <c r="S316" s="318">
        <f t="shared" si="125"/>
        <v>2.68</v>
      </c>
      <c r="T316" s="319"/>
      <c r="V316" s="328">
        <v>2.673</v>
      </c>
      <c r="W316" s="320">
        <v>1</v>
      </c>
      <c r="X316" s="328">
        <f t="shared" si="121"/>
        <v>2.673</v>
      </c>
      <c r="Y316" s="464">
        <v>1</v>
      </c>
      <c r="Z316" s="328">
        <f t="shared" si="122"/>
        <v>2.673</v>
      </c>
      <c r="AB316" s="458">
        <f t="shared" si="123"/>
        <v>-7.0000000000001172E-3</v>
      </c>
      <c r="AC316" s="348">
        <f t="shared" si="124"/>
        <v>-7.0000000000001172E-3</v>
      </c>
    </row>
    <row r="317" spans="1:29">
      <c r="A317" s="318"/>
      <c r="B317" s="319"/>
      <c r="C317" s="318"/>
      <c r="D317" s="318"/>
      <c r="E317" s="319"/>
      <c r="F317" s="336" t="s">
        <v>721</v>
      </c>
      <c r="G317" s="318" t="s">
        <v>1707</v>
      </c>
      <c r="H317" s="328">
        <v>3.55</v>
      </c>
      <c r="I317" s="318">
        <v>1</v>
      </c>
      <c r="J317" s="318">
        <f t="shared" si="116"/>
        <v>1</v>
      </c>
      <c r="K317" s="328">
        <f t="shared" si="117"/>
        <v>3.55</v>
      </c>
      <c r="L317" s="318"/>
      <c r="M317" s="318"/>
      <c r="N317" s="318">
        <v>1</v>
      </c>
      <c r="O317" s="621">
        <f t="shared" si="118"/>
        <v>3.55</v>
      </c>
      <c r="P317" s="755">
        <v>1</v>
      </c>
      <c r="Q317" s="755">
        <f t="shared" si="119"/>
        <v>0</v>
      </c>
      <c r="R317" s="341">
        <v>1</v>
      </c>
      <c r="S317" s="318">
        <f t="shared" si="125"/>
        <v>3.55</v>
      </c>
      <c r="T317" s="319"/>
      <c r="V317" s="328">
        <f>2.673+2.055</f>
        <v>4.7279999999999998</v>
      </c>
      <c r="W317" s="320">
        <v>1</v>
      </c>
      <c r="X317" s="328">
        <f t="shared" si="121"/>
        <v>4.7279999999999998</v>
      </c>
      <c r="Y317" s="464">
        <v>1</v>
      </c>
      <c r="Z317" s="328">
        <f t="shared" si="122"/>
        <v>4.7279999999999998</v>
      </c>
      <c r="AB317" s="458">
        <f t="shared" si="123"/>
        <v>1.1779999999999999</v>
      </c>
      <c r="AC317" s="348">
        <f t="shared" si="124"/>
        <v>1.1779999999999999</v>
      </c>
    </row>
    <row r="318" spans="1:29">
      <c r="A318" s="318"/>
      <c r="B318" s="319"/>
      <c r="C318" s="318"/>
      <c r="D318" s="318"/>
      <c r="E318" s="319"/>
      <c r="F318" s="336" t="s">
        <v>721</v>
      </c>
      <c r="G318" s="318" t="s">
        <v>1708</v>
      </c>
      <c r="H318" s="328">
        <v>3.4</v>
      </c>
      <c r="I318" s="318">
        <v>1</v>
      </c>
      <c r="J318" s="318">
        <f t="shared" si="116"/>
        <v>1</v>
      </c>
      <c r="K318" s="328">
        <f t="shared" si="117"/>
        <v>3.4</v>
      </c>
      <c r="L318" s="318"/>
      <c r="M318" s="318"/>
      <c r="N318" s="318">
        <v>1</v>
      </c>
      <c r="O318" s="621">
        <f t="shared" si="118"/>
        <v>3.4</v>
      </c>
      <c r="P318" s="755">
        <v>1</v>
      </c>
      <c r="Q318" s="755">
        <f t="shared" si="119"/>
        <v>0</v>
      </c>
      <c r="R318" s="341">
        <v>1</v>
      </c>
      <c r="S318" s="318">
        <f t="shared" si="125"/>
        <v>3.4</v>
      </c>
      <c r="T318" s="319"/>
      <c r="V318" s="328">
        <f>2.542+2.055</f>
        <v>4.5969999999999995</v>
      </c>
      <c r="W318" s="320">
        <v>1</v>
      </c>
      <c r="X318" s="328">
        <f t="shared" si="121"/>
        <v>4.5969999999999995</v>
      </c>
      <c r="Y318" s="464">
        <v>1</v>
      </c>
      <c r="Z318" s="328">
        <f t="shared" si="122"/>
        <v>4.5969999999999995</v>
      </c>
      <c r="AB318" s="458">
        <f t="shared" si="123"/>
        <v>1.1969999999999996</v>
      </c>
      <c r="AC318" s="348">
        <f t="shared" si="124"/>
        <v>1.1969999999999996</v>
      </c>
    </row>
    <row r="319" spans="1:29">
      <c r="A319" s="318"/>
      <c r="B319" s="319"/>
      <c r="C319" s="318"/>
      <c r="D319" s="318"/>
      <c r="E319" s="319"/>
      <c r="F319" s="336"/>
      <c r="G319" s="318" t="s">
        <v>1709</v>
      </c>
      <c r="H319" s="328">
        <v>2.5499999999999998</v>
      </c>
      <c r="I319" s="318">
        <v>1</v>
      </c>
      <c r="J319" s="318">
        <f t="shared" si="116"/>
        <v>1</v>
      </c>
      <c r="K319" s="328">
        <f t="shared" si="117"/>
        <v>2.5499999999999998</v>
      </c>
      <c r="L319" s="318">
        <v>1408</v>
      </c>
      <c r="M319" s="318" t="s">
        <v>264</v>
      </c>
      <c r="N319" s="318">
        <v>1</v>
      </c>
      <c r="O319" s="621">
        <f t="shared" si="118"/>
        <v>2.5499999999999998</v>
      </c>
      <c r="P319" s="755">
        <v>1</v>
      </c>
      <c r="Q319" s="755">
        <f t="shared" si="119"/>
        <v>0</v>
      </c>
      <c r="R319" s="341">
        <v>1</v>
      </c>
      <c r="S319" s="318">
        <f t="shared" si="125"/>
        <v>2.5499999999999998</v>
      </c>
      <c r="T319" s="389"/>
      <c r="V319" s="328">
        <v>2.5419999999999998</v>
      </c>
      <c r="W319" s="320">
        <v>1</v>
      </c>
      <c r="X319" s="328">
        <f t="shared" si="121"/>
        <v>2.5419999999999998</v>
      </c>
      <c r="Y319" s="464">
        <v>1</v>
      </c>
      <c r="Z319" s="328">
        <f t="shared" si="122"/>
        <v>2.5419999999999998</v>
      </c>
      <c r="AB319" s="458">
        <f t="shared" si="123"/>
        <v>-8.0000000000000071E-3</v>
      </c>
      <c r="AC319" s="348">
        <f t="shared" si="124"/>
        <v>-8.0000000000000071E-3</v>
      </c>
    </row>
    <row r="320" spans="1:29">
      <c r="A320" s="318"/>
      <c r="B320" s="319"/>
      <c r="C320" s="318"/>
      <c r="D320" s="318"/>
      <c r="E320" s="319"/>
      <c r="F320" s="336"/>
      <c r="G320" s="318" t="s">
        <v>1710</v>
      </c>
      <c r="H320" s="328">
        <v>4.49</v>
      </c>
      <c r="I320" s="318">
        <v>1</v>
      </c>
      <c r="J320" s="318">
        <f t="shared" si="116"/>
        <v>1</v>
      </c>
      <c r="K320" s="328">
        <f t="shared" si="117"/>
        <v>4.49</v>
      </c>
      <c r="L320" s="318">
        <v>1256</v>
      </c>
      <c r="M320" s="318" t="s">
        <v>217</v>
      </c>
      <c r="N320" s="318">
        <v>1</v>
      </c>
      <c r="O320" s="621">
        <f t="shared" si="118"/>
        <v>4.49</v>
      </c>
      <c r="P320" s="755">
        <v>1</v>
      </c>
      <c r="Q320" s="755">
        <f t="shared" si="119"/>
        <v>0</v>
      </c>
      <c r="R320" s="341">
        <v>1</v>
      </c>
      <c r="S320" s="318">
        <f t="shared" si="125"/>
        <v>4.49</v>
      </c>
      <c r="T320" s="389"/>
      <c r="V320" s="328">
        <f t="shared" ref="V320:V334" si="127">4.49</f>
        <v>4.49</v>
      </c>
      <c r="W320" s="320">
        <v>1</v>
      </c>
      <c r="X320" s="328">
        <f t="shared" si="121"/>
        <v>4.49</v>
      </c>
      <c r="Y320" s="464">
        <v>1</v>
      </c>
      <c r="Z320" s="328">
        <f t="shared" si="122"/>
        <v>4.49</v>
      </c>
      <c r="AB320" s="458">
        <f t="shared" si="123"/>
        <v>0</v>
      </c>
      <c r="AC320" s="348">
        <f t="shared" si="124"/>
        <v>0</v>
      </c>
    </row>
    <row r="321" spans="1:29">
      <c r="A321" s="318"/>
      <c r="B321" s="319"/>
      <c r="C321" s="318"/>
      <c r="D321" s="318"/>
      <c r="E321" s="319"/>
      <c r="F321" s="319"/>
      <c r="G321" s="318" t="s">
        <v>1711</v>
      </c>
      <c r="H321" s="328">
        <v>4.49</v>
      </c>
      <c r="I321" s="318">
        <v>1</v>
      </c>
      <c r="J321" s="318">
        <f t="shared" si="116"/>
        <v>1</v>
      </c>
      <c r="K321" s="328">
        <f t="shared" si="117"/>
        <v>4.49</v>
      </c>
      <c r="L321" s="318">
        <v>1256</v>
      </c>
      <c r="M321" s="318" t="s">
        <v>217</v>
      </c>
      <c r="N321" s="318">
        <v>1</v>
      </c>
      <c r="O321" s="621">
        <f t="shared" si="118"/>
        <v>4.49</v>
      </c>
      <c r="P321" s="755">
        <v>1</v>
      </c>
      <c r="Q321" s="755">
        <f t="shared" si="119"/>
        <v>0</v>
      </c>
      <c r="R321" s="341">
        <v>1</v>
      </c>
      <c r="S321" s="318">
        <f t="shared" si="125"/>
        <v>4.49</v>
      </c>
      <c r="T321" s="389"/>
      <c r="V321" s="328">
        <f t="shared" si="127"/>
        <v>4.49</v>
      </c>
      <c r="W321" s="320">
        <v>1</v>
      </c>
      <c r="X321" s="328">
        <f t="shared" si="121"/>
        <v>4.49</v>
      </c>
      <c r="Y321" s="464">
        <v>1</v>
      </c>
      <c r="Z321" s="328">
        <f t="shared" si="122"/>
        <v>4.49</v>
      </c>
      <c r="AB321" s="458">
        <f t="shared" si="123"/>
        <v>0</v>
      </c>
      <c r="AC321" s="348">
        <f t="shared" si="124"/>
        <v>0</v>
      </c>
    </row>
    <row r="322" spans="1:29">
      <c r="A322" s="318"/>
      <c r="B322" s="319"/>
      <c r="C322" s="318"/>
      <c r="D322" s="318"/>
      <c r="E322" s="319"/>
      <c r="F322" s="319"/>
      <c r="G322" s="318" t="s">
        <v>1712</v>
      </c>
      <c r="H322" s="328">
        <v>4.49</v>
      </c>
      <c r="I322" s="318">
        <v>1</v>
      </c>
      <c r="J322" s="318">
        <f t="shared" si="116"/>
        <v>1</v>
      </c>
      <c r="K322" s="328">
        <f t="shared" si="117"/>
        <v>4.49</v>
      </c>
      <c r="L322" s="318">
        <v>1256</v>
      </c>
      <c r="M322" s="318" t="s">
        <v>217</v>
      </c>
      <c r="N322" s="318">
        <v>1</v>
      </c>
      <c r="O322" s="621">
        <f t="shared" si="118"/>
        <v>4.49</v>
      </c>
      <c r="P322" s="755">
        <v>1</v>
      </c>
      <c r="Q322" s="755">
        <f t="shared" si="119"/>
        <v>0</v>
      </c>
      <c r="R322" s="341">
        <v>1</v>
      </c>
      <c r="S322" s="318">
        <f t="shared" si="125"/>
        <v>4.49</v>
      </c>
      <c r="T322" s="389"/>
      <c r="V322" s="328">
        <f t="shared" si="127"/>
        <v>4.49</v>
      </c>
      <c r="W322" s="320">
        <v>1</v>
      </c>
      <c r="X322" s="328">
        <f t="shared" si="121"/>
        <v>4.49</v>
      </c>
      <c r="Y322" s="464">
        <v>1</v>
      </c>
      <c r="Z322" s="328">
        <f t="shared" si="122"/>
        <v>4.49</v>
      </c>
      <c r="AB322" s="458">
        <f t="shared" si="123"/>
        <v>0</v>
      </c>
      <c r="AC322" s="348">
        <f t="shared" si="124"/>
        <v>0</v>
      </c>
    </row>
    <row r="323" spans="1:29">
      <c r="A323" s="318"/>
      <c r="B323" s="319"/>
      <c r="C323" s="318"/>
      <c r="D323" s="318"/>
      <c r="E323" s="319"/>
      <c r="F323" s="336"/>
      <c r="G323" s="318" t="s">
        <v>1713</v>
      </c>
      <c r="H323" s="328">
        <v>4.49</v>
      </c>
      <c r="I323" s="318">
        <v>1</v>
      </c>
      <c r="J323" s="318">
        <f t="shared" si="116"/>
        <v>1</v>
      </c>
      <c r="K323" s="328">
        <f t="shared" si="117"/>
        <v>4.49</v>
      </c>
      <c r="L323" s="318">
        <v>1256</v>
      </c>
      <c r="M323" s="318" t="s">
        <v>217</v>
      </c>
      <c r="N323" s="318">
        <v>1</v>
      </c>
      <c r="O323" s="621">
        <f t="shared" si="118"/>
        <v>4.49</v>
      </c>
      <c r="P323" s="755">
        <v>1</v>
      </c>
      <c r="Q323" s="755">
        <f t="shared" si="119"/>
        <v>0</v>
      </c>
      <c r="R323" s="341">
        <v>1</v>
      </c>
      <c r="S323" s="318">
        <f t="shared" si="125"/>
        <v>4.49</v>
      </c>
      <c r="T323" s="389"/>
      <c r="V323" s="328">
        <f t="shared" si="127"/>
        <v>4.49</v>
      </c>
      <c r="W323" s="320">
        <v>1</v>
      </c>
      <c r="X323" s="328">
        <f t="shared" si="121"/>
        <v>4.49</v>
      </c>
      <c r="Y323" s="464">
        <v>1</v>
      </c>
      <c r="Z323" s="328">
        <f t="shared" si="122"/>
        <v>4.49</v>
      </c>
      <c r="AB323" s="458">
        <f t="shared" si="123"/>
        <v>0</v>
      </c>
      <c r="AC323" s="348">
        <f t="shared" si="124"/>
        <v>0</v>
      </c>
    </row>
    <row r="324" spans="1:29" ht="14.4" customHeight="1">
      <c r="A324" s="318"/>
      <c r="B324" s="319"/>
      <c r="C324" s="318"/>
      <c r="D324" s="318"/>
      <c r="E324" s="319"/>
      <c r="F324" s="336"/>
      <c r="G324" s="318" t="s">
        <v>1714</v>
      </c>
      <c r="H324" s="328">
        <v>4.49</v>
      </c>
      <c r="I324" s="318">
        <v>1</v>
      </c>
      <c r="J324" s="318">
        <f t="shared" si="116"/>
        <v>1</v>
      </c>
      <c r="K324" s="328">
        <f t="shared" si="117"/>
        <v>4.49</v>
      </c>
      <c r="L324" s="318">
        <v>1264</v>
      </c>
      <c r="M324" s="318" t="s">
        <v>220</v>
      </c>
      <c r="N324" s="318">
        <v>1</v>
      </c>
      <c r="O324" s="621">
        <f t="shared" si="118"/>
        <v>4.49</v>
      </c>
      <c r="P324" s="755">
        <v>1</v>
      </c>
      <c r="Q324" s="755">
        <f t="shared" si="119"/>
        <v>0</v>
      </c>
      <c r="R324" s="341">
        <v>1</v>
      </c>
      <c r="S324" s="318">
        <f t="shared" si="125"/>
        <v>4.49</v>
      </c>
      <c r="T324" s="388"/>
      <c r="V324" s="328">
        <f t="shared" si="127"/>
        <v>4.49</v>
      </c>
      <c r="W324" s="320">
        <v>1</v>
      </c>
      <c r="X324" s="328">
        <f t="shared" si="121"/>
        <v>4.49</v>
      </c>
      <c r="Y324" s="464">
        <v>1</v>
      </c>
      <c r="Z324" s="328">
        <f t="shared" si="122"/>
        <v>4.49</v>
      </c>
      <c r="AB324" s="458">
        <f t="shared" si="123"/>
        <v>0</v>
      </c>
      <c r="AC324" s="348">
        <f t="shared" si="124"/>
        <v>0</v>
      </c>
    </row>
    <row r="325" spans="1:29">
      <c r="A325" s="318"/>
      <c r="B325" s="319"/>
      <c r="C325" s="318"/>
      <c r="D325" s="318"/>
      <c r="E325" s="319"/>
      <c r="F325" s="336"/>
      <c r="G325" s="318" t="s">
        <v>1715</v>
      </c>
      <c r="H325" s="328">
        <v>4.49</v>
      </c>
      <c r="I325" s="318">
        <v>1</v>
      </c>
      <c r="J325" s="318">
        <f t="shared" si="116"/>
        <v>1</v>
      </c>
      <c r="K325" s="328">
        <f t="shared" si="117"/>
        <v>4.49</v>
      </c>
      <c r="L325" s="318">
        <v>1262</v>
      </c>
      <c r="M325" s="318" t="s">
        <v>219</v>
      </c>
      <c r="N325" s="318">
        <v>1</v>
      </c>
      <c r="O325" s="621">
        <f t="shared" si="118"/>
        <v>4.49</v>
      </c>
      <c r="P325" s="755">
        <v>1</v>
      </c>
      <c r="Q325" s="755">
        <f t="shared" si="119"/>
        <v>0</v>
      </c>
      <c r="R325" s="341">
        <v>1</v>
      </c>
      <c r="S325" s="318">
        <f t="shared" si="125"/>
        <v>4.49</v>
      </c>
      <c r="T325" s="389"/>
      <c r="V325" s="328">
        <f t="shared" si="127"/>
        <v>4.49</v>
      </c>
      <c r="W325" s="320">
        <v>1</v>
      </c>
      <c r="X325" s="328">
        <f t="shared" si="121"/>
        <v>4.49</v>
      </c>
      <c r="Y325" s="464">
        <v>1</v>
      </c>
      <c r="Z325" s="328">
        <f t="shared" si="122"/>
        <v>4.49</v>
      </c>
      <c r="AB325" s="458">
        <f t="shared" si="123"/>
        <v>0</v>
      </c>
      <c r="AC325" s="348">
        <f t="shared" si="124"/>
        <v>0</v>
      </c>
    </row>
    <row r="326" spans="1:29">
      <c r="A326" s="318"/>
      <c r="B326" s="319"/>
      <c r="C326" s="318"/>
      <c r="D326" s="318"/>
      <c r="E326" s="319"/>
      <c r="F326" s="336"/>
      <c r="G326" s="318" t="s">
        <v>1716</v>
      </c>
      <c r="H326" s="328">
        <v>4.49</v>
      </c>
      <c r="I326" s="318">
        <v>1</v>
      </c>
      <c r="J326" s="318">
        <f t="shared" si="116"/>
        <v>1</v>
      </c>
      <c r="K326" s="328">
        <f t="shared" si="117"/>
        <v>4.49</v>
      </c>
      <c r="L326" s="318">
        <v>1262</v>
      </c>
      <c r="M326" s="318" t="s">
        <v>219</v>
      </c>
      <c r="N326" s="318">
        <v>1</v>
      </c>
      <c r="O326" s="621">
        <f t="shared" si="118"/>
        <v>4.49</v>
      </c>
      <c r="P326" s="755">
        <v>1</v>
      </c>
      <c r="Q326" s="755">
        <f t="shared" si="119"/>
        <v>0</v>
      </c>
      <c r="R326" s="341">
        <v>1</v>
      </c>
      <c r="S326" s="318">
        <f t="shared" si="125"/>
        <v>4.49</v>
      </c>
      <c r="T326" s="389"/>
      <c r="V326" s="328">
        <f t="shared" si="127"/>
        <v>4.49</v>
      </c>
      <c r="W326" s="320">
        <v>1</v>
      </c>
      <c r="X326" s="328">
        <f t="shared" si="121"/>
        <v>4.49</v>
      </c>
      <c r="Y326" s="464">
        <v>1</v>
      </c>
      <c r="Z326" s="328">
        <f t="shared" si="122"/>
        <v>4.49</v>
      </c>
      <c r="AB326" s="458">
        <f t="shared" si="123"/>
        <v>0</v>
      </c>
      <c r="AC326" s="348">
        <f t="shared" si="124"/>
        <v>0</v>
      </c>
    </row>
    <row r="327" spans="1:29">
      <c r="A327" s="318"/>
      <c r="B327" s="319"/>
      <c r="C327" s="318"/>
      <c r="D327" s="318"/>
      <c r="E327" s="319"/>
      <c r="F327" s="319"/>
      <c r="G327" s="318" t="s">
        <v>1717</v>
      </c>
      <c r="H327" s="328">
        <v>4.49</v>
      </c>
      <c r="I327" s="318">
        <v>1</v>
      </c>
      <c r="J327" s="318">
        <f t="shared" si="116"/>
        <v>1</v>
      </c>
      <c r="K327" s="328">
        <f t="shared" si="117"/>
        <v>4.49</v>
      </c>
      <c r="L327" s="318">
        <v>1264</v>
      </c>
      <c r="M327" s="318" t="s">
        <v>220</v>
      </c>
      <c r="N327" s="318">
        <v>1</v>
      </c>
      <c r="O327" s="621">
        <f t="shared" si="118"/>
        <v>4.49</v>
      </c>
      <c r="P327" s="755">
        <v>1</v>
      </c>
      <c r="Q327" s="755">
        <f t="shared" si="119"/>
        <v>0</v>
      </c>
      <c r="R327" s="341">
        <v>1</v>
      </c>
      <c r="S327" s="318">
        <f t="shared" si="125"/>
        <v>4.49</v>
      </c>
      <c r="T327" s="389"/>
      <c r="V327" s="328">
        <f t="shared" si="127"/>
        <v>4.49</v>
      </c>
      <c r="W327" s="320">
        <v>1</v>
      </c>
      <c r="X327" s="328">
        <f t="shared" si="121"/>
        <v>4.49</v>
      </c>
      <c r="Y327" s="464">
        <v>1</v>
      </c>
      <c r="Z327" s="328">
        <f t="shared" si="122"/>
        <v>4.49</v>
      </c>
      <c r="AB327" s="458">
        <f t="shared" si="123"/>
        <v>0</v>
      </c>
      <c r="AC327" s="348">
        <f t="shared" si="124"/>
        <v>0</v>
      </c>
    </row>
    <row r="328" spans="1:29" ht="20.399999999999999">
      <c r="A328" s="318"/>
      <c r="B328" s="319"/>
      <c r="C328" s="318"/>
      <c r="D328" s="318"/>
      <c r="E328" s="319"/>
      <c r="F328" s="336" t="s">
        <v>604</v>
      </c>
      <c r="G328" s="318" t="s">
        <v>1718</v>
      </c>
      <c r="H328" s="328">
        <v>4.72</v>
      </c>
      <c r="I328" s="318">
        <v>1</v>
      </c>
      <c r="J328" s="318">
        <f t="shared" si="116"/>
        <v>1</v>
      </c>
      <c r="K328" s="328">
        <f t="shared" si="117"/>
        <v>4.72</v>
      </c>
      <c r="L328" s="318">
        <v>2442</v>
      </c>
      <c r="M328" s="318">
        <v>240</v>
      </c>
      <c r="N328" s="318">
        <v>1</v>
      </c>
      <c r="O328" s="621">
        <f t="shared" si="118"/>
        <v>4.72</v>
      </c>
      <c r="P328" s="755">
        <v>1</v>
      </c>
      <c r="Q328" s="755">
        <f t="shared" si="119"/>
        <v>0</v>
      </c>
      <c r="R328" s="341">
        <v>1</v>
      </c>
      <c r="S328" s="318">
        <f t="shared" si="125"/>
        <v>4.72</v>
      </c>
      <c r="T328" s="389" t="s">
        <v>3431</v>
      </c>
      <c r="V328" s="328">
        <f t="shared" si="127"/>
        <v>4.49</v>
      </c>
      <c r="W328" s="458"/>
      <c r="X328" s="328">
        <f t="shared" si="121"/>
        <v>0</v>
      </c>
      <c r="Y328" s="320"/>
      <c r="Z328" s="328">
        <f t="shared" si="122"/>
        <v>0</v>
      </c>
      <c r="AB328" s="458">
        <f t="shared" si="123"/>
        <v>-4.72</v>
      </c>
      <c r="AC328" s="348">
        <f t="shared" si="124"/>
        <v>-4.72</v>
      </c>
    </row>
    <row r="329" spans="1:29">
      <c r="A329" s="584"/>
      <c r="B329" s="585"/>
      <c r="C329" s="584"/>
      <c r="D329" s="584"/>
      <c r="E329" s="585"/>
      <c r="F329" s="585" t="s">
        <v>384</v>
      </c>
      <c r="G329" s="584" t="s">
        <v>410</v>
      </c>
      <c r="H329" s="587"/>
      <c r="I329" s="584"/>
      <c r="J329" s="584"/>
      <c r="K329" s="584"/>
      <c r="L329" s="584"/>
      <c r="M329" s="584"/>
      <c r="N329" s="584"/>
      <c r="O329" s="634" t="s">
        <v>2321</v>
      </c>
      <c r="P329" s="763"/>
      <c r="Q329" s="763"/>
      <c r="R329" s="584"/>
      <c r="S329" s="588" t="s">
        <v>2321</v>
      </c>
      <c r="T329" s="1035" t="s">
        <v>1456</v>
      </c>
      <c r="V329" s="328"/>
      <c r="W329" s="318"/>
      <c r="X329" s="387" t="s">
        <v>2321</v>
      </c>
      <c r="Y329" s="318"/>
      <c r="Z329" s="387" t="s">
        <v>2321</v>
      </c>
      <c r="AB329" s="348"/>
      <c r="AC329" s="384"/>
    </row>
    <row r="330" spans="1:29">
      <c r="A330" s="584"/>
      <c r="B330" s="585"/>
      <c r="C330" s="584"/>
      <c r="D330" s="584"/>
      <c r="E330" s="585"/>
      <c r="F330" s="585" t="s">
        <v>384</v>
      </c>
      <c r="G330" s="584" t="s">
        <v>411</v>
      </c>
      <c r="H330" s="587"/>
      <c r="I330" s="584"/>
      <c r="J330" s="584"/>
      <c r="K330" s="584"/>
      <c r="L330" s="584"/>
      <c r="M330" s="584"/>
      <c r="N330" s="584"/>
      <c r="O330" s="634" t="s">
        <v>2321</v>
      </c>
      <c r="P330" s="763"/>
      <c r="Q330" s="763"/>
      <c r="R330" s="584"/>
      <c r="S330" s="588" t="s">
        <v>2321</v>
      </c>
      <c r="T330" s="1035"/>
      <c r="V330" s="328"/>
      <c r="W330" s="318"/>
      <c r="X330" s="387" t="s">
        <v>2321</v>
      </c>
      <c r="Y330" s="318"/>
      <c r="Z330" s="387" t="s">
        <v>2321</v>
      </c>
      <c r="AB330" s="348"/>
      <c r="AC330" s="384"/>
    </row>
    <row r="331" spans="1:29">
      <c r="A331" s="584"/>
      <c r="B331" s="585"/>
      <c r="C331" s="584"/>
      <c r="D331" s="584"/>
      <c r="E331" s="585"/>
      <c r="F331" s="585" t="s">
        <v>384</v>
      </c>
      <c r="G331" s="584" t="s">
        <v>412</v>
      </c>
      <c r="H331" s="587"/>
      <c r="I331" s="584"/>
      <c r="J331" s="584"/>
      <c r="K331" s="584"/>
      <c r="L331" s="584"/>
      <c r="M331" s="584"/>
      <c r="N331" s="584"/>
      <c r="O331" s="634" t="s">
        <v>2321</v>
      </c>
      <c r="P331" s="763"/>
      <c r="Q331" s="763"/>
      <c r="R331" s="584"/>
      <c r="S331" s="588" t="s">
        <v>2321</v>
      </c>
      <c r="T331" s="1035"/>
      <c r="V331" s="328"/>
      <c r="W331" s="318"/>
      <c r="X331" s="387" t="s">
        <v>2321</v>
      </c>
      <c r="Y331" s="318"/>
      <c r="Z331" s="387" t="s">
        <v>2321</v>
      </c>
      <c r="AB331" s="348"/>
      <c r="AC331" s="384"/>
    </row>
    <row r="332" spans="1:29">
      <c r="A332" s="584"/>
      <c r="B332" s="585"/>
      <c r="C332" s="584"/>
      <c r="D332" s="584"/>
      <c r="E332" s="585"/>
      <c r="F332" s="585" t="s">
        <v>384</v>
      </c>
      <c r="G332" s="584" t="s">
        <v>413</v>
      </c>
      <c r="H332" s="587"/>
      <c r="I332" s="584"/>
      <c r="J332" s="584"/>
      <c r="K332" s="584"/>
      <c r="L332" s="584"/>
      <c r="M332" s="584"/>
      <c r="N332" s="584"/>
      <c r="O332" s="634" t="s">
        <v>2321</v>
      </c>
      <c r="P332" s="763"/>
      <c r="Q332" s="763"/>
      <c r="R332" s="584"/>
      <c r="S332" s="588" t="s">
        <v>2321</v>
      </c>
      <c r="T332" s="1035"/>
      <c r="V332" s="328"/>
      <c r="W332" s="318"/>
      <c r="X332" s="387" t="s">
        <v>2321</v>
      </c>
      <c r="Y332" s="318"/>
      <c r="Z332" s="387" t="s">
        <v>2321</v>
      </c>
      <c r="AB332" s="348"/>
      <c r="AC332" s="384"/>
    </row>
    <row r="333" spans="1:29" ht="20.399999999999999">
      <c r="A333" s="318"/>
      <c r="B333" s="319"/>
      <c r="C333" s="318"/>
      <c r="D333" s="318"/>
      <c r="E333" s="319"/>
      <c r="F333" s="336" t="s">
        <v>604</v>
      </c>
      <c r="G333" s="318" t="s">
        <v>1719</v>
      </c>
      <c r="H333" s="328">
        <v>4.72</v>
      </c>
      <c r="I333" s="318">
        <v>1</v>
      </c>
      <c r="J333" s="318">
        <f>IF(N333&gt;0,1,0)</f>
        <v>1</v>
      </c>
      <c r="K333" s="328">
        <f>H333*J333</f>
        <v>4.72</v>
      </c>
      <c r="L333" s="350" t="s">
        <v>3152</v>
      </c>
      <c r="M333" s="350" t="s">
        <v>3153</v>
      </c>
      <c r="N333" s="318">
        <v>1</v>
      </c>
      <c r="O333" s="621">
        <f>H333*N333</f>
        <v>4.72</v>
      </c>
      <c r="P333" s="755">
        <v>1</v>
      </c>
      <c r="Q333" s="755">
        <f t="shared" ref="Q333:Q335" si="128">R333-P333</f>
        <v>0</v>
      </c>
      <c r="R333" s="341">
        <v>1</v>
      </c>
      <c r="S333" s="318">
        <f t="shared" ref="S333" si="129">H333*R333</f>
        <v>4.72</v>
      </c>
      <c r="T333" s="389" t="s">
        <v>3431</v>
      </c>
      <c r="V333" s="328">
        <f t="shared" si="127"/>
        <v>4.49</v>
      </c>
      <c r="W333" s="320"/>
      <c r="X333" s="328">
        <f>V333*W333</f>
        <v>0</v>
      </c>
      <c r="Y333" s="320"/>
      <c r="Z333" s="328">
        <f>V333*Y333</f>
        <v>0</v>
      </c>
      <c r="AB333" s="458">
        <f>X333-O333</f>
        <v>-4.72</v>
      </c>
      <c r="AC333" s="348">
        <f>Z333-S333</f>
        <v>-4.72</v>
      </c>
    </row>
    <row r="334" spans="1:29">
      <c r="A334" s="318"/>
      <c r="B334" s="319"/>
      <c r="C334" s="318"/>
      <c r="D334" s="318"/>
      <c r="E334" s="319"/>
      <c r="F334" s="336"/>
      <c r="G334" s="318" t="s">
        <v>1720</v>
      </c>
      <c r="H334" s="328">
        <v>4.49</v>
      </c>
      <c r="I334" s="318">
        <v>1</v>
      </c>
      <c r="J334" s="318">
        <f>IF(N334&gt;0,1,0)</f>
        <v>1</v>
      </c>
      <c r="K334" s="328">
        <f>H334*J334</f>
        <v>4.49</v>
      </c>
      <c r="L334" s="318">
        <v>1262</v>
      </c>
      <c r="M334" s="318" t="s">
        <v>219</v>
      </c>
      <c r="N334" s="318">
        <v>1</v>
      </c>
      <c r="O334" s="621">
        <f>H334*N334</f>
        <v>4.49</v>
      </c>
      <c r="P334" s="755">
        <v>1</v>
      </c>
      <c r="Q334" s="755">
        <f t="shared" si="128"/>
        <v>0</v>
      </c>
      <c r="R334" s="341">
        <v>1</v>
      </c>
      <c r="S334" s="318">
        <f t="shared" ref="S334:S335" si="130">H334*R334</f>
        <v>4.49</v>
      </c>
      <c r="T334" s="389"/>
      <c r="V334" s="328">
        <f t="shared" si="127"/>
        <v>4.49</v>
      </c>
      <c r="W334" s="320">
        <v>1</v>
      </c>
      <c r="X334" s="328">
        <f>V334*W334</f>
        <v>4.49</v>
      </c>
      <c r="Y334" s="464">
        <v>1</v>
      </c>
      <c r="Z334" s="328">
        <f>V334*Y334</f>
        <v>4.49</v>
      </c>
      <c r="AB334" s="458">
        <f>X334-O334</f>
        <v>0</v>
      </c>
      <c r="AC334" s="348">
        <f>Z334-S334</f>
        <v>0</v>
      </c>
    </row>
    <row r="335" spans="1:29">
      <c r="A335" s="318"/>
      <c r="B335" s="319"/>
      <c r="C335" s="318"/>
      <c r="D335" s="318"/>
      <c r="E335" s="319"/>
      <c r="F335" s="336" t="s">
        <v>696</v>
      </c>
      <c r="G335" s="318" t="s">
        <v>1721</v>
      </c>
      <c r="H335" s="328">
        <v>2.58</v>
      </c>
      <c r="I335" s="318">
        <v>1</v>
      </c>
      <c r="J335" s="318">
        <f>IF(N335&gt;0,1,0)</f>
        <v>1</v>
      </c>
      <c r="K335" s="328">
        <f>H335*J335</f>
        <v>2.58</v>
      </c>
      <c r="L335" s="318">
        <v>1444</v>
      </c>
      <c r="M335" s="318">
        <v>108</v>
      </c>
      <c r="N335" s="318">
        <v>1</v>
      </c>
      <c r="O335" s="621">
        <f>H335*N335</f>
        <v>2.58</v>
      </c>
      <c r="P335" s="755">
        <v>1</v>
      </c>
      <c r="Q335" s="755">
        <f t="shared" si="128"/>
        <v>0</v>
      </c>
      <c r="R335" s="341">
        <v>1</v>
      </c>
      <c r="S335" s="318">
        <f t="shared" si="130"/>
        <v>2.58</v>
      </c>
      <c r="T335" s="389"/>
      <c r="V335" s="328">
        <f>1.15+2.055</f>
        <v>3.2050000000000001</v>
      </c>
      <c r="W335" s="320">
        <v>1</v>
      </c>
      <c r="X335" s="328">
        <f>V335*W335</f>
        <v>3.2050000000000001</v>
      </c>
      <c r="Y335" s="464">
        <v>1</v>
      </c>
      <c r="Z335" s="328">
        <f>V335*Y335</f>
        <v>3.2050000000000001</v>
      </c>
      <c r="AB335" s="458">
        <f>X335-O335</f>
        <v>0.625</v>
      </c>
      <c r="AC335" s="348">
        <f>Z335-S335</f>
        <v>0.625</v>
      </c>
    </row>
    <row r="336" spans="1:29">
      <c r="A336" s="318"/>
      <c r="B336" s="319"/>
      <c r="C336" s="318"/>
      <c r="D336" s="318"/>
      <c r="E336" s="319"/>
      <c r="F336" s="319"/>
      <c r="G336" s="318"/>
      <c r="H336" s="318"/>
      <c r="I336" s="318"/>
      <c r="J336" s="382" t="s">
        <v>389</v>
      </c>
      <c r="K336" s="338">
        <f>SUM(K301:K335)</f>
        <v>130.04999999999998</v>
      </c>
      <c r="L336" s="318"/>
      <c r="M336" s="318"/>
      <c r="N336" s="382" t="s">
        <v>389</v>
      </c>
      <c r="O336" s="759">
        <f>SUM(O301:O335)</f>
        <v>130.04999999999998</v>
      </c>
      <c r="P336" s="751" t="s">
        <v>389</v>
      </c>
      <c r="Q336" s="751"/>
      <c r="R336" s="382"/>
      <c r="S336" s="338">
        <f>SUM(S301:S335)</f>
        <v>130.04999999999998</v>
      </c>
      <c r="T336" s="319"/>
      <c r="V336" s="318"/>
      <c r="W336" s="321" t="s">
        <v>389</v>
      </c>
      <c r="X336" s="338">
        <f>SUM(X301:X335)</f>
        <v>123.61499999999997</v>
      </c>
      <c r="Y336" s="321" t="s">
        <v>389</v>
      </c>
      <c r="Z336" s="338">
        <f>SUM(Z301:Z335)</f>
        <v>123.61499999999997</v>
      </c>
      <c r="AB336" s="338"/>
      <c r="AC336" s="338"/>
    </row>
    <row r="337" spans="1:29" ht="6.75" customHeight="1">
      <c r="A337" s="316"/>
      <c r="B337" s="317"/>
      <c r="C337" s="316"/>
      <c r="D337" s="316"/>
      <c r="E337" s="317"/>
      <c r="F337" s="317"/>
      <c r="G337" s="316"/>
      <c r="H337" s="316"/>
      <c r="I337" s="316"/>
      <c r="J337" s="316"/>
      <c r="K337" s="316"/>
      <c r="L337" s="316"/>
      <c r="M337" s="316"/>
      <c r="N337" s="316"/>
      <c r="O337" s="749"/>
      <c r="P337" s="752"/>
      <c r="Q337" s="752"/>
      <c r="R337" s="316"/>
      <c r="S337" s="316"/>
      <c r="T337" s="317"/>
      <c r="V337" s="316"/>
      <c r="W337" s="316"/>
      <c r="X337" s="316"/>
      <c r="Y337" s="316"/>
      <c r="Z337" s="316"/>
      <c r="AB337" s="339"/>
      <c r="AC337" s="339"/>
    </row>
    <row r="338" spans="1:29">
      <c r="A338" s="318">
        <v>9</v>
      </c>
      <c r="B338" s="319" t="s">
        <v>383</v>
      </c>
      <c r="C338" s="318">
        <v>600</v>
      </c>
      <c r="D338" s="318">
        <v>15</v>
      </c>
      <c r="E338" s="319">
        <v>1</v>
      </c>
      <c r="F338" s="336"/>
      <c r="G338" s="318" t="s">
        <v>1722</v>
      </c>
      <c r="H338" s="328">
        <v>4.16</v>
      </c>
      <c r="I338" s="318">
        <v>1</v>
      </c>
      <c r="J338" s="318">
        <f t="shared" ref="J338:J375" si="131">IF(N338&gt;0,1,0)</f>
        <v>1</v>
      </c>
      <c r="K338" s="328">
        <f t="shared" ref="K338:K375" si="132">H338*J338</f>
        <v>4.16</v>
      </c>
      <c r="L338" s="318">
        <v>1413</v>
      </c>
      <c r="M338" s="318" t="s">
        <v>267</v>
      </c>
      <c r="N338" s="318">
        <v>1</v>
      </c>
      <c r="O338" s="621">
        <f t="shared" ref="O338:O375" si="133">H338*N338</f>
        <v>4.16</v>
      </c>
      <c r="P338" s="755">
        <v>1</v>
      </c>
      <c r="Q338" s="755">
        <f t="shared" ref="Q338:Q375" si="134">R338-P338</f>
        <v>0</v>
      </c>
      <c r="R338" s="341">
        <v>1</v>
      </c>
      <c r="S338" s="318">
        <f t="shared" ref="S338" si="135">H338*R338</f>
        <v>4.16</v>
      </c>
      <c r="T338" s="319"/>
      <c r="V338" s="328">
        <v>4.1550000000000002</v>
      </c>
      <c r="W338" s="320">
        <v>1</v>
      </c>
      <c r="X338" s="328">
        <f t="shared" ref="X338:X375" si="136">V338*W338</f>
        <v>4.1550000000000002</v>
      </c>
      <c r="Y338" s="320"/>
      <c r="Z338" s="328">
        <f t="shared" ref="Z338:Z375" si="137">V338*Y338</f>
        <v>0</v>
      </c>
      <c r="AB338" s="458">
        <f t="shared" ref="AB338:AB375" si="138">X338-O338</f>
        <v>-4.9999999999998934E-3</v>
      </c>
      <c r="AC338" s="348">
        <f t="shared" ref="AC338:AC375" si="139">Z338-S338</f>
        <v>-4.16</v>
      </c>
    </row>
    <row r="339" spans="1:29">
      <c r="A339" s="318"/>
      <c r="B339" s="319"/>
      <c r="C339" s="318"/>
      <c r="D339" s="318"/>
      <c r="E339" s="319"/>
      <c r="F339" s="336"/>
      <c r="G339" s="318" t="s">
        <v>1723</v>
      </c>
      <c r="H339" s="328">
        <v>4.49</v>
      </c>
      <c r="I339" s="318">
        <v>1</v>
      </c>
      <c r="J339" s="318">
        <f t="shared" si="131"/>
        <v>1</v>
      </c>
      <c r="K339" s="328">
        <f t="shared" si="132"/>
        <v>4.49</v>
      </c>
      <c r="L339" s="318" t="s">
        <v>223</v>
      </c>
      <c r="M339" s="318" t="s">
        <v>224</v>
      </c>
      <c r="N339" s="318">
        <v>1</v>
      </c>
      <c r="O339" s="621">
        <f t="shared" si="133"/>
        <v>4.49</v>
      </c>
      <c r="P339" s="755">
        <v>1</v>
      </c>
      <c r="Q339" s="755">
        <f t="shared" si="134"/>
        <v>0</v>
      </c>
      <c r="R339" s="341">
        <v>1</v>
      </c>
      <c r="S339" s="318">
        <f t="shared" ref="S339:S375" si="140">H339*R339</f>
        <v>4.49</v>
      </c>
      <c r="T339" s="319"/>
      <c r="V339" s="328">
        <f>4.49</f>
        <v>4.49</v>
      </c>
      <c r="W339" s="320">
        <v>1</v>
      </c>
      <c r="X339" s="328">
        <f t="shared" si="136"/>
        <v>4.49</v>
      </c>
      <c r="Y339" s="464"/>
      <c r="Z339" s="328">
        <f t="shared" si="137"/>
        <v>0</v>
      </c>
      <c r="AB339" s="458">
        <f t="shared" si="138"/>
        <v>0</v>
      </c>
      <c r="AC339" s="348">
        <f t="shared" si="139"/>
        <v>-4.49</v>
      </c>
    </row>
    <row r="340" spans="1:29">
      <c r="A340" s="318"/>
      <c r="B340" s="319"/>
      <c r="C340" s="318"/>
      <c r="D340" s="318"/>
      <c r="E340" s="319"/>
      <c r="F340" s="319"/>
      <c r="G340" s="318" t="s">
        <v>1724</v>
      </c>
      <c r="H340" s="328">
        <v>4.49</v>
      </c>
      <c r="I340" s="318">
        <v>1</v>
      </c>
      <c r="J340" s="318">
        <f t="shared" si="131"/>
        <v>1</v>
      </c>
      <c r="K340" s="328">
        <f t="shared" si="132"/>
        <v>4.49</v>
      </c>
      <c r="L340" s="318" t="s">
        <v>223</v>
      </c>
      <c r="M340" s="318" t="s">
        <v>224</v>
      </c>
      <c r="N340" s="318">
        <v>1</v>
      </c>
      <c r="O340" s="621">
        <f t="shared" si="133"/>
        <v>4.49</v>
      </c>
      <c r="P340" s="755">
        <v>1</v>
      </c>
      <c r="Q340" s="755">
        <f t="shared" si="134"/>
        <v>0</v>
      </c>
      <c r="R340" s="341">
        <v>1</v>
      </c>
      <c r="S340" s="318">
        <f t="shared" si="140"/>
        <v>4.49</v>
      </c>
      <c r="T340" s="319"/>
      <c r="V340" s="328">
        <f t="shared" ref="V340:V354" si="141">4.49</f>
        <v>4.49</v>
      </c>
      <c r="W340" s="320">
        <v>1</v>
      </c>
      <c r="X340" s="328">
        <f t="shared" si="136"/>
        <v>4.49</v>
      </c>
      <c r="Y340" s="464">
        <v>1</v>
      </c>
      <c r="Z340" s="328">
        <f t="shared" si="137"/>
        <v>4.49</v>
      </c>
      <c r="AB340" s="458">
        <f t="shared" si="138"/>
        <v>0</v>
      </c>
      <c r="AC340" s="348">
        <f t="shared" si="139"/>
        <v>0</v>
      </c>
    </row>
    <row r="341" spans="1:29">
      <c r="A341" s="318"/>
      <c r="B341" s="319"/>
      <c r="C341" s="318"/>
      <c r="D341" s="318"/>
      <c r="E341" s="319"/>
      <c r="F341" s="319"/>
      <c r="G341" s="318" t="s">
        <v>1725</v>
      </c>
      <c r="H341" s="328">
        <v>4.49</v>
      </c>
      <c r="I341" s="318">
        <v>1</v>
      </c>
      <c r="J341" s="318">
        <f t="shared" si="131"/>
        <v>1</v>
      </c>
      <c r="K341" s="328">
        <f t="shared" si="132"/>
        <v>4.49</v>
      </c>
      <c r="L341" s="318" t="s">
        <v>223</v>
      </c>
      <c r="M341" s="318" t="s">
        <v>224</v>
      </c>
      <c r="N341" s="318">
        <v>1</v>
      </c>
      <c r="O341" s="621">
        <f t="shared" si="133"/>
        <v>4.49</v>
      </c>
      <c r="P341" s="755">
        <v>1</v>
      </c>
      <c r="Q341" s="755">
        <f t="shared" si="134"/>
        <v>0</v>
      </c>
      <c r="R341" s="341">
        <v>1</v>
      </c>
      <c r="S341" s="318">
        <f t="shared" si="140"/>
        <v>4.49</v>
      </c>
      <c r="T341" s="319"/>
      <c r="V341" s="328">
        <f t="shared" si="141"/>
        <v>4.49</v>
      </c>
      <c r="W341" s="320">
        <v>1</v>
      </c>
      <c r="X341" s="328">
        <f t="shared" si="136"/>
        <v>4.49</v>
      </c>
      <c r="Y341" s="464">
        <v>1</v>
      </c>
      <c r="Z341" s="328">
        <f t="shared" si="137"/>
        <v>4.49</v>
      </c>
      <c r="AB341" s="458">
        <f t="shared" si="138"/>
        <v>0</v>
      </c>
      <c r="AC341" s="348">
        <f t="shared" si="139"/>
        <v>0</v>
      </c>
    </row>
    <row r="342" spans="1:29">
      <c r="A342" s="318"/>
      <c r="B342" s="319"/>
      <c r="C342" s="318"/>
      <c r="D342" s="318"/>
      <c r="E342" s="319"/>
      <c r="F342" s="319"/>
      <c r="G342" s="318" t="s">
        <v>1726</v>
      </c>
      <c r="H342" s="328">
        <v>4.49</v>
      </c>
      <c r="I342" s="318">
        <v>1</v>
      </c>
      <c r="J342" s="318">
        <f t="shared" si="131"/>
        <v>1</v>
      </c>
      <c r="K342" s="328">
        <f t="shared" si="132"/>
        <v>4.49</v>
      </c>
      <c r="L342" s="318" t="s">
        <v>223</v>
      </c>
      <c r="M342" s="318" t="s">
        <v>224</v>
      </c>
      <c r="N342" s="318">
        <v>1</v>
      </c>
      <c r="O342" s="621">
        <f t="shared" si="133"/>
        <v>4.49</v>
      </c>
      <c r="P342" s="755">
        <v>1</v>
      </c>
      <c r="Q342" s="755">
        <f t="shared" si="134"/>
        <v>0</v>
      </c>
      <c r="R342" s="341">
        <v>1</v>
      </c>
      <c r="S342" s="318">
        <f t="shared" si="140"/>
        <v>4.49</v>
      </c>
      <c r="T342" s="319"/>
      <c r="V342" s="328">
        <f t="shared" si="141"/>
        <v>4.49</v>
      </c>
      <c r="W342" s="320">
        <v>1</v>
      </c>
      <c r="X342" s="328">
        <f t="shared" si="136"/>
        <v>4.49</v>
      </c>
      <c r="Y342" s="464">
        <v>1</v>
      </c>
      <c r="Z342" s="328">
        <f t="shared" si="137"/>
        <v>4.49</v>
      </c>
      <c r="AB342" s="458">
        <f t="shared" si="138"/>
        <v>0</v>
      </c>
      <c r="AC342" s="348">
        <f t="shared" si="139"/>
        <v>0</v>
      </c>
    </row>
    <row r="343" spans="1:29">
      <c r="A343" s="318"/>
      <c r="B343" s="319"/>
      <c r="C343" s="318"/>
      <c r="D343" s="318"/>
      <c r="E343" s="319"/>
      <c r="F343" s="319"/>
      <c r="G343" s="318" t="s">
        <v>1727</v>
      </c>
      <c r="H343" s="328">
        <v>4.49</v>
      </c>
      <c r="I343" s="318">
        <v>1</v>
      </c>
      <c r="J343" s="318">
        <f t="shared" si="131"/>
        <v>1</v>
      </c>
      <c r="K343" s="328">
        <f t="shared" si="132"/>
        <v>4.49</v>
      </c>
      <c r="L343" s="318">
        <v>1273</v>
      </c>
      <c r="M343" s="318" t="s">
        <v>226</v>
      </c>
      <c r="N343" s="318">
        <v>1</v>
      </c>
      <c r="O343" s="621">
        <f t="shared" si="133"/>
        <v>4.49</v>
      </c>
      <c r="P343" s="755">
        <v>1</v>
      </c>
      <c r="Q343" s="755">
        <f t="shared" si="134"/>
        <v>0</v>
      </c>
      <c r="R343" s="341">
        <v>1</v>
      </c>
      <c r="S343" s="318">
        <f t="shared" si="140"/>
        <v>4.49</v>
      </c>
      <c r="T343" s="319"/>
      <c r="V343" s="328">
        <f t="shared" si="141"/>
        <v>4.49</v>
      </c>
      <c r="W343" s="320">
        <v>1</v>
      </c>
      <c r="X343" s="328">
        <f t="shared" si="136"/>
        <v>4.49</v>
      </c>
      <c r="Y343" s="464">
        <v>1</v>
      </c>
      <c r="Z343" s="328">
        <f t="shared" si="137"/>
        <v>4.49</v>
      </c>
      <c r="AB343" s="458">
        <f t="shared" si="138"/>
        <v>0</v>
      </c>
      <c r="AC343" s="348">
        <f t="shared" si="139"/>
        <v>0</v>
      </c>
    </row>
    <row r="344" spans="1:29">
      <c r="A344" s="318"/>
      <c r="B344" s="319"/>
      <c r="C344" s="318"/>
      <c r="D344" s="318"/>
      <c r="E344" s="319"/>
      <c r="F344" s="319"/>
      <c r="G344" s="318" t="s">
        <v>1728</v>
      </c>
      <c r="H344" s="328">
        <v>4.49</v>
      </c>
      <c r="I344" s="318">
        <v>1</v>
      </c>
      <c r="J344" s="318">
        <f t="shared" si="131"/>
        <v>1</v>
      </c>
      <c r="K344" s="328">
        <f t="shared" si="132"/>
        <v>4.49</v>
      </c>
      <c r="L344" s="350" t="s">
        <v>2688</v>
      </c>
      <c r="M344" s="350" t="s">
        <v>2710</v>
      </c>
      <c r="N344" s="318">
        <v>1</v>
      </c>
      <c r="O344" s="621">
        <f t="shared" si="133"/>
        <v>4.49</v>
      </c>
      <c r="P344" s="755">
        <v>1</v>
      </c>
      <c r="Q344" s="755">
        <f t="shared" si="134"/>
        <v>0</v>
      </c>
      <c r="R344" s="341">
        <v>1</v>
      </c>
      <c r="S344" s="318">
        <f t="shared" si="140"/>
        <v>4.49</v>
      </c>
      <c r="T344" s="319"/>
      <c r="V344" s="328">
        <f t="shared" si="141"/>
        <v>4.49</v>
      </c>
      <c r="W344" s="320">
        <v>1</v>
      </c>
      <c r="X344" s="328">
        <f t="shared" si="136"/>
        <v>4.49</v>
      </c>
      <c r="Y344" s="464">
        <v>1</v>
      </c>
      <c r="Z344" s="328">
        <f t="shared" si="137"/>
        <v>4.49</v>
      </c>
      <c r="AB344" s="458">
        <f t="shared" si="138"/>
        <v>0</v>
      </c>
      <c r="AC344" s="348">
        <f t="shared" si="139"/>
        <v>0</v>
      </c>
    </row>
    <row r="345" spans="1:29">
      <c r="A345" s="318"/>
      <c r="B345" s="319"/>
      <c r="C345" s="318"/>
      <c r="D345" s="318"/>
      <c r="E345" s="319"/>
      <c r="F345" s="319"/>
      <c r="G345" s="318" t="s">
        <v>1729</v>
      </c>
      <c r="H345" s="328">
        <v>4.49</v>
      </c>
      <c r="I345" s="318">
        <v>1</v>
      </c>
      <c r="J345" s="318">
        <f t="shared" si="131"/>
        <v>1</v>
      </c>
      <c r="K345" s="328">
        <f t="shared" si="132"/>
        <v>4.49</v>
      </c>
      <c r="L345" s="350" t="s">
        <v>2688</v>
      </c>
      <c r="M345" s="350" t="s">
        <v>2710</v>
      </c>
      <c r="N345" s="318">
        <v>1</v>
      </c>
      <c r="O345" s="621">
        <f t="shared" si="133"/>
        <v>4.49</v>
      </c>
      <c r="P345" s="755">
        <v>1</v>
      </c>
      <c r="Q345" s="755">
        <f t="shared" si="134"/>
        <v>0</v>
      </c>
      <c r="R345" s="341">
        <v>1</v>
      </c>
      <c r="S345" s="318">
        <f t="shared" si="140"/>
        <v>4.49</v>
      </c>
      <c r="T345" s="319"/>
      <c r="V345" s="328">
        <f t="shared" si="141"/>
        <v>4.49</v>
      </c>
      <c r="W345" s="320">
        <v>1</v>
      </c>
      <c r="X345" s="328">
        <f t="shared" si="136"/>
        <v>4.49</v>
      </c>
      <c r="Y345" s="464">
        <v>1</v>
      </c>
      <c r="Z345" s="328">
        <f t="shared" si="137"/>
        <v>4.49</v>
      </c>
      <c r="AB345" s="458">
        <f t="shared" si="138"/>
        <v>0</v>
      </c>
      <c r="AC345" s="348">
        <f t="shared" si="139"/>
        <v>0</v>
      </c>
    </row>
    <row r="346" spans="1:29">
      <c r="A346" s="318"/>
      <c r="B346" s="319"/>
      <c r="C346" s="318"/>
      <c r="D346" s="318"/>
      <c r="E346" s="319"/>
      <c r="F346" s="319"/>
      <c r="G346" s="318" t="s">
        <v>1730</v>
      </c>
      <c r="H346" s="328">
        <v>4.49</v>
      </c>
      <c r="I346" s="318">
        <v>1</v>
      </c>
      <c r="J346" s="318">
        <f t="shared" si="131"/>
        <v>1</v>
      </c>
      <c r="K346" s="328">
        <f t="shared" si="132"/>
        <v>4.49</v>
      </c>
      <c r="L346" s="318">
        <v>1273</v>
      </c>
      <c r="M346" s="318" t="s">
        <v>226</v>
      </c>
      <c r="N346" s="318">
        <v>1</v>
      </c>
      <c r="O346" s="621">
        <f t="shared" si="133"/>
        <v>4.49</v>
      </c>
      <c r="P346" s="755">
        <v>1</v>
      </c>
      <c r="Q346" s="755">
        <f t="shared" si="134"/>
        <v>0</v>
      </c>
      <c r="R346" s="341">
        <v>1</v>
      </c>
      <c r="S346" s="318">
        <f t="shared" si="140"/>
        <v>4.49</v>
      </c>
      <c r="T346" s="319"/>
      <c r="V346" s="328">
        <f t="shared" si="141"/>
        <v>4.49</v>
      </c>
      <c r="W346" s="320">
        <v>1</v>
      </c>
      <c r="X346" s="328">
        <f t="shared" si="136"/>
        <v>4.49</v>
      </c>
      <c r="Y346" s="464">
        <v>1</v>
      </c>
      <c r="Z346" s="328">
        <f t="shared" si="137"/>
        <v>4.49</v>
      </c>
      <c r="AB346" s="458">
        <f t="shared" si="138"/>
        <v>0</v>
      </c>
      <c r="AC346" s="348">
        <f t="shared" si="139"/>
        <v>0</v>
      </c>
    </row>
    <row r="347" spans="1:29">
      <c r="A347" s="318"/>
      <c r="B347" s="319"/>
      <c r="C347" s="318"/>
      <c r="D347" s="318"/>
      <c r="E347" s="319"/>
      <c r="F347" s="319"/>
      <c r="G347" s="318" t="s">
        <v>1731</v>
      </c>
      <c r="H347" s="328">
        <v>4.49</v>
      </c>
      <c r="I347" s="318">
        <v>1</v>
      </c>
      <c r="J347" s="318">
        <f t="shared" si="131"/>
        <v>1</v>
      </c>
      <c r="K347" s="328">
        <f t="shared" si="132"/>
        <v>4.49</v>
      </c>
      <c r="L347" s="318">
        <v>1301</v>
      </c>
      <c r="M347" s="318" t="s">
        <v>235</v>
      </c>
      <c r="N347" s="318">
        <v>1</v>
      </c>
      <c r="O347" s="621">
        <f t="shared" si="133"/>
        <v>4.49</v>
      </c>
      <c r="P347" s="755">
        <v>1</v>
      </c>
      <c r="Q347" s="755">
        <f t="shared" si="134"/>
        <v>0</v>
      </c>
      <c r="R347" s="341">
        <v>1</v>
      </c>
      <c r="S347" s="318">
        <f t="shared" si="140"/>
        <v>4.49</v>
      </c>
      <c r="T347" s="319"/>
      <c r="V347" s="328">
        <f t="shared" si="141"/>
        <v>4.49</v>
      </c>
      <c r="W347" s="320">
        <v>1</v>
      </c>
      <c r="X347" s="328">
        <f t="shared" si="136"/>
        <v>4.49</v>
      </c>
      <c r="Y347" s="464">
        <v>1</v>
      </c>
      <c r="Z347" s="328">
        <f t="shared" si="137"/>
        <v>4.49</v>
      </c>
      <c r="AB347" s="458">
        <f t="shared" si="138"/>
        <v>0</v>
      </c>
      <c r="AC347" s="348">
        <f t="shared" si="139"/>
        <v>0</v>
      </c>
    </row>
    <row r="348" spans="1:29">
      <c r="A348" s="318"/>
      <c r="B348" s="319"/>
      <c r="C348" s="318"/>
      <c r="D348" s="318"/>
      <c r="E348" s="319"/>
      <c r="F348" s="319"/>
      <c r="G348" s="318" t="s">
        <v>1732</v>
      </c>
      <c r="H348" s="328">
        <v>4.49</v>
      </c>
      <c r="I348" s="318">
        <v>1</v>
      </c>
      <c r="J348" s="318">
        <f t="shared" si="131"/>
        <v>1</v>
      </c>
      <c r="K348" s="328">
        <f t="shared" si="132"/>
        <v>4.49</v>
      </c>
      <c r="L348" s="318">
        <v>1277</v>
      </c>
      <c r="M348" s="318" t="s">
        <v>227</v>
      </c>
      <c r="N348" s="318">
        <v>1</v>
      </c>
      <c r="O348" s="621">
        <f t="shared" si="133"/>
        <v>4.49</v>
      </c>
      <c r="P348" s="755">
        <v>1</v>
      </c>
      <c r="Q348" s="755">
        <f t="shared" si="134"/>
        <v>0</v>
      </c>
      <c r="R348" s="341">
        <v>1</v>
      </c>
      <c r="S348" s="318">
        <f t="shared" si="140"/>
        <v>4.49</v>
      </c>
      <c r="T348" s="319"/>
      <c r="V348" s="328">
        <f t="shared" si="141"/>
        <v>4.49</v>
      </c>
      <c r="W348" s="320">
        <v>1</v>
      </c>
      <c r="X348" s="328">
        <f t="shared" si="136"/>
        <v>4.49</v>
      </c>
      <c r="Y348" s="464"/>
      <c r="Z348" s="328">
        <f t="shared" si="137"/>
        <v>0</v>
      </c>
      <c r="AB348" s="458">
        <f t="shared" si="138"/>
        <v>0</v>
      </c>
      <c r="AC348" s="348">
        <f t="shared" si="139"/>
        <v>-4.49</v>
      </c>
    </row>
    <row r="349" spans="1:29">
      <c r="A349" s="318"/>
      <c r="B349" s="319"/>
      <c r="C349" s="318"/>
      <c r="D349" s="318"/>
      <c r="E349" s="319"/>
      <c r="F349" s="319"/>
      <c r="G349" s="318" t="s">
        <v>1733</v>
      </c>
      <c r="H349" s="328">
        <v>4.49</v>
      </c>
      <c r="I349" s="318">
        <v>1</v>
      </c>
      <c r="J349" s="318">
        <f t="shared" si="131"/>
        <v>1</v>
      </c>
      <c r="K349" s="328">
        <f t="shared" si="132"/>
        <v>4.49</v>
      </c>
      <c r="L349" s="318">
        <v>1277</v>
      </c>
      <c r="M349" s="318" t="s">
        <v>227</v>
      </c>
      <c r="N349" s="318">
        <v>1</v>
      </c>
      <c r="O349" s="621">
        <f t="shared" si="133"/>
        <v>4.49</v>
      </c>
      <c r="P349" s="755">
        <v>1</v>
      </c>
      <c r="Q349" s="755">
        <f t="shared" si="134"/>
        <v>0</v>
      </c>
      <c r="R349" s="341">
        <v>1</v>
      </c>
      <c r="S349" s="318">
        <f t="shared" si="140"/>
        <v>4.49</v>
      </c>
      <c r="T349" s="319"/>
      <c r="V349" s="328">
        <f t="shared" si="141"/>
        <v>4.49</v>
      </c>
      <c r="W349" s="320">
        <v>1</v>
      </c>
      <c r="X349" s="328">
        <f t="shared" si="136"/>
        <v>4.49</v>
      </c>
      <c r="Y349" s="464"/>
      <c r="Z349" s="328">
        <f t="shared" si="137"/>
        <v>0</v>
      </c>
      <c r="AB349" s="458">
        <f t="shared" si="138"/>
        <v>0</v>
      </c>
      <c r="AC349" s="348">
        <f t="shared" si="139"/>
        <v>-4.49</v>
      </c>
    </row>
    <row r="350" spans="1:29">
      <c r="A350" s="318"/>
      <c r="B350" s="319"/>
      <c r="C350" s="318"/>
      <c r="D350" s="318"/>
      <c r="E350" s="319"/>
      <c r="F350" s="319"/>
      <c r="G350" s="318" t="s">
        <v>1734</v>
      </c>
      <c r="H350" s="328">
        <v>4.49</v>
      </c>
      <c r="I350" s="318">
        <v>1</v>
      </c>
      <c r="J350" s="318">
        <f t="shared" si="131"/>
        <v>1</v>
      </c>
      <c r="K350" s="328">
        <f t="shared" si="132"/>
        <v>4.49</v>
      </c>
      <c r="L350" s="318">
        <v>1277</v>
      </c>
      <c r="M350" s="318" t="s">
        <v>227</v>
      </c>
      <c r="N350" s="318">
        <v>1</v>
      </c>
      <c r="O350" s="621">
        <f t="shared" si="133"/>
        <v>4.49</v>
      </c>
      <c r="P350" s="755">
        <v>1</v>
      </c>
      <c r="Q350" s="755">
        <f t="shared" si="134"/>
        <v>0</v>
      </c>
      <c r="R350" s="341">
        <v>1</v>
      </c>
      <c r="S350" s="318">
        <f t="shared" si="140"/>
        <v>4.49</v>
      </c>
      <c r="T350" s="319"/>
      <c r="V350" s="328">
        <f t="shared" si="141"/>
        <v>4.49</v>
      </c>
      <c r="W350" s="320">
        <v>1</v>
      </c>
      <c r="X350" s="328">
        <f t="shared" si="136"/>
        <v>4.49</v>
      </c>
      <c r="Y350" s="464">
        <v>1</v>
      </c>
      <c r="Z350" s="328">
        <f t="shared" si="137"/>
        <v>4.49</v>
      </c>
      <c r="AB350" s="458">
        <f t="shared" si="138"/>
        <v>0</v>
      </c>
      <c r="AC350" s="348">
        <f t="shared" si="139"/>
        <v>0</v>
      </c>
    </row>
    <row r="351" spans="1:29">
      <c r="A351" s="318"/>
      <c r="B351" s="319"/>
      <c r="C351" s="318"/>
      <c r="D351" s="318"/>
      <c r="E351" s="319"/>
      <c r="F351" s="319"/>
      <c r="G351" s="318" t="s">
        <v>1735</v>
      </c>
      <c r="H351" s="328">
        <v>4.49</v>
      </c>
      <c r="I351" s="318">
        <v>1</v>
      </c>
      <c r="J351" s="318">
        <f t="shared" si="131"/>
        <v>1</v>
      </c>
      <c r="K351" s="328">
        <f t="shared" si="132"/>
        <v>4.49</v>
      </c>
      <c r="L351" s="318">
        <v>1273</v>
      </c>
      <c r="M351" s="318" t="s">
        <v>226</v>
      </c>
      <c r="N351" s="318">
        <v>1</v>
      </c>
      <c r="O351" s="621">
        <f t="shared" si="133"/>
        <v>4.49</v>
      </c>
      <c r="P351" s="755">
        <v>1</v>
      </c>
      <c r="Q351" s="755">
        <f t="shared" si="134"/>
        <v>0</v>
      </c>
      <c r="R351" s="341">
        <v>1</v>
      </c>
      <c r="S351" s="318">
        <f t="shared" si="140"/>
        <v>4.49</v>
      </c>
      <c r="T351" s="319"/>
      <c r="V351" s="328">
        <f t="shared" si="141"/>
        <v>4.49</v>
      </c>
      <c r="W351" s="320">
        <v>1</v>
      </c>
      <c r="X351" s="328">
        <f t="shared" si="136"/>
        <v>4.49</v>
      </c>
      <c r="Y351" s="464"/>
      <c r="Z351" s="328">
        <f t="shared" si="137"/>
        <v>0</v>
      </c>
      <c r="AB351" s="458">
        <f t="shared" si="138"/>
        <v>0</v>
      </c>
      <c r="AC351" s="348">
        <f t="shared" si="139"/>
        <v>-4.49</v>
      </c>
    </row>
    <row r="352" spans="1:29">
      <c r="A352" s="318"/>
      <c r="B352" s="319"/>
      <c r="C352" s="318"/>
      <c r="D352" s="318"/>
      <c r="E352" s="319"/>
      <c r="F352" s="319"/>
      <c r="G352" s="318" t="s">
        <v>1736</v>
      </c>
      <c r="H352" s="328">
        <v>4.49</v>
      </c>
      <c r="I352" s="318">
        <v>1</v>
      </c>
      <c r="J352" s="318">
        <f t="shared" si="131"/>
        <v>1</v>
      </c>
      <c r="K352" s="328">
        <f t="shared" si="132"/>
        <v>4.49</v>
      </c>
      <c r="L352" s="318">
        <v>1273</v>
      </c>
      <c r="M352" s="318" t="s">
        <v>226</v>
      </c>
      <c r="N352" s="318">
        <v>1</v>
      </c>
      <c r="O352" s="621">
        <f t="shared" si="133"/>
        <v>4.49</v>
      </c>
      <c r="P352" s="755">
        <v>1</v>
      </c>
      <c r="Q352" s="755">
        <f t="shared" si="134"/>
        <v>0</v>
      </c>
      <c r="R352" s="341">
        <v>1</v>
      </c>
      <c r="S352" s="318">
        <f t="shared" si="140"/>
        <v>4.49</v>
      </c>
      <c r="T352" s="319"/>
      <c r="V352" s="328">
        <f t="shared" si="141"/>
        <v>4.49</v>
      </c>
      <c r="W352" s="320">
        <v>1</v>
      </c>
      <c r="X352" s="328">
        <f t="shared" si="136"/>
        <v>4.49</v>
      </c>
      <c r="Y352" s="464">
        <v>1</v>
      </c>
      <c r="Z352" s="328">
        <f t="shared" si="137"/>
        <v>4.49</v>
      </c>
      <c r="AB352" s="458">
        <f t="shared" si="138"/>
        <v>0</v>
      </c>
      <c r="AC352" s="348">
        <f t="shared" si="139"/>
        <v>0</v>
      </c>
    </row>
    <row r="353" spans="1:29">
      <c r="A353" s="318"/>
      <c r="B353" s="319"/>
      <c r="C353" s="318"/>
      <c r="D353" s="318"/>
      <c r="E353" s="319"/>
      <c r="F353" s="319"/>
      <c r="G353" s="318" t="s">
        <v>1737</v>
      </c>
      <c r="H353" s="328">
        <v>4.49</v>
      </c>
      <c r="I353" s="318">
        <v>1</v>
      </c>
      <c r="J353" s="318">
        <f t="shared" si="131"/>
        <v>1</v>
      </c>
      <c r="K353" s="328">
        <f t="shared" si="132"/>
        <v>4.49</v>
      </c>
      <c r="L353" s="318">
        <v>1273</v>
      </c>
      <c r="M353" s="318" t="s">
        <v>226</v>
      </c>
      <c r="N353" s="318">
        <v>1</v>
      </c>
      <c r="O353" s="621">
        <f t="shared" si="133"/>
        <v>4.49</v>
      </c>
      <c r="P353" s="755">
        <v>1</v>
      </c>
      <c r="Q353" s="755">
        <f t="shared" si="134"/>
        <v>0</v>
      </c>
      <c r="R353" s="341">
        <v>1</v>
      </c>
      <c r="S353" s="318">
        <f t="shared" si="140"/>
        <v>4.49</v>
      </c>
      <c r="T353" s="319"/>
      <c r="V353" s="328">
        <f t="shared" si="141"/>
        <v>4.49</v>
      </c>
      <c r="W353" s="320">
        <v>1</v>
      </c>
      <c r="X353" s="328">
        <f t="shared" si="136"/>
        <v>4.49</v>
      </c>
      <c r="Y353" s="464">
        <v>1</v>
      </c>
      <c r="Z353" s="328">
        <f t="shared" si="137"/>
        <v>4.49</v>
      </c>
      <c r="AB353" s="458">
        <f t="shared" si="138"/>
        <v>0</v>
      </c>
      <c r="AC353" s="348">
        <f t="shared" si="139"/>
        <v>0</v>
      </c>
    </row>
    <row r="354" spans="1:29">
      <c r="A354" s="318"/>
      <c r="B354" s="319"/>
      <c r="C354" s="318"/>
      <c r="D354" s="318"/>
      <c r="E354" s="319"/>
      <c r="F354" s="336"/>
      <c r="G354" s="318" t="s">
        <v>1738</v>
      </c>
      <c r="H354" s="328">
        <v>4.49</v>
      </c>
      <c r="I354" s="318">
        <v>1</v>
      </c>
      <c r="J354" s="318">
        <f t="shared" si="131"/>
        <v>1</v>
      </c>
      <c r="K354" s="328">
        <f t="shared" si="132"/>
        <v>4.49</v>
      </c>
      <c r="L354" s="318">
        <v>1273</v>
      </c>
      <c r="M354" s="318" t="s">
        <v>226</v>
      </c>
      <c r="N354" s="318">
        <v>1</v>
      </c>
      <c r="O354" s="621">
        <f t="shared" si="133"/>
        <v>4.49</v>
      </c>
      <c r="P354" s="755">
        <v>1</v>
      </c>
      <c r="Q354" s="755">
        <f t="shared" si="134"/>
        <v>0</v>
      </c>
      <c r="R354" s="341">
        <v>1</v>
      </c>
      <c r="S354" s="318">
        <f t="shared" si="140"/>
        <v>4.49</v>
      </c>
      <c r="T354" s="319"/>
      <c r="V354" s="328">
        <f t="shared" si="141"/>
        <v>4.49</v>
      </c>
      <c r="W354" s="320">
        <v>1</v>
      </c>
      <c r="X354" s="328">
        <f t="shared" si="136"/>
        <v>4.49</v>
      </c>
      <c r="Y354" s="464"/>
      <c r="Z354" s="457">
        <f t="shared" si="137"/>
        <v>0</v>
      </c>
      <c r="AB354" s="458">
        <f t="shared" si="138"/>
        <v>0</v>
      </c>
      <c r="AC354" s="455">
        <f t="shared" si="139"/>
        <v>-4.49</v>
      </c>
    </row>
    <row r="355" spans="1:29">
      <c r="A355" s="318"/>
      <c r="B355" s="319"/>
      <c r="C355" s="318"/>
      <c r="D355" s="318"/>
      <c r="E355" s="319"/>
      <c r="F355" s="336"/>
      <c r="G355" s="318" t="s">
        <v>1739</v>
      </c>
      <c r="H355" s="328">
        <v>4.1100000000000003</v>
      </c>
      <c r="I355" s="318">
        <v>1</v>
      </c>
      <c r="J355" s="318">
        <f t="shared" si="131"/>
        <v>1</v>
      </c>
      <c r="K355" s="328">
        <f t="shared" si="132"/>
        <v>4.1100000000000003</v>
      </c>
      <c r="L355" s="318">
        <v>1301</v>
      </c>
      <c r="M355" s="318" t="s">
        <v>235</v>
      </c>
      <c r="N355" s="318">
        <v>1</v>
      </c>
      <c r="O355" s="621">
        <f t="shared" si="133"/>
        <v>4.1100000000000003</v>
      </c>
      <c r="P355" s="755">
        <v>1</v>
      </c>
      <c r="Q355" s="755">
        <f t="shared" si="134"/>
        <v>0</v>
      </c>
      <c r="R355" s="341">
        <v>1</v>
      </c>
      <c r="S355" s="318">
        <f t="shared" si="140"/>
        <v>4.1100000000000003</v>
      </c>
      <c r="T355" s="319"/>
      <c r="V355" s="328">
        <v>4.1040000000000001</v>
      </c>
      <c r="W355" s="320">
        <v>1</v>
      </c>
      <c r="X355" s="328">
        <f t="shared" si="136"/>
        <v>4.1040000000000001</v>
      </c>
      <c r="Y355" s="464"/>
      <c r="Z355" s="457">
        <f t="shared" si="137"/>
        <v>0</v>
      </c>
      <c r="AB355" s="458">
        <f t="shared" si="138"/>
        <v>-6.0000000000002274E-3</v>
      </c>
      <c r="AC355" s="455">
        <f t="shared" si="139"/>
        <v>-4.1100000000000003</v>
      </c>
    </row>
    <row r="356" spans="1:29">
      <c r="A356" s="318"/>
      <c r="B356" s="319"/>
      <c r="C356" s="318"/>
      <c r="D356" s="318"/>
      <c r="E356" s="319"/>
      <c r="F356" s="336" t="s">
        <v>558</v>
      </c>
      <c r="G356" s="318" t="s">
        <v>1740</v>
      </c>
      <c r="H356" s="328">
        <v>2.4500000000000002</v>
      </c>
      <c r="I356" s="318">
        <v>1</v>
      </c>
      <c r="J356" s="318">
        <f t="shared" si="131"/>
        <v>1</v>
      </c>
      <c r="K356" s="328">
        <f t="shared" si="132"/>
        <v>2.4500000000000002</v>
      </c>
      <c r="L356" s="352" t="s">
        <v>3285</v>
      </c>
      <c r="M356" s="318" t="s">
        <v>242</v>
      </c>
      <c r="N356" s="318">
        <v>1</v>
      </c>
      <c r="O356" s="621">
        <f t="shared" si="133"/>
        <v>2.4500000000000002</v>
      </c>
      <c r="P356" s="755">
        <v>1</v>
      </c>
      <c r="Q356" s="755">
        <f t="shared" si="134"/>
        <v>0</v>
      </c>
      <c r="R356" s="341">
        <v>1</v>
      </c>
      <c r="S356" s="318">
        <f t="shared" si="140"/>
        <v>2.4500000000000002</v>
      </c>
      <c r="T356" s="319"/>
      <c r="V356" s="328">
        <f>2.44</f>
        <v>2.44</v>
      </c>
      <c r="W356" s="320">
        <v>1</v>
      </c>
      <c r="X356" s="328">
        <f t="shared" si="136"/>
        <v>2.44</v>
      </c>
      <c r="Y356" s="464">
        <v>1</v>
      </c>
      <c r="Z356" s="328">
        <f t="shared" si="137"/>
        <v>2.44</v>
      </c>
      <c r="AB356" s="458">
        <f t="shared" si="138"/>
        <v>-1.0000000000000231E-2</v>
      </c>
      <c r="AC356" s="348">
        <f t="shared" si="139"/>
        <v>-1.0000000000000231E-2</v>
      </c>
    </row>
    <row r="357" spans="1:29">
      <c r="A357" s="318"/>
      <c r="B357" s="319"/>
      <c r="C357" s="318"/>
      <c r="D357" s="318"/>
      <c r="E357" s="319"/>
      <c r="F357" s="336" t="s">
        <v>558</v>
      </c>
      <c r="G357" s="318" t="s">
        <v>1741</v>
      </c>
      <c r="H357" s="328">
        <v>3.43</v>
      </c>
      <c r="I357" s="318">
        <v>1</v>
      </c>
      <c r="J357" s="318">
        <f t="shared" si="131"/>
        <v>1</v>
      </c>
      <c r="K357" s="328">
        <f t="shared" si="132"/>
        <v>3.43</v>
      </c>
      <c r="L357" s="318" t="s">
        <v>243</v>
      </c>
      <c r="M357" s="318" t="s">
        <v>244</v>
      </c>
      <c r="N357" s="318">
        <v>1</v>
      </c>
      <c r="O357" s="621">
        <f t="shared" si="133"/>
        <v>3.43</v>
      </c>
      <c r="P357" s="755">
        <v>1</v>
      </c>
      <c r="Q357" s="755">
        <f t="shared" si="134"/>
        <v>0</v>
      </c>
      <c r="R357" s="341">
        <v>1</v>
      </c>
      <c r="S357" s="318">
        <f t="shared" si="140"/>
        <v>3.43</v>
      </c>
      <c r="T357" s="319"/>
      <c r="V357" s="328">
        <f>2.44+0.977</f>
        <v>3.4169999999999998</v>
      </c>
      <c r="W357" s="320">
        <v>1</v>
      </c>
      <c r="X357" s="328">
        <f t="shared" si="136"/>
        <v>3.4169999999999998</v>
      </c>
      <c r="Y357" s="464">
        <v>1</v>
      </c>
      <c r="Z357" s="328">
        <f t="shared" si="137"/>
        <v>3.4169999999999998</v>
      </c>
      <c r="AB357" s="458">
        <f t="shared" si="138"/>
        <v>-1.3000000000000345E-2</v>
      </c>
      <c r="AC357" s="348">
        <f t="shared" si="139"/>
        <v>-1.3000000000000345E-2</v>
      </c>
    </row>
    <row r="358" spans="1:29">
      <c r="A358" s="318"/>
      <c r="B358" s="319"/>
      <c r="C358" s="318"/>
      <c r="D358" s="318"/>
      <c r="E358" s="319"/>
      <c r="F358" s="319"/>
      <c r="G358" s="318" t="s">
        <v>1742</v>
      </c>
      <c r="H358" s="328">
        <v>4.24</v>
      </c>
      <c r="I358" s="318">
        <v>1</v>
      </c>
      <c r="J358" s="318">
        <f t="shared" si="131"/>
        <v>1</v>
      </c>
      <c r="K358" s="328">
        <f t="shared" si="132"/>
        <v>4.24</v>
      </c>
      <c r="L358" s="318">
        <v>1302</v>
      </c>
      <c r="M358" s="318" t="s">
        <v>235</v>
      </c>
      <c r="N358" s="318">
        <v>1</v>
      </c>
      <c r="O358" s="621">
        <f t="shared" si="133"/>
        <v>4.24</v>
      </c>
      <c r="P358" s="755">
        <v>1</v>
      </c>
      <c r="Q358" s="755">
        <f t="shared" si="134"/>
        <v>0</v>
      </c>
      <c r="R358" s="341">
        <v>1</v>
      </c>
      <c r="S358" s="318">
        <f t="shared" si="140"/>
        <v>4.24</v>
      </c>
      <c r="T358" s="319"/>
      <c r="V358" s="328">
        <v>4.2279999999999998</v>
      </c>
      <c r="W358" s="320">
        <v>1</v>
      </c>
      <c r="X358" s="328">
        <f t="shared" si="136"/>
        <v>4.2279999999999998</v>
      </c>
      <c r="Y358" s="464">
        <v>1</v>
      </c>
      <c r="Z358" s="328">
        <f t="shared" si="137"/>
        <v>4.2279999999999998</v>
      </c>
      <c r="AB358" s="458">
        <f t="shared" si="138"/>
        <v>-1.2000000000000455E-2</v>
      </c>
      <c r="AC358" s="348">
        <f t="shared" si="139"/>
        <v>-1.2000000000000455E-2</v>
      </c>
    </row>
    <row r="359" spans="1:29">
      <c r="A359" s="318"/>
      <c r="B359" s="319"/>
      <c r="C359" s="318"/>
      <c r="D359" s="318"/>
      <c r="E359" s="319"/>
      <c r="F359" s="319"/>
      <c r="G359" s="318" t="s">
        <v>1743</v>
      </c>
      <c r="H359" s="328">
        <v>4.24</v>
      </c>
      <c r="I359" s="318">
        <v>1</v>
      </c>
      <c r="J359" s="318">
        <f t="shared" si="131"/>
        <v>1</v>
      </c>
      <c r="K359" s="328">
        <f t="shared" si="132"/>
        <v>4.24</v>
      </c>
      <c r="L359" s="318">
        <v>1302</v>
      </c>
      <c r="M359" s="318" t="s">
        <v>235</v>
      </c>
      <c r="N359" s="318">
        <v>1</v>
      </c>
      <c r="O359" s="621">
        <f t="shared" si="133"/>
        <v>4.24</v>
      </c>
      <c r="P359" s="755">
        <v>1</v>
      </c>
      <c r="Q359" s="755">
        <f t="shared" si="134"/>
        <v>0</v>
      </c>
      <c r="R359" s="341">
        <v>1</v>
      </c>
      <c r="S359" s="318">
        <f t="shared" si="140"/>
        <v>4.24</v>
      </c>
      <c r="T359" s="319"/>
      <c r="V359" s="328">
        <v>4.2290000000000001</v>
      </c>
      <c r="W359" s="320">
        <v>1</v>
      </c>
      <c r="X359" s="328">
        <f t="shared" si="136"/>
        <v>4.2290000000000001</v>
      </c>
      <c r="Y359" s="464">
        <v>1</v>
      </c>
      <c r="Z359" s="328">
        <f t="shared" si="137"/>
        <v>4.2290000000000001</v>
      </c>
      <c r="AB359" s="458">
        <f t="shared" si="138"/>
        <v>-1.1000000000000121E-2</v>
      </c>
      <c r="AC359" s="348">
        <f t="shared" si="139"/>
        <v>-1.1000000000000121E-2</v>
      </c>
    </row>
    <row r="360" spans="1:29">
      <c r="A360" s="318"/>
      <c r="B360" s="319"/>
      <c r="C360" s="318"/>
      <c r="D360" s="318"/>
      <c r="E360" s="319"/>
      <c r="F360" s="336"/>
      <c r="G360" s="318" t="s">
        <v>1744</v>
      </c>
      <c r="H360" s="328">
        <v>4.24</v>
      </c>
      <c r="I360" s="318">
        <v>1</v>
      </c>
      <c r="J360" s="318">
        <f t="shared" si="131"/>
        <v>1</v>
      </c>
      <c r="K360" s="328">
        <f t="shared" si="132"/>
        <v>4.24</v>
      </c>
      <c r="L360" s="318">
        <v>1302</v>
      </c>
      <c r="M360" s="318" t="s">
        <v>235</v>
      </c>
      <c r="N360" s="318">
        <v>1</v>
      </c>
      <c r="O360" s="621">
        <f t="shared" si="133"/>
        <v>4.24</v>
      </c>
      <c r="P360" s="755">
        <v>1</v>
      </c>
      <c r="Q360" s="755">
        <f t="shared" si="134"/>
        <v>0</v>
      </c>
      <c r="R360" s="341">
        <v>1</v>
      </c>
      <c r="S360" s="318">
        <f t="shared" si="140"/>
        <v>4.24</v>
      </c>
      <c r="T360" s="319"/>
      <c r="V360" s="328">
        <v>4.2290000000000001</v>
      </c>
      <c r="W360" s="320">
        <v>1</v>
      </c>
      <c r="X360" s="328">
        <f t="shared" si="136"/>
        <v>4.2290000000000001</v>
      </c>
      <c r="Y360" s="464">
        <v>1</v>
      </c>
      <c r="Z360" s="328">
        <f t="shared" si="137"/>
        <v>4.2290000000000001</v>
      </c>
      <c r="AB360" s="458">
        <f t="shared" si="138"/>
        <v>-1.1000000000000121E-2</v>
      </c>
      <c r="AC360" s="348">
        <f t="shared" si="139"/>
        <v>-1.1000000000000121E-2</v>
      </c>
    </row>
    <row r="361" spans="1:29" ht="14.4" customHeight="1">
      <c r="A361" s="318"/>
      <c r="B361" s="319"/>
      <c r="C361" s="318"/>
      <c r="D361" s="318"/>
      <c r="E361" s="319"/>
      <c r="F361" s="336"/>
      <c r="G361" s="318" t="s">
        <v>1745</v>
      </c>
      <c r="H361" s="328">
        <v>4.24</v>
      </c>
      <c r="I361" s="318">
        <v>1</v>
      </c>
      <c r="J361" s="318">
        <f t="shared" si="131"/>
        <v>1</v>
      </c>
      <c r="K361" s="328">
        <f t="shared" si="132"/>
        <v>4.24</v>
      </c>
      <c r="L361" s="318">
        <v>1302</v>
      </c>
      <c r="M361" s="318" t="s">
        <v>235</v>
      </c>
      <c r="N361" s="318">
        <v>1</v>
      </c>
      <c r="O361" s="621">
        <f t="shared" si="133"/>
        <v>4.24</v>
      </c>
      <c r="P361" s="755">
        <v>1</v>
      </c>
      <c r="Q361" s="755">
        <f t="shared" si="134"/>
        <v>0</v>
      </c>
      <c r="R361" s="341">
        <v>1</v>
      </c>
      <c r="S361" s="318">
        <f t="shared" si="140"/>
        <v>4.24</v>
      </c>
      <c r="T361" s="319"/>
      <c r="V361" s="328">
        <v>4.2290000000000001</v>
      </c>
      <c r="W361" s="320">
        <v>1</v>
      </c>
      <c r="X361" s="328">
        <f t="shared" si="136"/>
        <v>4.2290000000000001</v>
      </c>
      <c r="Y361" s="464">
        <v>1</v>
      </c>
      <c r="Z361" s="328">
        <f t="shared" si="137"/>
        <v>4.2290000000000001</v>
      </c>
      <c r="AB361" s="458">
        <f t="shared" si="138"/>
        <v>-1.1000000000000121E-2</v>
      </c>
      <c r="AC361" s="348">
        <f t="shared" si="139"/>
        <v>-1.1000000000000121E-2</v>
      </c>
    </row>
    <row r="362" spans="1:29">
      <c r="A362" s="318"/>
      <c r="B362" s="319"/>
      <c r="C362" s="318"/>
      <c r="D362" s="318"/>
      <c r="E362" s="319"/>
      <c r="F362" s="336" t="s">
        <v>558</v>
      </c>
      <c r="G362" s="318" t="s">
        <v>1746</v>
      </c>
      <c r="H362" s="328">
        <v>4.2</v>
      </c>
      <c r="I362" s="318">
        <v>1</v>
      </c>
      <c r="J362" s="318">
        <f t="shared" si="131"/>
        <v>1</v>
      </c>
      <c r="K362" s="328">
        <f t="shared" si="132"/>
        <v>4.2</v>
      </c>
      <c r="L362" s="318" t="s">
        <v>238</v>
      </c>
      <c r="M362" s="318" t="s">
        <v>239</v>
      </c>
      <c r="N362" s="318">
        <v>1</v>
      </c>
      <c r="O362" s="621">
        <f t="shared" si="133"/>
        <v>4.2</v>
      </c>
      <c r="P362" s="755">
        <v>1</v>
      </c>
      <c r="Q362" s="755">
        <f t="shared" si="134"/>
        <v>0</v>
      </c>
      <c r="R362" s="341">
        <v>1</v>
      </c>
      <c r="S362" s="318">
        <f t="shared" si="140"/>
        <v>4.2</v>
      </c>
      <c r="T362" s="319" t="s">
        <v>3330</v>
      </c>
      <c r="V362" s="328">
        <f>0.122+4.072</f>
        <v>4.194</v>
      </c>
      <c r="W362" s="320">
        <v>1</v>
      </c>
      <c r="X362" s="328">
        <f t="shared" si="136"/>
        <v>4.194</v>
      </c>
      <c r="Y362" s="464">
        <v>1</v>
      </c>
      <c r="Z362" s="328">
        <f t="shared" si="137"/>
        <v>4.194</v>
      </c>
      <c r="AB362" s="458">
        <f t="shared" si="138"/>
        <v>-6.0000000000002274E-3</v>
      </c>
      <c r="AC362" s="348">
        <f t="shared" si="139"/>
        <v>-6.0000000000002274E-3</v>
      </c>
    </row>
    <row r="363" spans="1:29">
      <c r="A363" s="318"/>
      <c r="B363" s="319"/>
      <c r="C363" s="318"/>
      <c r="D363" s="318"/>
      <c r="E363" s="319"/>
      <c r="F363" s="336" t="s">
        <v>558</v>
      </c>
      <c r="G363" s="318" t="s">
        <v>1747</v>
      </c>
      <c r="H363" s="328">
        <v>4.08</v>
      </c>
      <c r="I363" s="318">
        <v>1</v>
      </c>
      <c r="J363" s="318">
        <f t="shared" si="131"/>
        <v>1</v>
      </c>
      <c r="K363" s="328">
        <f t="shared" si="132"/>
        <v>4.08</v>
      </c>
      <c r="L363" s="318">
        <v>1322</v>
      </c>
      <c r="M363" s="318" t="s">
        <v>241</v>
      </c>
      <c r="N363" s="318">
        <v>1</v>
      </c>
      <c r="O363" s="621">
        <f t="shared" si="133"/>
        <v>4.08</v>
      </c>
      <c r="P363" s="755">
        <v>1</v>
      </c>
      <c r="Q363" s="755">
        <f t="shared" si="134"/>
        <v>0</v>
      </c>
      <c r="R363" s="341">
        <v>1</v>
      </c>
      <c r="S363" s="318">
        <f t="shared" si="140"/>
        <v>4.08</v>
      </c>
      <c r="T363" s="319" t="s">
        <v>3330</v>
      </c>
      <c r="V363" s="328">
        <v>4.0720000000000001</v>
      </c>
      <c r="W363" s="320">
        <v>1</v>
      </c>
      <c r="X363" s="328">
        <f t="shared" si="136"/>
        <v>4.0720000000000001</v>
      </c>
      <c r="Y363" s="464">
        <v>1</v>
      </c>
      <c r="Z363" s="328">
        <f t="shared" si="137"/>
        <v>4.0720000000000001</v>
      </c>
      <c r="AB363" s="458">
        <f t="shared" si="138"/>
        <v>-8.0000000000000071E-3</v>
      </c>
      <c r="AC363" s="348">
        <f t="shared" si="139"/>
        <v>-8.0000000000000071E-3</v>
      </c>
    </row>
    <row r="364" spans="1:29">
      <c r="A364" s="318"/>
      <c r="B364" s="319"/>
      <c r="C364" s="318"/>
      <c r="D364" s="318"/>
      <c r="E364" s="319"/>
      <c r="F364" s="319"/>
      <c r="G364" s="318" t="s">
        <v>1748</v>
      </c>
      <c r="H364" s="328">
        <v>2.0299999999999998</v>
      </c>
      <c r="I364" s="318">
        <v>1</v>
      </c>
      <c r="J364" s="318">
        <f t="shared" si="131"/>
        <v>1</v>
      </c>
      <c r="K364" s="328">
        <f t="shared" si="132"/>
        <v>2.0299999999999998</v>
      </c>
      <c r="L364" s="318">
        <v>1277</v>
      </c>
      <c r="M364" s="318" t="s">
        <v>227</v>
      </c>
      <c r="N364" s="318">
        <v>1</v>
      </c>
      <c r="O364" s="621">
        <f t="shared" si="133"/>
        <v>2.0299999999999998</v>
      </c>
      <c r="P364" s="755">
        <v>1</v>
      </c>
      <c r="Q364" s="755">
        <f t="shared" si="134"/>
        <v>0</v>
      </c>
      <c r="R364" s="341">
        <v>1</v>
      </c>
      <c r="S364" s="318">
        <f t="shared" si="140"/>
        <v>2.0299999999999998</v>
      </c>
      <c r="T364" s="319"/>
      <c r="V364" s="328">
        <v>2.0169999999999999</v>
      </c>
      <c r="W364" s="320">
        <v>1</v>
      </c>
      <c r="X364" s="328">
        <f t="shared" si="136"/>
        <v>2.0169999999999999</v>
      </c>
      <c r="Y364" s="464">
        <v>1</v>
      </c>
      <c r="Z364" s="328">
        <f t="shared" si="137"/>
        <v>2.0169999999999999</v>
      </c>
      <c r="AB364" s="458">
        <f t="shared" si="138"/>
        <v>-1.2999999999999901E-2</v>
      </c>
      <c r="AC364" s="348">
        <f t="shared" si="139"/>
        <v>-1.2999999999999901E-2</v>
      </c>
    </row>
    <row r="365" spans="1:29">
      <c r="A365" s="318"/>
      <c r="B365" s="319"/>
      <c r="C365" s="318"/>
      <c r="D365" s="318"/>
      <c r="E365" s="319"/>
      <c r="F365" s="336"/>
      <c r="G365" s="318" t="s">
        <v>1749</v>
      </c>
      <c r="H365" s="328">
        <v>4.49</v>
      </c>
      <c r="I365" s="318">
        <v>1</v>
      </c>
      <c r="J365" s="318">
        <f t="shared" si="131"/>
        <v>1</v>
      </c>
      <c r="K365" s="328">
        <f t="shared" si="132"/>
        <v>4.49</v>
      </c>
      <c r="L365" s="318">
        <v>1276</v>
      </c>
      <c r="M365" s="318" t="s">
        <v>227</v>
      </c>
      <c r="N365" s="318">
        <v>1</v>
      </c>
      <c r="O365" s="621">
        <f t="shared" si="133"/>
        <v>4.49</v>
      </c>
      <c r="P365" s="755">
        <v>1</v>
      </c>
      <c r="Q365" s="755">
        <f t="shared" si="134"/>
        <v>0</v>
      </c>
      <c r="R365" s="341">
        <v>1</v>
      </c>
      <c r="S365" s="318">
        <f t="shared" si="140"/>
        <v>4.49</v>
      </c>
      <c r="T365" s="319"/>
      <c r="V365" s="328">
        <f t="shared" ref="V365:V388" si="142">4.49</f>
        <v>4.49</v>
      </c>
      <c r="W365" s="320">
        <v>1</v>
      </c>
      <c r="X365" s="328">
        <f t="shared" si="136"/>
        <v>4.49</v>
      </c>
      <c r="Y365" s="464">
        <v>1</v>
      </c>
      <c r="Z365" s="328">
        <f t="shared" si="137"/>
        <v>4.49</v>
      </c>
      <c r="AB365" s="458">
        <f t="shared" si="138"/>
        <v>0</v>
      </c>
      <c r="AC365" s="348">
        <f t="shared" si="139"/>
        <v>0</v>
      </c>
    </row>
    <row r="366" spans="1:29">
      <c r="A366" s="318"/>
      <c r="B366" s="319"/>
      <c r="C366" s="318"/>
      <c r="D366" s="318"/>
      <c r="E366" s="319"/>
      <c r="F366" s="319"/>
      <c r="G366" s="318" t="s">
        <v>1750</v>
      </c>
      <c r="H366" s="328">
        <v>4.49</v>
      </c>
      <c r="I366" s="318">
        <v>1</v>
      </c>
      <c r="J366" s="318">
        <f t="shared" si="131"/>
        <v>1</v>
      </c>
      <c r="K366" s="328">
        <f t="shared" si="132"/>
        <v>4.49</v>
      </c>
      <c r="L366" s="318">
        <v>1276</v>
      </c>
      <c r="M366" s="318" t="s">
        <v>227</v>
      </c>
      <c r="N366" s="318">
        <v>1</v>
      </c>
      <c r="O366" s="621">
        <f t="shared" si="133"/>
        <v>4.49</v>
      </c>
      <c r="P366" s="755">
        <v>1</v>
      </c>
      <c r="Q366" s="755">
        <f t="shared" si="134"/>
        <v>0</v>
      </c>
      <c r="R366" s="341">
        <v>1</v>
      </c>
      <c r="S366" s="318">
        <f t="shared" si="140"/>
        <v>4.49</v>
      </c>
      <c r="T366" s="319"/>
      <c r="V366" s="328">
        <f t="shared" si="142"/>
        <v>4.49</v>
      </c>
      <c r="W366" s="320">
        <v>1</v>
      </c>
      <c r="X366" s="328">
        <f t="shared" si="136"/>
        <v>4.49</v>
      </c>
      <c r="Y366" s="464">
        <v>1</v>
      </c>
      <c r="Z366" s="328">
        <f t="shared" si="137"/>
        <v>4.49</v>
      </c>
      <c r="AB366" s="458">
        <f t="shared" si="138"/>
        <v>0</v>
      </c>
      <c r="AC366" s="348">
        <f t="shared" si="139"/>
        <v>0</v>
      </c>
    </row>
    <row r="367" spans="1:29">
      <c r="A367" s="318"/>
      <c r="B367" s="319"/>
      <c r="C367" s="318"/>
      <c r="D367" s="318"/>
      <c r="E367" s="319"/>
      <c r="F367" s="319"/>
      <c r="G367" s="318" t="s">
        <v>1751</v>
      </c>
      <c r="H367" s="328">
        <v>4.49</v>
      </c>
      <c r="I367" s="318">
        <v>1</v>
      </c>
      <c r="J367" s="318">
        <f t="shared" si="131"/>
        <v>1</v>
      </c>
      <c r="K367" s="328">
        <f t="shared" si="132"/>
        <v>4.49</v>
      </c>
      <c r="L367" s="318">
        <v>1276</v>
      </c>
      <c r="M367" s="318" t="s">
        <v>227</v>
      </c>
      <c r="N367" s="318">
        <v>1</v>
      </c>
      <c r="O367" s="621">
        <f t="shared" si="133"/>
        <v>4.49</v>
      </c>
      <c r="P367" s="755">
        <v>1</v>
      </c>
      <c r="Q367" s="755">
        <f t="shared" si="134"/>
        <v>0</v>
      </c>
      <c r="R367" s="341">
        <v>1</v>
      </c>
      <c r="S367" s="318">
        <f t="shared" si="140"/>
        <v>4.49</v>
      </c>
      <c r="T367" s="319"/>
      <c r="V367" s="328">
        <f t="shared" si="142"/>
        <v>4.49</v>
      </c>
      <c r="W367" s="320">
        <v>1</v>
      </c>
      <c r="X367" s="328">
        <f t="shared" si="136"/>
        <v>4.49</v>
      </c>
      <c r="Y367" s="464">
        <v>1</v>
      </c>
      <c r="Z367" s="328">
        <f t="shared" si="137"/>
        <v>4.49</v>
      </c>
      <c r="AB367" s="458">
        <f t="shared" si="138"/>
        <v>0</v>
      </c>
      <c r="AC367" s="348">
        <f t="shared" si="139"/>
        <v>0</v>
      </c>
    </row>
    <row r="368" spans="1:29">
      <c r="A368" s="318"/>
      <c r="B368" s="319"/>
      <c r="C368" s="318"/>
      <c r="D368" s="318"/>
      <c r="E368" s="319"/>
      <c r="F368" s="319"/>
      <c r="G368" s="318" t="s">
        <v>1752</v>
      </c>
      <c r="H368" s="328">
        <v>4.49</v>
      </c>
      <c r="I368" s="318">
        <v>1</v>
      </c>
      <c r="J368" s="318">
        <f t="shared" si="131"/>
        <v>1</v>
      </c>
      <c r="K368" s="328">
        <f t="shared" si="132"/>
        <v>4.49</v>
      </c>
      <c r="L368" s="318">
        <v>1276</v>
      </c>
      <c r="M368" s="318" t="s">
        <v>227</v>
      </c>
      <c r="N368" s="318">
        <v>1</v>
      </c>
      <c r="O368" s="621">
        <f t="shared" si="133"/>
        <v>4.49</v>
      </c>
      <c r="P368" s="755">
        <v>1</v>
      </c>
      <c r="Q368" s="755">
        <f t="shared" si="134"/>
        <v>0</v>
      </c>
      <c r="R368" s="341">
        <v>1</v>
      </c>
      <c r="S368" s="318">
        <f t="shared" si="140"/>
        <v>4.49</v>
      </c>
      <c r="T368" s="319"/>
      <c r="V368" s="328">
        <f t="shared" si="142"/>
        <v>4.49</v>
      </c>
      <c r="W368" s="320">
        <v>1</v>
      </c>
      <c r="X368" s="328">
        <f t="shared" si="136"/>
        <v>4.49</v>
      </c>
      <c r="Y368" s="464">
        <v>1</v>
      </c>
      <c r="Z368" s="328">
        <f t="shared" si="137"/>
        <v>4.49</v>
      </c>
      <c r="AB368" s="458">
        <f t="shared" si="138"/>
        <v>0</v>
      </c>
      <c r="AC368" s="348">
        <f t="shared" si="139"/>
        <v>0</v>
      </c>
    </row>
    <row r="369" spans="1:29">
      <c r="A369" s="318"/>
      <c r="B369" s="319"/>
      <c r="C369" s="318"/>
      <c r="D369" s="318"/>
      <c r="E369" s="319"/>
      <c r="F369" s="319"/>
      <c r="G369" s="318" t="s">
        <v>1753</v>
      </c>
      <c r="H369" s="328">
        <v>4.49</v>
      </c>
      <c r="I369" s="318">
        <v>1</v>
      </c>
      <c r="J369" s="318">
        <f t="shared" si="131"/>
        <v>1</v>
      </c>
      <c r="K369" s="328">
        <f t="shared" si="132"/>
        <v>4.49</v>
      </c>
      <c r="L369" s="318">
        <v>1276</v>
      </c>
      <c r="M369" s="318" t="s">
        <v>227</v>
      </c>
      <c r="N369" s="318">
        <v>1</v>
      </c>
      <c r="O369" s="621">
        <f t="shared" si="133"/>
        <v>4.49</v>
      </c>
      <c r="P369" s="755">
        <v>1</v>
      </c>
      <c r="Q369" s="755">
        <f t="shared" si="134"/>
        <v>0</v>
      </c>
      <c r="R369" s="341">
        <v>1</v>
      </c>
      <c r="S369" s="318">
        <f t="shared" si="140"/>
        <v>4.49</v>
      </c>
      <c r="T369" s="319"/>
      <c r="V369" s="328">
        <f t="shared" si="142"/>
        <v>4.49</v>
      </c>
      <c r="W369" s="320">
        <v>1</v>
      </c>
      <c r="X369" s="328">
        <f t="shared" si="136"/>
        <v>4.49</v>
      </c>
      <c r="Y369" s="464">
        <v>1</v>
      </c>
      <c r="Z369" s="328">
        <f t="shared" si="137"/>
        <v>4.49</v>
      </c>
      <c r="AB369" s="458">
        <f t="shared" si="138"/>
        <v>0</v>
      </c>
      <c r="AC369" s="348">
        <f t="shared" si="139"/>
        <v>0</v>
      </c>
    </row>
    <row r="370" spans="1:29">
      <c r="A370" s="318"/>
      <c r="B370" s="319"/>
      <c r="C370" s="318"/>
      <c r="D370" s="318"/>
      <c r="E370" s="319"/>
      <c r="F370" s="336"/>
      <c r="G370" s="318" t="s">
        <v>1754</v>
      </c>
      <c r="H370" s="328">
        <v>4.49</v>
      </c>
      <c r="I370" s="318">
        <v>1</v>
      </c>
      <c r="J370" s="318">
        <f t="shared" si="131"/>
        <v>1</v>
      </c>
      <c r="K370" s="328">
        <f t="shared" si="132"/>
        <v>4.49</v>
      </c>
      <c r="L370" s="318">
        <v>1276</v>
      </c>
      <c r="M370" s="318" t="s">
        <v>227</v>
      </c>
      <c r="N370" s="318">
        <v>1</v>
      </c>
      <c r="O370" s="621">
        <f t="shared" si="133"/>
        <v>4.49</v>
      </c>
      <c r="P370" s="755">
        <v>1</v>
      </c>
      <c r="Q370" s="755">
        <f t="shared" si="134"/>
        <v>0</v>
      </c>
      <c r="R370" s="341">
        <v>1</v>
      </c>
      <c r="S370" s="318">
        <f t="shared" si="140"/>
        <v>4.49</v>
      </c>
      <c r="T370" s="319"/>
      <c r="V370" s="328">
        <f t="shared" si="142"/>
        <v>4.49</v>
      </c>
      <c r="W370" s="320">
        <v>1</v>
      </c>
      <c r="X370" s="328">
        <f t="shared" si="136"/>
        <v>4.49</v>
      </c>
      <c r="Y370" s="464">
        <v>1</v>
      </c>
      <c r="Z370" s="328">
        <f t="shared" si="137"/>
        <v>4.49</v>
      </c>
      <c r="AB370" s="458">
        <f t="shared" si="138"/>
        <v>0</v>
      </c>
      <c r="AC370" s="348">
        <f t="shared" si="139"/>
        <v>0</v>
      </c>
    </row>
    <row r="371" spans="1:29">
      <c r="A371" s="318"/>
      <c r="B371" s="319"/>
      <c r="C371" s="318"/>
      <c r="D371" s="318"/>
      <c r="E371" s="319"/>
      <c r="F371" s="336"/>
      <c r="G371" s="318" t="s">
        <v>1755</v>
      </c>
      <c r="H371" s="328">
        <v>4.49</v>
      </c>
      <c r="I371" s="318">
        <v>1</v>
      </c>
      <c r="J371" s="318">
        <f t="shared" si="131"/>
        <v>1</v>
      </c>
      <c r="K371" s="328">
        <f t="shared" si="132"/>
        <v>4.49</v>
      </c>
      <c r="L371" s="318">
        <v>1276</v>
      </c>
      <c r="M371" s="318" t="s">
        <v>227</v>
      </c>
      <c r="N371" s="318">
        <v>1</v>
      </c>
      <c r="O371" s="621">
        <f t="shared" si="133"/>
        <v>4.49</v>
      </c>
      <c r="P371" s="755">
        <v>1</v>
      </c>
      <c r="Q371" s="755">
        <f t="shared" si="134"/>
        <v>0</v>
      </c>
      <c r="R371" s="341">
        <v>1</v>
      </c>
      <c r="S371" s="318">
        <f t="shared" si="140"/>
        <v>4.49</v>
      </c>
      <c r="T371" s="319"/>
      <c r="V371" s="328">
        <f t="shared" si="142"/>
        <v>4.49</v>
      </c>
      <c r="W371" s="320">
        <v>1</v>
      </c>
      <c r="X371" s="328">
        <f t="shared" si="136"/>
        <v>4.49</v>
      </c>
      <c r="Y371" s="464">
        <v>1</v>
      </c>
      <c r="Z371" s="328">
        <f t="shared" si="137"/>
        <v>4.49</v>
      </c>
      <c r="AB371" s="458">
        <f t="shared" si="138"/>
        <v>0</v>
      </c>
      <c r="AC371" s="348">
        <f t="shared" si="139"/>
        <v>0</v>
      </c>
    </row>
    <row r="372" spans="1:29">
      <c r="A372" s="318"/>
      <c r="B372" s="319"/>
      <c r="C372" s="318"/>
      <c r="D372" s="318"/>
      <c r="E372" s="319"/>
      <c r="F372" s="336"/>
      <c r="G372" s="318" t="s">
        <v>1756</v>
      </c>
      <c r="H372" s="328">
        <v>4.49</v>
      </c>
      <c r="I372" s="318">
        <v>1</v>
      </c>
      <c r="J372" s="318">
        <f t="shared" si="131"/>
        <v>1</v>
      </c>
      <c r="K372" s="328">
        <f t="shared" si="132"/>
        <v>4.49</v>
      </c>
      <c r="L372" s="318">
        <v>1276</v>
      </c>
      <c r="M372" s="318" t="s">
        <v>227</v>
      </c>
      <c r="N372" s="318">
        <v>1</v>
      </c>
      <c r="O372" s="621">
        <f t="shared" si="133"/>
        <v>4.49</v>
      </c>
      <c r="P372" s="755">
        <v>1</v>
      </c>
      <c r="Q372" s="755">
        <f t="shared" si="134"/>
        <v>0</v>
      </c>
      <c r="R372" s="341">
        <v>1</v>
      </c>
      <c r="S372" s="318">
        <f t="shared" si="140"/>
        <v>4.49</v>
      </c>
      <c r="T372" s="389"/>
      <c r="V372" s="328">
        <f t="shared" si="142"/>
        <v>4.49</v>
      </c>
      <c r="W372" s="320">
        <v>1</v>
      </c>
      <c r="X372" s="328">
        <f t="shared" si="136"/>
        <v>4.49</v>
      </c>
      <c r="Y372" s="464">
        <v>1</v>
      </c>
      <c r="Z372" s="328">
        <f t="shared" si="137"/>
        <v>4.49</v>
      </c>
      <c r="AB372" s="458">
        <f t="shared" si="138"/>
        <v>0</v>
      </c>
      <c r="AC372" s="348">
        <f t="shared" si="139"/>
        <v>0</v>
      </c>
    </row>
    <row r="373" spans="1:29">
      <c r="A373" s="318"/>
      <c r="B373" s="319"/>
      <c r="C373" s="318"/>
      <c r="D373" s="318"/>
      <c r="E373" s="319"/>
      <c r="F373" s="336"/>
      <c r="G373" s="318" t="s">
        <v>1757</v>
      </c>
      <c r="H373" s="328">
        <v>4.49</v>
      </c>
      <c r="I373" s="318">
        <v>1</v>
      </c>
      <c r="J373" s="318">
        <f t="shared" si="131"/>
        <v>1</v>
      </c>
      <c r="K373" s="328">
        <f t="shared" si="132"/>
        <v>4.49</v>
      </c>
      <c r="L373" s="318">
        <v>1277</v>
      </c>
      <c r="M373" s="318" t="s">
        <v>227</v>
      </c>
      <c r="N373" s="318">
        <v>1</v>
      </c>
      <c r="O373" s="621">
        <f t="shared" si="133"/>
        <v>4.49</v>
      </c>
      <c r="P373" s="755">
        <v>1</v>
      </c>
      <c r="Q373" s="755">
        <f t="shared" si="134"/>
        <v>0</v>
      </c>
      <c r="R373" s="341">
        <v>1</v>
      </c>
      <c r="S373" s="318">
        <f t="shared" si="140"/>
        <v>4.49</v>
      </c>
      <c r="T373" s="389"/>
      <c r="V373" s="328">
        <f t="shared" si="142"/>
        <v>4.49</v>
      </c>
      <c r="W373" s="320">
        <v>1</v>
      </c>
      <c r="X373" s="328">
        <f t="shared" si="136"/>
        <v>4.49</v>
      </c>
      <c r="Y373" s="464">
        <v>1</v>
      </c>
      <c r="Z373" s="328">
        <f t="shared" si="137"/>
        <v>4.49</v>
      </c>
      <c r="AB373" s="458">
        <f t="shared" si="138"/>
        <v>0</v>
      </c>
      <c r="AC373" s="348">
        <f t="shared" si="139"/>
        <v>0</v>
      </c>
    </row>
    <row r="374" spans="1:29">
      <c r="A374" s="318"/>
      <c r="B374" s="319"/>
      <c r="C374" s="318"/>
      <c r="D374" s="318"/>
      <c r="E374" s="319"/>
      <c r="F374" s="336"/>
      <c r="G374" s="318" t="s">
        <v>1758</v>
      </c>
      <c r="H374" s="328">
        <v>4.49</v>
      </c>
      <c r="I374" s="318">
        <v>1</v>
      </c>
      <c r="J374" s="318">
        <f t="shared" si="131"/>
        <v>1</v>
      </c>
      <c r="K374" s="328">
        <f t="shared" si="132"/>
        <v>4.49</v>
      </c>
      <c r="L374" s="318">
        <v>1277</v>
      </c>
      <c r="M374" s="318" t="s">
        <v>227</v>
      </c>
      <c r="N374" s="318">
        <v>1</v>
      </c>
      <c r="O374" s="621">
        <f t="shared" si="133"/>
        <v>4.49</v>
      </c>
      <c r="P374" s="755">
        <v>1</v>
      </c>
      <c r="Q374" s="755">
        <f t="shared" si="134"/>
        <v>0</v>
      </c>
      <c r="R374" s="341">
        <v>1</v>
      </c>
      <c r="S374" s="318">
        <f t="shared" si="140"/>
        <v>4.49</v>
      </c>
      <c r="T374" s="389"/>
      <c r="V374" s="328">
        <f t="shared" si="142"/>
        <v>4.49</v>
      </c>
      <c r="W374" s="320">
        <v>1</v>
      </c>
      <c r="X374" s="328">
        <f t="shared" si="136"/>
        <v>4.49</v>
      </c>
      <c r="Y374" s="464">
        <v>1</v>
      </c>
      <c r="Z374" s="328">
        <f t="shared" si="137"/>
        <v>4.49</v>
      </c>
      <c r="AB374" s="458">
        <f t="shared" si="138"/>
        <v>0</v>
      </c>
      <c r="AC374" s="348">
        <f t="shared" si="139"/>
        <v>0</v>
      </c>
    </row>
    <row r="375" spans="1:29" ht="20.399999999999999">
      <c r="A375" s="318"/>
      <c r="B375" s="319"/>
      <c r="C375" s="318"/>
      <c r="D375" s="318"/>
      <c r="E375" s="319"/>
      <c r="F375" s="336" t="s">
        <v>604</v>
      </c>
      <c r="G375" s="318" t="s">
        <v>1759</v>
      </c>
      <c r="H375" s="328">
        <v>4.72</v>
      </c>
      <c r="I375" s="318">
        <v>1</v>
      </c>
      <c r="J375" s="318">
        <f t="shared" si="131"/>
        <v>1</v>
      </c>
      <c r="K375" s="328">
        <f t="shared" si="132"/>
        <v>4.72</v>
      </c>
      <c r="L375" s="318">
        <v>2447</v>
      </c>
      <c r="M375" s="318">
        <v>240</v>
      </c>
      <c r="N375" s="318">
        <v>1</v>
      </c>
      <c r="O375" s="621">
        <f t="shared" si="133"/>
        <v>4.72</v>
      </c>
      <c r="P375" s="755">
        <v>1</v>
      </c>
      <c r="Q375" s="755">
        <f t="shared" si="134"/>
        <v>0</v>
      </c>
      <c r="R375" s="341">
        <v>1</v>
      </c>
      <c r="S375" s="318">
        <f t="shared" si="140"/>
        <v>4.72</v>
      </c>
      <c r="T375" s="389" t="s">
        <v>3434</v>
      </c>
      <c r="V375" s="328">
        <f t="shared" si="142"/>
        <v>4.49</v>
      </c>
      <c r="W375" s="320"/>
      <c r="X375" s="328">
        <f t="shared" si="136"/>
        <v>0</v>
      </c>
      <c r="Y375" s="320"/>
      <c r="Z375" s="328">
        <f t="shared" si="137"/>
        <v>0</v>
      </c>
      <c r="AB375" s="458">
        <f t="shared" si="138"/>
        <v>-4.72</v>
      </c>
      <c r="AC375" s="348">
        <f t="shared" si="139"/>
        <v>-4.72</v>
      </c>
    </row>
    <row r="376" spans="1:29">
      <c r="A376" s="584"/>
      <c r="B376" s="585"/>
      <c r="C376" s="584"/>
      <c r="D376" s="584"/>
      <c r="E376" s="585"/>
      <c r="F376" s="585" t="s">
        <v>384</v>
      </c>
      <c r="G376" s="584" t="s">
        <v>414</v>
      </c>
      <c r="H376" s="587"/>
      <c r="I376" s="584"/>
      <c r="J376" s="584"/>
      <c r="K376" s="584"/>
      <c r="L376" s="584"/>
      <c r="M376" s="584"/>
      <c r="N376" s="584"/>
      <c r="O376" s="634" t="s">
        <v>2321</v>
      </c>
      <c r="P376" s="763"/>
      <c r="Q376" s="763"/>
      <c r="R376" s="584"/>
      <c r="S376" s="588" t="s">
        <v>2321</v>
      </c>
      <c r="T376" s="1035" t="s">
        <v>1456</v>
      </c>
      <c r="V376" s="328"/>
      <c r="W376" s="318"/>
      <c r="X376" s="387" t="s">
        <v>2321</v>
      </c>
      <c r="Y376" s="318"/>
      <c r="Z376" s="387" t="s">
        <v>2321</v>
      </c>
      <c r="AB376" s="348"/>
      <c r="AC376" s="384"/>
    </row>
    <row r="377" spans="1:29">
      <c r="A377" s="584"/>
      <c r="B377" s="585"/>
      <c r="C377" s="584"/>
      <c r="D377" s="584"/>
      <c r="E377" s="585"/>
      <c r="F377" s="585" t="s">
        <v>384</v>
      </c>
      <c r="G377" s="584" t="s">
        <v>415</v>
      </c>
      <c r="H377" s="587"/>
      <c r="I377" s="584"/>
      <c r="J377" s="584"/>
      <c r="K377" s="584"/>
      <c r="L377" s="584"/>
      <c r="M377" s="584"/>
      <c r="N377" s="584"/>
      <c r="O377" s="634" t="s">
        <v>2321</v>
      </c>
      <c r="P377" s="763"/>
      <c r="Q377" s="763"/>
      <c r="R377" s="584"/>
      <c r="S377" s="588" t="s">
        <v>2321</v>
      </c>
      <c r="T377" s="1035"/>
      <c r="V377" s="328"/>
      <c r="W377" s="318"/>
      <c r="X377" s="387" t="s">
        <v>2321</v>
      </c>
      <c r="Y377" s="318"/>
      <c r="Z377" s="387" t="s">
        <v>2321</v>
      </c>
      <c r="AB377" s="348"/>
      <c r="AC377" s="384"/>
    </row>
    <row r="378" spans="1:29">
      <c r="A378" s="584"/>
      <c r="B378" s="585"/>
      <c r="C378" s="584"/>
      <c r="D378" s="584"/>
      <c r="E378" s="585"/>
      <c r="F378" s="585" t="s">
        <v>384</v>
      </c>
      <c r="G378" s="584" t="s">
        <v>416</v>
      </c>
      <c r="H378" s="587"/>
      <c r="I378" s="584"/>
      <c r="J378" s="584"/>
      <c r="K378" s="584"/>
      <c r="L378" s="584"/>
      <c r="M378" s="584"/>
      <c r="N378" s="584"/>
      <c r="O378" s="634" t="s">
        <v>2321</v>
      </c>
      <c r="P378" s="763"/>
      <c r="Q378" s="763"/>
      <c r="R378" s="584"/>
      <c r="S378" s="588" t="s">
        <v>2321</v>
      </c>
      <c r="T378" s="1035"/>
      <c r="V378" s="328"/>
      <c r="W378" s="318"/>
      <c r="X378" s="387" t="s">
        <v>2321</v>
      </c>
      <c r="Y378" s="318"/>
      <c r="Z378" s="387" t="s">
        <v>2321</v>
      </c>
      <c r="AB378" s="348"/>
      <c r="AC378" s="384"/>
    </row>
    <row r="379" spans="1:29">
      <c r="A379" s="584"/>
      <c r="B379" s="585"/>
      <c r="C379" s="584"/>
      <c r="D379" s="584"/>
      <c r="E379" s="585"/>
      <c r="F379" s="585" t="s">
        <v>384</v>
      </c>
      <c r="G379" s="584" t="s">
        <v>417</v>
      </c>
      <c r="H379" s="587"/>
      <c r="I379" s="584"/>
      <c r="J379" s="584"/>
      <c r="K379" s="584"/>
      <c r="L379" s="584"/>
      <c r="M379" s="584"/>
      <c r="N379" s="584"/>
      <c r="O379" s="634" t="s">
        <v>2321</v>
      </c>
      <c r="P379" s="763"/>
      <c r="Q379" s="763"/>
      <c r="R379" s="584"/>
      <c r="S379" s="588" t="s">
        <v>2321</v>
      </c>
      <c r="T379" s="1035"/>
      <c r="V379" s="328"/>
      <c r="W379" s="318"/>
      <c r="X379" s="387" t="s">
        <v>2321</v>
      </c>
      <c r="Y379" s="318"/>
      <c r="Z379" s="387" t="s">
        <v>2321</v>
      </c>
      <c r="AB379" s="348"/>
      <c r="AC379" s="384"/>
    </row>
    <row r="380" spans="1:29" ht="20.399999999999999">
      <c r="A380" s="318"/>
      <c r="B380" s="319"/>
      <c r="C380" s="318"/>
      <c r="D380" s="318"/>
      <c r="E380" s="319"/>
      <c r="F380" s="336" t="s">
        <v>604</v>
      </c>
      <c r="G380" s="318" t="s">
        <v>1760</v>
      </c>
      <c r="H380" s="328">
        <v>4.72</v>
      </c>
      <c r="I380" s="318">
        <v>1</v>
      </c>
      <c r="J380" s="318">
        <f t="shared" ref="J380:J389" si="143">IF(N380&gt;0,1,0)</f>
        <v>1</v>
      </c>
      <c r="K380" s="328">
        <f t="shared" ref="K380:K389" si="144">H380*J380</f>
        <v>4.72</v>
      </c>
      <c r="L380" s="318">
        <v>2450</v>
      </c>
      <c r="M380" s="318">
        <v>241</v>
      </c>
      <c r="N380" s="318">
        <v>1</v>
      </c>
      <c r="O380" s="621">
        <f t="shared" ref="O380:O389" si="145">H380*N380</f>
        <v>4.72</v>
      </c>
      <c r="P380" s="755">
        <v>1</v>
      </c>
      <c r="Q380" s="755">
        <f t="shared" ref="Q380:Q389" si="146">R380-P380</f>
        <v>0</v>
      </c>
      <c r="R380" s="341">
        <v>1</v>
      </c>
      <c r="S380" s="318">
        <f t="shared" ref="S380" si="147">H380*R380</f>
        <v>4.72</v>
      </c>
      <c r="T380" s="389" t="s">
        <v>3434</v>
      </c>
      <c r="V380" s="328">
        <f t="shared" si="142"/>
        <v>4.49</v>
      </c>
      <c r="W380" s="458"/>
      <c r="X380" s="328">
        <f t="shared" ref="X380:X389" si="148">V380*W380</f>
        <v>0</v>
      </c>
      <c r="Y380" s="320"/>
      <c r="Z380" s="328">
        <f t="shared" ref="Z380:Z389" si="149">V380*Y380</f>
        <v>0</v>
      </c>
      <c r="AB380" s="458">
        <f t="shared" ref="AB380:AB389" si="150">X380-O380</f>
        <v>-4.72</v>
      </c>
      <c r="AC380" s="348">
        <f t="shared" ref="AC380:AC389" si="151">Z380-S380</f>
        <v>-4.72</v>
      </c>
    </row>
    <row r="381" spans="1:29">
      <c r="A381" s="318"/>
      <c r="B381" s="319"/>
      <c r="C381" s="318"/>
      <c r="D381" s="318"/>
      <c r="E381" s="319"/>
      <c r="F381" s="336"/>
      <c r="G381" s="318" t="s">
        <v>1761</v>
      </c>
      <c r="H381" s="328">
        <v>4.49</v>
      </c>
      <c r="I381" s="318">
        <v>1</v>
      </c>
      <c r="J381" s="318">
        <f t="shared" si="143"/>
        <v>1</v>
      </c>
      <c r="K381" s="328">
        <f t="shared" si="144"/>
        <v>4.49</v>
      </c>
      <c r="L381" s="318">
        <v>1301</v>
      </c>
      <c r="M381" s="318" t="s">
        <v>235</v>
      </c>
      <c r="N381" s="318">
        <v>1</v>
      </c>
      <c r="O381" s="621">
        <f t="shared" si="145"/>
        <v>4.49</v>
      </c>
      <c r="P381" s="755">
        <v>1</v>
      </c>
      <c r="Q381" s="755">
        <f t="shared" si="146"/>
        <v>0</v>
      </c>
      <c r="R381" s="341">
        <v>1</v>
      </c>
      <c r="S381" s="318">
        <f t="shared" ref="S381:S389" si="152">H381*R381</f>
        <v>4.49</v>
      </c>
      <c r="T381" s="389"/>
      <c r="V381" s="328">
        <f t="shared" si="142"/>
        <v>4.49</v>
      </c>
      <c r="W381" s="320">
        <v>1</v>
      </c>
      <c r="X381" s="328">
        <f t="shared" si="148"/>
        <v>4.49</v>
      </c>
      <c r="Y381" s="464">
        <v>1</v>
      </c>
      <c r="Z381" s="328">
        <f t="shared" si="149"/>
        <v>4.49</v>
      </c>
      <c r="AB381" s="458">
        <f t="shared" si="150"/>
        <v>0</v>
      </c>
      <c r="AC381" s="348">
        <f t="shared" si="151"/>
        <v>0</v>
      </c>
    </row>
    <row r="382" spans="1:29">
      <c r="A382" s="318"/>
      <c r="B382" s="319"/>
      <c r="C382" s="318"/>
      <c r="D382" s="318"/>
      <c r="E382" s="319"/>
      <c r="F382" s="336"/>
      <c r="G382" s="318" t="s">
        <v>1762</v>
      </c>
      <c r="H382" s="328">
        <v>4.49</v>
      </c>
      <c r="I382" s="318">
        <v>1</v>
      </c>
      <c r="J382" s="318">
        <f t="shared" si="143"/>
        <v>1</v>
      </c>
      <c r="K382" s="328">
        <f t="shared" si="144"/>
        <v>4.49</v>
      </c>
      <c r="L382" s="318">
        <v>1301</v>
      </c>
      <c r="M382" s="318" t="s">
        <v>235</v>
      </c>
      <c r="N382" s="318">
        <v>1</v>
      </c>
      <c r="O382" s="621">
        <f t="shared" si="145"/>
        <v>4.49</v>
      </c>
      <c r="P382" s="755">
        <v>1</v>
      </c>
      <c r="Q382" s="755">
        <f t="shared" si="146"/>
        <v>0</v>
      </c>
      <c r="R382" s="341">
        <v>1</v>
      </c>
      <c r="S382" s="318">
        <f t="shared" si="152"/>
        <v>4.49</v>
      </c>
      <c r="T382" s="389"/>
      <c r="V382" s="328">
        <f t="shared" si="142"/>
        <v>4.49</v>
      </c>
      <c r="W382" s="320">
        <v>1</v>
      </c>
      <c r="X382" s="328">
        <f t="shared" si="148"/>
        <v>4.49</v>
      </c>
      <c r="Y382" s="464">
        <v>1</v>
      </c>
      <c r="Z382" s="328">
        <f t="shared" si="149"/>
        <v>4.49</v>
      </c>
      <c r="AB382" s="458">
        <f t="shared" si="150"/>
        <v>0</v>
      </c>
      <c r="AC382" s="348">
        <f t="shared" si="151"/>
        <v>0</v>
      </c>
    </row>
    <row r="383" spans="1:29">
      <c r="A383" s="318"/>
      <c r="B383" s="319"/>
      <c r="C383" s="318"/>
      <c r="D383" s="318"/>
      <c r="E383" s="319"/>
      <c r="F383" s="336"/>
      <c r="G383" s="318" t="s">
        <v>1763</v>
      </c>
      <c r="H383" s="328">
        <v>4.17</v>
      </c>
      <c r="I383" s="318">
        <v>1</v>
      </c>
      <c r="J383" s="318">
        <f t="shared" si="143"/>
        <v>1</v>
      </c>
      <c r="K383" s="328">
        <f t="shared" si="144"/>
        <v>4.17</v>
      </c>
      <c r="L383" s="318">
        <v>1413</v>
      </c>
      <c r="M383" s="318" t="s">
        <v>267</v>
      </c>
      <c r="N383" s="318">
        <v>1</v>
      </c>
      <c r="O383" s="621">
        <f t="shared" si="145"/>
        <v>4.17</v>
      </c>
      <c r="P383" s="755">
        <v>1</v>
      </c>
      <c r="Q383" s="755">
        <f t="shared" si="146"/>
        <v>0</v>
      </c>
      <c r="R383" s="341">
        <v>1</v>
      </c>
      <c r="S383" s="318">
        <f t="shared" si="152"/>
        <v>4.17</v>
      </c>
      <c r="T383" s="389"/>
      <c r="V383" s="328">
        <f t="shared" si="142"/>
        <v>4.49</v>
      </c>
      <c r="W383" s="320">
        <v>1</v>
      </c>
      <c r="X383" s="328">
        <f t="shared" si="148"/>
        <v>4.49</v>
      </c>
      <c r="Y383" s="464">
        <v>1</v>
      </c>
      <c r="Z383" s="328">
        <f t="shared" si="149"/>
        <v>4.49</v>
      </c>
      <c r="AB383" s="458">
        <f t="shared" si="150"/>
        <v>0.32000000000000028</v>
      </c>
      <c r="AC383" s="348">
        <f t="shared" si="151"/>
        <v>0.32000000000000028</v>
      </c>
    </row>
    <row r="384" spans="1:29">
      <c r="A384" s="318"/>
      <c r="B384" s="319"/>
      <c r="C384" s="318"/>
      <c r="D384" s="318"/>
      <c r="E384" s="319"/>
      <c r="F384" s="336" t="s">
        <v>696</v>
      </c>
      <c r="G384" s="318" t="s">
        <v>1764</v>
      </c>
      <c r="H384" s="328">
        <v>5.01</v>
      </c>
      <c r="I384" s="318">
        <v>1</v>
      </c>
      <c r="J384" s="318">
        <f t="shared" si="143"/>
        <v>1</v>
      </c>
      <c r="K384" s="328">
        <f t="shared" si="144"/>
        <v>5.01</v>
      </c>
      <c r="L384" s="318" t="s">
        <v>284</v>
      </c>
      <c r="M384" s="318" t="s">
        <v>285</v>
      </c>
      <c r="N384" s="318">
        <v>1</v>
      </c>
      <c r="O384" s="621">
        <f t="shared" si="145"/>
        <v>5.01</v>
      </c>
      <c r="P384" s="755">
        <v>1</v>
      </c>
      <c r="Q384" s="755">
        <f t="shared" si="146"/>
        <v>0</v>
      </c>
      <c r="R384" s="341">
        <v>1</v>
      </c>
      <c r="S384" s="318">
        <f t="shared" si="152"/>
        <v>5.01</v>
      </c>
      <c r="T384" s="389"/>
      <c r="V384" s="328">
        <f>2.135+3.495-0.6</f>
        <v>5.03</v>
      </c>
      <c r="W384" s="320">
        <v>1</v>
      </c>
      <c r="X384" s="328">
        <f t="shared" si="148"/>
        <v>5.03</v>
      </c>
      <c r="Y384" s="464">
        <v>1</v>
      </c>
      <c r="Z384" s="328">
        <f t="shared" si="149"/>
        <v>5.03</v>
      </c>
      <c r="AB384" s="458">
        <f t="shared" si="150"/>
        <v>2.0000000000000462E-2</v>
      </c>
      <c r="AC384" s="348">
        <f t="shared" si="151"/>
        <v>2.0000000000000462E-2</v>
      </c>
    </row>
    <row r="385" spans="1:29">
      <c r="A385" s="318"/>
      <c r="B385" s="319"/>
      <c r="C385" s="318"/>
      <c r="D385" s="318"/>
      <c r="E385" s="319"/>
      <c r="F385" s="336"/>
      <c r="G385" s="318" t="s">
        <v>1765</v>
      </c>
      <c r="H385" s="328">
        <v>4.49</v>
      </c>
      <c r="I385" s="318">
        <v>1</v>
      </c>
      <c r="J385" s="318">
        <f t="shared" si="143"/>
        <v>1</v>
      </c>
      <c r="K385" s="328">
        <f t="shared" si="144"/>
        <v>4.49</v>
      </c>
      <c r="L385" s="318">
        <v>1301</v>
      </c>
      <c r="M385" s="318" t="s">
        <v>235</v>
      </c>
      <c r="N385" s="318">
        <v>1</v>
      </c>
      <c r="O385" s="621">
        <f t="shared" si="145"/>
        <v>4.49</v>
      </c>
      <c r="P385" s="755">
        <v>1</v>
      </c>
      <c r="Q385" s="755">
        <f t="shared" si="146"/>
        <v>0</v>
      </c>
      <c r="R385" s="341">
        <v>1</v>
      </c>
      <c r="S385" s="318">
        <f t="shared" si="152"/>
        <v>4.49</v>
      </c>
      <c r="T385" s="389"/>
      <c r="V385" s="328">
        <f t="shared" si="142"/>
        <v>4.49</v>
      </c>
      <c r="W385" s="320">
        <v>1</v>
      </c>
      <c r="X385" s="328">
        <f t="shared" si="148"/>
        <v>4.49</v>
      </c>
      <c r="Y385" s="464">
        <v>1</v>
      </c>
      <c r="Z385" s="328">
        <f t="shared" si="149"/>
        <v>4.49</v>
      </c>
      <c r="AB385" s="458">
        <f t="shared" si="150"/>
        <v>0</v>
      </c>
      <c r="AC385" s="348">
        <f t="shared" si="151"/>
        <v>0</v>
      </c>
    </row>
    <row r="386" spans="1:29">
      <c r="A386" s="318"/>
      <c r="B386" s="319"/>
      <c r="C386" s="318"/>
      <c r="D386" s="318"/>
      <c r="E386" s="319"/>
      <c r="F386" s="336"/>
      <c r="G386" s="318" t="s">
        <v>1766</v>
      </c>
      <c r="H386" s="328">
        <v>4.49</v>
      </c>
      <c r="I386" s="318">
        <v>1</v>
      </c>
      <c r="J386" s="318">
        <f t="shared" si="143"/>
        <v>1</v>
      </c>
      <c r="K386" s="328">
        <f t="shared" si="144"/>
        <v>4.49</v>
      </c>
      <c r="L386" s="318">
        <v>1301</v>
      </c>
      <c r="M386" s="318" t="s">
        <v>235</v>
      </c>
      <c r="N386" s="318">
        <v>1</v>
      </c>
      <c r="O386" s="621">
        <f t="shared" si="145"/>
        <v>4.49</v>
      </c>
      <c r="P386" s="755">
        <v>1</v>
      </c>
      <c r="Q386" s="755">
        <f t="shared" si="146"/>
        <v>0</v>
      </c>
      <c r="R386" s="341">
        <v>1</v>
      </c>
      <c r="S386" s="318">
        <f t="shared" si="152"/>
        <v>4.49</v>
      </c>
      <c r="T386" s="389"/>
      <c r="V386" s="328">
        <f t="shared" si="142"/>
        <v>4.49</v>
      </c>
      <c r="W386" s="320">
        <v>1</v>
      </c>
      <c r="X386" s="328">
        <f t="shared" si="148"/>
        <v>4.49</v>
      </c>
      <c r="Y386" s="464">
        <v>1</v>
      </c>
      <c r="Z386" s="328">
        <f t="shared" si="149"/>
        <v>4.49</v>
      </c>
      <c r="AB386" s="458">
        <f t="shared" si="150"/>
        <v>0</v>
      </c>
      <c r="AC386" s="348">
        <f t="shared" si="151"/>
        <v>0</v>
      </c>
    </row>
    <row r="387" spans="1:29">
      <c r="A387" s="318"/>
      <c r="B387" s="319"/>
      <c r="C387" s="318"/>
      <c r="D387" s="318"/>
      <c r="E387" s="319"/>
      <c r="F387" s="336"/>
      <c r="G387" s="318" t="s">
        <v>1767</v>
      </c>
      <c r="H387" s="328">
        <v>4.49</v>
      </c>
      <c r="I387" s="318">
        <v>1</v>
      </c>
      <c r="J387" s="318">
        <f t="shared" si="143"/>
        <v>1</v>
      </c>
      <c r="K387" s="328">
        <f t="shared" si="144"/>
        <v>4.49</v>
      </c>
      <c r="L387" s="318">
        <v>1301</v>
      </c>
      <c r="M387" s="318" t="s">
        <v>235</v>
      </c>
      <c r="N387" s="318">
        <v>1</v>
      </c>
      <c r="O387" s="621">
        <f t="shared" si="145"/>
        <v>4.49</v>
      </c>
      <c r="P387" s="755">
        <v>1</v>
      </c>
      <c r="Q387" s="755">
        <f t="shared" si="146"/>
        <v>0</v>
      </c>
      <c r="R387" s="341">
        <v>1</v>
      </c>
      <c r="S387" s="318">
        <f t="shared" si="152"/>
        <v>4.49</v>
      </c>
      <c r="T387" s="389"/>
      <c r="V387" s="328">
        <f t="shared" si="142"/>
        <v>4.49</v>
      </c>
      <c r="W387" s="320">
        <v>1</v>
      </c>
      <c r="X387" s="328">
        <f t="shared" si="148"/>
        <v>4.49</v>
      </c>
      <c r="Y387" s="464">
        <v>1</v>
      </c>
      <c r="Z387" s="328">
        <f t="shared" si="149"/>
        <v>4.49</v>
      </c>
      <c r="AB387" s="458">
        <f t="shared" si="150"/>
        <v>0</v>
      </c>
      <c r="AC387" s="348">
        <f t="shared" si="151"/>
        <v>0</v>
      </c>
    </row>
    <row r="388" spans="1:29">
      <c r="A388" s="318"/>
      <c r="B388" s="319"/>
      <c r="C388" s="318"/>
      <c r="D388" s="318"/>
      <c r="E388" s="319"/>
      <c r="F388" s="336"/>
      <c r="G388" s="318" t="s">
        <v>1768</v>
      </c>
      <c r="H388" s="328">
        <v>4.49</v>
      </c>
      <c r="I388" s="318">
        <v>1</v>
      </c>
      <c r="J388" s="318">
        <f t="shared" si="143"/>
        <v>1</v>
      </c>
      <c r="K388" s="328">
        <f t="shared" si="144"/>
        <v>4.49</v>
      </c>
      <c r="L388" s="318">
        <v>1301</v>
      </c>
      <c r="M388" s="318" t="s">
        <v>235</v>
      </c>
      <c r="N388" s="318">
        <v>1</v>
      </c>
      <c r="O388" s="621">
        <f t="shared" si="145"/>
        <v>4.49</v>
      </c>
      <c r="P388" s="755">
        <v>1</v>
      </c>
      <c r="Q388" s="755">
        <f t="shared" si="146"/>
        <v>0</v>
      </c>
      <c r="R388" s="341">
        <v>1</v>
      </c>
      <c r="S388" s="318">
        <f t="shared" si="152"/>
        <v>4.49</v>
      </c>
      <c r="T388" s="319"/>
      <c r="V388" s="328">
        <f t="shared" si="142"/>
        <v>4.49</v>
      </c>
      <c r="W388" s="320">
        <v>1</v>
      </c>
      <c r="X388" s="328">
        <f t="shared" si="148"/>
        <v>4.49</v>
      </c>
      <c r="Y388" s="320"/>
      <c r="Z388" s="328">
        <f t="shared" si="149"/>
        <v>0</v>
      </c>
      <c r="AB388" s="458">
        <f t="shared" si="150"/>
        <v>0</v>
      </c>
      <c r="AC388" s="348">
        <f t="shared" si="151"/>
        <v>-4.49</v>
      </c>
    </row>
    <row r="389" spans="1:29">
      <c r="A389" s="318"/>
      <c r="B389" s="319"/>
      <c r="C389" s="318"/>
      <c r="D389" s="318"/>
      <c r="E389" s="319"/>
      <c r="F389" s="336" t="s">
        <v>696</v>
      </c>
      <c r="G389" s="318" t="s">
        <v>1769</v>
      </c>
      <c r="H389" s="328">
        <v>5.01</v>
      </c>
      <c r="I389" s="318">
        <v>1</v>
      </c>
      <c r="J389" s="318">
        <f t="shared" si="143"/>
        <v>1</v>
      </c>
      <c r="K389" s="328">
        <f t="shared" si="144"/>
        <v>5.01</v>
      </c>
      <c r="L389" s="318" t="s">
        <v>296</v>
      </c>
      <c r="M389" s="318" t="s">
        <v>303</v>
      </c>
      <c r="N389" s="318">
        <v>1</v>
      </c>
      <c r="O389" s="621">
        <f t="shared" si="145"/>
        <v>5.01</v>
      </c>
      <c r="P389" s="755">
        <v>1</v>
      </c>
      <c r="Q389" s="755">
        <f t="shared" si="146"/>
        <v>0</v>
      </c>
      <c r="R389" s="341">
        <v>1</v>
      </c>
      <c r="S389" s="318">
        <f t="shared" si="152"/>
        <v>5.01</v>
      </c>
      <c r="T389" s="319"/>
      <c r="V389" s="328">
        <f>2.135+3.495-0.6</f>
        <v>5.03</v>
      </c>
      <c r="W389" s="320">
        <v>1</v>
      </c>
      <c r="X389" s="328">
        <f t="shared" si="148"/>
        <v>5.03</v>
      </c>
      <c r="Y389" s="320"/>
      <c r="Z389" s="328">
        <f t="shared" si="149"/>
        <v>0</v>
      </c>
      <c r="AB389" s="458">
        <f t="shared" si="150"/>
        <v>2.0000000000000462E-2</v>
      </c>
      <c r="AC389" s="348">
        <f t="shared" si="151"/>
        <v>-5.01</v>
      </c>
    </row>
    <row r="390" spans="1:29">
      <c r="A390" s="318"/>
      <c r="B390" s="319"/>
      <c r="C390" s="318"/>
      <c r="D390" s="318"/>
      <c r="E390" s="319"/>
      <c r="F390" s="319"/>
      <c r="G390" s="318"/>
      <c r="H390" s="318"/>
      <c r="I390" s="318"/>
      <c r="J390" s="382" t="s">
        <v>389</v>
      </c>
      <c r="K390" s="338">
        <f>SUM(K338:K389)</f>
        <v>208.73000000000008</v>
      </c>
      <c r="L390" s="318"/>
      <c r="M390" s="318"/>
      <c r="N390" s="321" t="s">
        <v>389</v>
      </c>
      <c r="O390" s="761">
        <f>SUM(O338:O389)</f>
        <v>208.73000000000008</v>
      </c>
      <c r="P390" s="765" t="s">
        <v>389</v>
      </c>
      <c r="Q390" s="765"/>
      <c r="R390" s="321"/>
      <c r="S390" s="386">
        <f>SUM(S338:S389)</f>
        <v>208.73000000000008</v>
      </c>
      <c r="T390" s="319"/>
      <c r="V390" s="318"/>
      <c r="W390" s="321" t="s">
        <v>389</v>
      </c>
      <c r="X390" s="386">
        <f>SUM(X338:X389)</f>
        <v>199.5440000000001</v>
      </c>
      <c r="Y390" s="321" t="s">
        <v>389</v>
      </c>
      <c r="Z390" s="386">
        <f>SUM(Z338:Z389)</f>
        <v>159.31500000000003</v>
      </c>
      <c r="AB390" s="338"/>
      <c r="AC390" s="386"/>
    </row>
    <row r="391" spans="1:29" ht="6.75" customHeight="1">
      <c r="A391" s="316"/>
      <c r="B391" s="317"/>
      <c r="C391" s="316"/>
      <c r="D391" s="316"/>
      <c r="E391" s="317"/>
      <c r="F391" s="317"/>
      <c r="G391" s="316"/>
      <c r="H391" s="316"/>
      <c r="I391" s="316"/>
      <c r="J391" s="316"/>
      <c r="K391" s="316"/>
      <c r="L391" s="316"/>
      <c r="M391" s="316"/>
      <c r="N391" s="316"/>
      <c r="O391" s="749"/>
      <c r="P391" s="752"/>
      <c r="Q391" s="752"/>
      <c r="R391" s="316"/>
      <c r="S391" s="316"/>
      <c r="T391" s="317"/>
      <c r="V391" s="316"/>
      <c r="W391" s="316"/>
      <c r="X391" s="316"/>
      <c r="Y391" s="316"/>
      <c r="Z391" s="316"/>
      <c r="AB391" s="339"/>
      <c r="AC391" s="339"/>
    </row>
    <row r="392" spans="1:29">
      <c r="A392" s="318">
        <v>10</v>
      </c>
      <c r="B392" s="319" t="s">
        <v>383</v>
      </c>
      <c r="C392" s="318">
        <v>600</v>
      </c>
      <c r="D392" s="318">
        <v>16</v>
      </c>
      <c r="E392" s="319">
        <v>1</v>
      </c>
      <c r="F392" s="336" t="s">
        <v>696</v>
      </c>
      <c r="G392" s="318" t="s">
        <v>1770</v>
      </c>
      <c r="H392" s="328">
        <v>2.58</v>
      </c>
      <c r="I392" s="318">
        <v>1</v>
      </c>
      <c r="J392" s="318">
        <f t="shared" ref="J392:J419" si="153">IF(N392&gt;0,1,0)</f>
        <v>1</v>
      </c>
      <c r="K392" s="328">
        <f t="shared" ref="K392:K419" si="154">H392*J392</f>
        <v>2.58</v>
      </c>
      <c r="L392" s="318">
        <v>1532</v>
      </c>
      <c r="M392" s="318">
        <v>130</v>
      </c>
      <c r="N392" s="318">
        <v>1</v>
      </c>
      <c r="O392" s="621">
        <f t="shared" ref="O392:O419" si="155">H392*N392</f>
        <v>2.58</v>
      </c>
      <c r="P392" s="755">
        <v>1</v>
      </c>
      <c r="Q392" s="755">
        <f t="shared" ref="Q392:Q419" si="156">R392-P392</f>
        <v>0</v>
      </c>
      <c r="R392" s="341">
        <v>1</v>
      </c>
      <c r="S392" s="318">
        <f t="shared" ref="S392" si="157">H392*R392</f>
        <v>2.58</v>
      </c>
      <c r="T392" s="319"/>
      <c r="V392" s="328">
        <f>2.055+1.15-0.6</f>
        <v>2.605</v>
      </c>
      <c r="W392" s="320">
        <v>1</v>
      </c>
      <c r="X392" s="328">
        <f t="shared" ref="X392:X419" si="158">V392*W392</f>
        <v>2.605</v>
      </c>
      <c r="Y392" s="464">
        <v>1</v>
      </c>
      <c r="Z392" s="328">
        <f t="shared" ref="Z392:Z419" si="159">V392*Y392</f>
        <v>2.605</v>
      </c>
      <c r="AB392" s="458">
        <f t="shared" ref="AB392:AB419" si="160">X392-O392</f>
        <v>2.4999999999999911E-2</v>
      </c>
      <c r="AC392" s="348">
        <f t="shared" ref="AC392:AC419" si="161">Z392-S392</f>
        <v>2.4999999999999911E-2</v>
      </c>
    </row>
    <row r="393" spans="1:29">
      <c r="A393" s="318"/>
      <c r="B393" s="319"/>
      <c r="C393" s="318"/>
      <c r="D393" s="318"/>
      <c r="E393" s="319"/>
      <c r="F393" s="336"/>
      <c r="G393" s="318" t="s">
        <v>1771</v>
      </c>
      <c r="H393" s="328">
        <v>4.49</v>
      </c>
      <c r="I393" s="318">
        <v>1</v>
      </c>
      <c r="J393" s="318">
        <f t="shared" si="153"/>
        <v>1</v>
      </c>
      <c r="K393" s="328">
        <f t="shared" si="154"/>
        <v>4.49</v>
      </c>
      <c r="L393" s="318">
        <v>1264</v>
      </c>
      <c r="M393" s="318" t="s">
        <v>220</v>
      </c>
      <c r="N393" s="318">
        <v>1</v>
      </c>
      <c r="O393" s="621">
        <f t="shared" si="155"/>
        <v>4.49</v>
      </c>
      <c r="P393" s="755">
        <v>1</v>
      </c>
      <c r="Q393" s="755">
        <f t="shared" si="156"/>
        <v>0</v>
      </c>
      <c r="R393" s="341">
        <v>1</v>
      </c>
      <c r="S393" s="318">
        <f t="shared" ref="S393:S419" si="162">H393*R393</f>
        <v>4.49</v>
      </c>
      <c r="T393" s="319"/>
      <c r="V393" s="328">
        <f>4.49</f>
        <v>4.49</v>
      </c>
      <c r="W393" s="320">
        <v>1</v>
      </c>
      <c r="X393" s="328">
        <f t="shared" si="158"/>
        <v>4.49</v>
      </c>
      <c r="Y393" s="464">
        <v>1</v>
      </c>
      <c r="Z393" s="328">
        <f t="shared" si="159"/>
        <v>4.49</v>
      </c>
      <c r="AB393" s="458">
        <f t="shared" si="160"/>
        <v>0</v>
      </c>
      <c r="AC393" s="348">
        <f t="shared" si="161"/>
        <v>0</v>
      </c>
    </row>
    <row r="394" spans="1:29">
      <c r="A394" s="318"/>
      <c r="B394" s="319"/>
      <c r="C394" s="318"/>
      <c r="D394" s="318"/>
      <c r="E394" s="319"/>
      <c r="F394" s="319"/>
      <c r="G394" s="318" t="s">
        <v>1772</v>
      </c>
      <c r="H394" s="328">
        <v>4.49</v>
      </c>
      <c r="I394" s="318">
        <v>1</v>
      </c>
      <c r="J394" s="318">
        <f t="shared" si="153"/>
        <v>1</v>
      </c>
      <c r="K394" s="328">
        <f t="shared" si="154"/>
        <v>4.49</v>
      </c>
      <c r="L394" s="318">
        <v>1265</v>
      </c>
      <c r="M394" s="318" t="s">
        <v>220</v>
      </c>
      <c r="N394" s="318">
        <v>1</v>
      </c>
      <c r="O394" s="621">
        <f t="shared" si="155"/>
        <v>4.49</v>
      </c>
      <c r="P394" s="755">
        <v>1</v>
      </c>
      <c r="Q394" s="755">
        <f t="shared" si="156"/>
        <v>0</v>
      </c>
      <c r="R394" s="341">
        <v>1</v>
      </c>
      <c r="S394" s="318">
        <f t="shared" si="162"/>
        <v>4.49</v>
      </c>
      <c r="T394" s="319"/>
      <c r="V394" s="328">
        <f t="shared" ref="V394:V406" si="163">4.49</f>
        <v>4.49</v>
      </c>
      <c r="W394" s="320">
        <v>1</v>
      </c>
      <c r="X394" s="328">
        <f t="shared" si="158"/>
        <v>4.49</v>
      </c>
      <c r="Y394" s="464">
        <v>1</v>
      </c>
      <c r="Z394" s="328">
        <f t="shared" si="159"/>
        <v>4.49</v>
      </c>
      <c r="AB394" s="458">
        <f t="shared" si="160"/>
        <v>0</v>
      </c>
      <c r="AC394" s="348">
        <f t="shared" si="161"/>
        <v>0</v>
      </c>
    </row>
    <row r="395" spans="1:29">
      <c r="A395" s="318"/>
      <c r="B395" s="319"/>
      <c r="C395" s="318"/>
      <c r="D395" s="318"/>
      <c r="E395" s="319"/>
      <c r="F395" s="319"/>
      <c r="G395" s="318" t="s">
        <v>1773</v>
      </c>
      <c r="H395" s="328">
        <v>4.49</v>
      </c>
      <c r="I395" s="318">
        <v>1</v>
      </c>
      <c r="J395" s="318">
        <f t="shared" si="153"/>
        <v>1</v>
      </c>
      <c r="K395" s="328">
        <f t="shared" si="154"/>
        <v>4.49</v>
      </c>
      <c r="L395" s="350" t="s">
        <v>2771</v>
      </c>
      <c r="M395" s="318" t="s">
        <v>220</v>
      </c>
      <c r="N395" s="318">
        <v>1</v>
      </c>
      <c r="O395" s="621">
        <f t="shared" si="155"/>
        <v>4.49</v>
      </c>
      <c r="P395" s="755">
        <v>1</v>
      </c>
      <c r="Q395" s="755">
        <f t="shared" si="156"/>
        <v>0</v>
      </c>
      <c r="R395" s="341">
        <v>1</v>
      </c>
      <c r="S395" s="318">
        <f t="shared" si="162"/>
        <v>4.49</v>
      </c>
      <c r="T395" s="319"/>
      <c r="V395" s="328">
        <f t="shared" si="163"/>
        <v>4.49</v>
      </c>
      <c r="W395" s="320">
        <v>1</v>
      </c>
      <c r="X395" s="328">
        <f t="shared" si="158"/>
        <v>4.49</v>
      </c>
      <c r="Y395" s="464">
        <v>1</v>
      </c>
      <c r="Z395" s="328">
        <f t="shared" si="159"/>
        <v>4.49</v>
      </c>
      <c r="AB395" s="458">
        <f t="shared" si="160"/>
        <v>0</v>
      </c>
      <c r="AC395" s="348">
        <f t="shared" si="161"/>
        <v>0</v>
      </c>
    </row>
    <row r="396" spans="1:29">
      <c r="A396" s="318"/>
      <c r="B396" s="319"/>
      <c r="C396" s="318"/>
      <c r="D396" s="318"/>
      <c r="E396" s="319"/>
      <c r="F396" s="319"/>
      <c r="G396" s="318" t="s">
        <v>1774</v>
      </c>
      <c r="H396" s="328">
        <v>4.49</v>
      </c>
      <c r="I396" s="318">
        <v>1</v>
      </c>
      <c r="J396" s="318">
        <f t="shared" si="153"/>
        <v>1</v>
      </c>
      <c r="K396" s="328">
        <f t="shared" si="154"/>
        <v>4.49</v>
      </c>
      <c r="L396" s="350" t="s">
        <v>2771</v>
      </c>
      <c r="M396" s="318" t="s">
        <v>220</v>
      </c>
      <c r="N396" s="318">
        <v>1</v>
      </c>
      <c r="O396" s="621">
        <f t="shared" si="155"/>
        <v>4.49</v>
      </c>
      <c r="P396" s="755">
        <v>1</v>
      </c>
      <c r="Q396" s="755">
        <f t="shared" si="156"/>
        <v>0</v>
      </c>
      <c r="R396" s="341">
        <v>1</v>
      </c>
      <c r="S396" s="318">
        <f t="shared" si="162"/>
        <v>4.49</v>
      </c>
      <c r="T396" s="319"/>
      <c r="V396" s="328">
        <f t="shared" si="163"/>
        <v>4.49</v>
      </c>
      <c r="W396" s="320">
        <v>1</v>
      </c>
      <c r="X396" s="328">
        <f t="shared" si="158"/>
        <v>4.49</v>
      </c>
      <c r="Y396" s="464">
        <v>1</v>
      </c>
      <c r="Z396" s="328">
        <f t="shared" si="159"/>
        <v>4.49</v>
      </c>
      <c r="AB396" s="458">
        <f t="shared" si="160"/>
        <v>0</v>
      </c>
      <c r="AC396" s="348">
        <f t="shared" si="161"/>
        <v>0</v>
      </c>
    </row>
    <row r="397" spans="1:29">
      <c r="A397" s="318"/>
      <c r="B397" s="319"/>
      <c r="C397" s="318"/>
      <c r="D397" s="318"/>
      <c r="E397" s="319"/>
      <c r="F397" s="319"/>
      <c r="G397" s="318" t="s">
        <v>1775</v>
      </c>
      <c r="H397" s="328">
        <v>4.49</v>
      </c>
      <c r="I397" s="318">
        <v>1</v>
      </c>
      <c r="J397" s="318">
        <f t="shared" si="153"/>
        <v>1</v>
      </c>
      <c r="K397" s="328">
        <f t="shared" si="154"/>
        <v>4.49</v>
      </c>
      <c r="L397" s="318">
        <v>1265</v>
      </c>
      <c r="M397" s="318" t="s">
        <v>220</v>
      </c>
      <c r="N397" s="318">
        <v>1</v>
      </c>
      <c r="O397" s="621">
        <f t="shared" si="155"/>
        <v>4.49</v>
      </c>
      <c r="P397" s="755">
        <v>1</v>
      </c>
      <c r="Q397" s="755">
        <f t="shared" si="156"/>
        <v>0</v>
      </c>
      <c r="R397" s="341">
        <v>1</v>
      </c>
      <c r="S397" s="318">
        <f t="shared" si="162"/>
        <v>4.49</v>
      </c>
      <c r="T397" s="319"/>
      <c r="V397" s="328">
        <f t="shared" si="163"/>
        <v>4.49</v>
      </c>
      <c r="W397" s="320">
        <v>1</v>
      </c>
      <c r="X397" s="328">
        <f t="shared" si="158"/>
        <v>4.49</v>
      </c>
      <c r="Y397" s="464">
        <v>1</v>
      </c>
      <c r="Z397" s="328">
        <f t="shared" si="159"/>
        <v>4.49</v>
      </c>
      <c r="AB397" s="458">
        <f t="shared" si="160"/>
        <v>0</v>
      </c>
      <c r="AC397" s="348">
        <f t="shared" si="161"/>
        <v>0</v>
      </c>
    </row>
    <row r="398" spans="1:29">
      <c r="A398" s="318"/>
      <c r="B398" s="319"/>
      <c r="C398" s="318"/>
      <c r="D398" s="318"/>
      <c r="E398" s="319"/>
      <c r="F398" s="319"/>
      <c r="G398" s="318" t="s">
        <v>1776</v>
      </c>
      <c r="H398" s="328">
        <v>4.49</v>
      </c>
      <c r="I398" s="318">
        <v>1</v>
      </c>
      <c r="J398" s="318">
        <f t="shared" si="153"/>
        <v>1</v>
      </c>
      <c r="K398" s="328">
        <f t="shared" si="154"/>
        <v>4.49</v>
      </c>
      <c r="L398" s="350" t="s">
        <v>2764</v>
      </c>
      <c r="M398" s="318" t="s">
        <v>352</v>
      </c>
      <c r="N398" s="318">
        <v>1</v>
      </c>
      <c r="O398" s="621">
        <f t="shared" si="155"/>
        <v>4.49</v>
      </c>
      <c r="P398" s="755">
        <v>1</v>
      </c>
      <c r="Q398" s="755">
        <f t="shared" si="156"/>
        <v>0</v>
      </c>
      <c r="R398" s="341">
        <v>1</v>
      </c>
      <c r="S398" s="318">
        <f t="shared" si="162"/>
        <v>4.49</v>
      </c>
      <c r="T398" s="319"/>
      <c r="V398" s="328">
        <f t="shared" si="163"/>
        <v>4.49</v>
      </c>
      <c r="W398" s="320">
        <v>1</v>
      </c>
      <c r="X398" s="328">
        <f t="shared" si="158"/>
        <v>4.49</v>
      </c>
      <c r="Y398" s="464">
        <v>1</v>
      </c>
      <c r="Z398" s="328">
        <f t="shared" si="159"/>
        <v>4.49</v>
      </c>
      <c r="AB398" s="458">
        <f t="shared" si="160"/>
        <v>0</v>
      </c>
      <c r="AC398" s="348">
        <f t="shared" si="161"/>
        <v>0</v>
      </c>
    </row>
    <row r="399" spans="1:29">
      <c r="A399" s="318"/>
      <c r="B399" s="319"/>
      <c r="C399" s="318"/>
      <c r="D399" s="318"/>
      <c r="E399" s="319"/>
      <c r="F399" s="319"/>
      <c r="G399" s="318" t="s">
        <v>1777</v>
      </c>
      <c r="H399" s="328">
        <v>4.49</v>
      </c>
      <c r="I399" s="318">
        <v>1</v>
      </c>
      <c r="J399" s="318">
        <f t="shared" si="153"/>
        <v>1</v>
      </c>
      <c r="K399" s="328">
        <f t="shared" si="154"/>
        <v>4.49</v>
      </c>
      <c r="L399" s="318" t="s">
        <v>221</v>
      </c>
      <c r="M399" s="318" t="s">
        <v>222</v>
      </c>
      <c r="N399" s="318">
        <v>1</v>
      </c>
      <c r="O399" s="621">
        <f t="shared" si="155"/>
        <v>4.49</v>
      </c>
      <c r="P399" s="755">
        <v>1</v>
      </c>
      <c r="Q399" s="755">
        <f t="shared" si="156"/>
        <v>0</v>
      </c>
      <c r="R399" s="341">
        <v>1</v>
      </c>
      <c r="S399" s="318">
        <f t="shared" si="162"/>
        <v>4.49</v>
      </c>
      <c r="T399" s="319"/>
      <c r="V399" s="328">
        <f t="shared" si="163"/>
        <v>4.49</v>
      </c>
      <c r="W399" s="320">
        <v>1</v>
      </c>
      <c r="X399" s="328">
        <f t="shared" si="158"/>
        <v>4.49</v>
      </c>
      <c r="Y399" s="464">
        <v>1</v>
      </c>
      <c r="Z399" s="328">
        <f t="shared" si="159"/>
        <v>4.49</v>
      </c>
      <c r="AB399" s="458">
        <f t="shared" si="160"/>
        <v>0</v>
      </c>
      <c r="AC399" s="348">
        <f t="shared" si="161"/>
        <v>0</v>
      </c>
    </row>
    <row r="400" spans="1:29">
      <c r="A400" s="318"/>
      <c r="B400" s="319"/>
      <c r="C400" s="318"/>
      <c r="D400" s="318"/>
      <c r="E400" s="319"/>
      <c r="F400" s="319"/>
      <c r="G400" s="318" t="s">
        <v>1778</v>
      </c>
      <c r="H400" s="328">
        <v>4.49</v>
      </c>
      <c r="I400" s="318">
        <v>1</v>
      </c>
      <c r="J400" s="318">
        <f t="shared" si="153"/>
        <v>1</v>
      </c>
      <c r="K400" s="328">
        <f t="shared" si="154"/>
        <v>4.49</v>
      </c>
      <c r="L400" s="318" t="s">
        <v>221</v>
      </c>
      <c r="M400" s="318" t="s">
        <v>222</v>
      </c>
      <c r="N400" s="318">
        <v>1</v>
      </c>
      <c r="O400" s="621">
        <f t="shared" si="155"/>
        <v>4.49</v>
      </c>
      <c r="P400" s="755">
        <v>1</v>
      </c>
      <c r="Q400" s="755">
        <f t="shared" si="156"/>
        <v>0</v>
      </c>
      <c r="R400" s="341">
        <v>1</v>
      </c>
      <c r="S400" s="318">
        <f t="shared" si="162"/>
        <v>4.49</v>
      </c>
      <c r="T400" s="319"/>
      <c r="V400" s="328">
        <f t="shared" si="163"/>
        <v>4.49</v>
      </c>
      <c r="W400" s="320">
        <v>1</v>
      </c>
      <c r="X400" s="328">
        <f t="shared" si="158"/>
        <v>4.49</v>
      </c>
      <c r="Y400" s="464">
        <v>1</v>
      </c>
      <c r="Z400" s="328">
        <f t="shared" si="159"/>
        <v>4.49</v>
      </c>
      <c r="AB400" s="458">
        <f t="shared" si="160"/>
        <v>0</v>
      </c>
      <c r="AC400" s="348">
        <f t="shared" si="161"/>
        <v>0</v>
      </c>
    </row>
    <row r="401" spans="1:29">
      <c r="A401" s="318"/>
      <c r="B401" s="319"/>
      <c r="C401" s="318"/>
      <c r="D401" s="318"/>
      <c r="E401" s="319"/>
      <c r="F401" s="319"/>
      <c r="G401" s="318" t="s">
        <v>1779</v>
      </c>
      <c r="H401" s="328">
        <v>4.49</v>
      </c>
      <c r="I401" s="318">
        <v>1</v>
      </c>
      <c r="J401" s="318">
        <f t="shared" si="153"/>
        <v>1</v>
      </c>
      <c r="K401" s="328">
        <f t="shared" si="154"/>
        <v>4.49</v>
      </c>
      <c r="L401" s="318" t="s">
        <v>221</v>
      </c>
      <c r="M401" s="318" t="s">
        <v>222</v>
      </c>
      <c r="N401" s="318">
        <v>1</v>
      </c>
      <c r="O401" s="621">
        <f t="shared" si="155"/>
        <v>4.49</v>
      </c>
      <c r="P401" s="755">
        <v>1</v>
      </c>
      <c r="Q401" s="755">
        <f t="shared" si="156"/>
        <v>0</v>
      </c>
      <c r="R401" s="341">
        <v>1</v>
      </c>
      <c r="S401" s="318">
        <f t="shared" si="162"/>
        <v>4.49</v>
      </c>
      <c r="T401" s="319"/>
      <c r="V401" s="328">
        <f t="shared" si="163"/>
        <v>4.49</v>
      </c>
      <c r="W401" s="320">
        <v>1</v>
      </c>
      <c r="X401" s="328">
        <f t="shared" si="158"/>
        <v>4.49</v>
      </c>
      <c r="Y401" s="464">
        <v>1</v>
      </c>
      <c r="Z401" s="328">
        <f t="shared" si="159"/>
        <v>4.49</v>
      </c>
      <c r="AB401" s="458">
        <f t="shared" si="160"/>
        <v>0</v>
      </c>
      <c r="AC401" s="348">
        <f t="shared" si="161"/>
        <v>0</v>
      </c>
    </row>
    <row r="402" spans="1:29">
      <c r="A402" s="318"/>
      <c r="B402" s="319"/>
      <c r="C402" s="318"/>
      <c r="D402" s="318"/>
      <c r="E402" s="319"/>
      <c r="F402" s="319"/>
      <c r="G402" s="318" t="s">
        <v>1780</v>
      </c>
      <c r="H402" s="328">
        <v>4.49</v>
      </c>
      <c r="I402" s="318">
        <v>1</v>
      </c>
      <c r="J402" s="318">
        <f t="shared" si="153"/>
        <v>1</v>
      </c>
      <c r="K402" s="328">
        <f t="shared" si="154"/>
        <v>4.49</v>
      </c>
      <c r="L402" s="318" t="s">
        <v>221</v>
      </c>
      <c r="M402" s="318" t="s">
        <v>222</v>
      </c>
      <c r="N402" s="318">
        <v>1</v>
      </c>
      <c r="O402" s="621">
        <f t="shared" si="155"/>
        <v>4.49</v>
      </c>
      <c r="P402" s="755">
        <v>1</v>
      </c>
      <c r="Q402" s="755">
        <f t="shared" si="156"/>
        <v>0</v>
      </c>
      <c r="R402" s="341">
        <v>1</v>
      </c>
      <c r="S402" s="318">
        <f t="shared" si="162"/>
        <v>4.49</v>
      </c>
      <c r="T402" s="319"/>
      <c r="V402" s="328">
        <f t="shared" si="163"/>
        <v>4.49</v>
      </c>
      <c r="W402" s="320">
        <v>1</v>
      </c>
      <c r="X402" s="328">
        <f t="shared" si="158"/>
        <v>4.49</v>
      </c>
      <c r="Y402" s="464">
        <v>1</v>
      </c>
      <c r="Z402" s="328">
        <f t="shared" si="159"/>
        <v>4.49</v>
      </c>
      <c r="AB402" s="458">
        <f t="shared" si="160"/>
        <v>0</v>
      </c>
      <c r="AC402" s="348">
        <f t="shared" si="161"/>
        <v>0</v>
      </c>
    </row>
    <row r="403" spans="1:29">
      <c r="A403" s="318"/>
      <c r="B403" s="319"/>
      <c r="C403" s="318"/>
      <c r="D403" s="318"/>
      <c r="E403" s="319"/>
      <c r="F403" s="319"/>
      <c r="G403" s="318" t="s">
        <v>1781</v>
      </c>
      <c r="H403" s="328">
        <v>4.49</v>
      </c>
      <c r="I403" s="318">
        <v>1</v>
      </c>
      <c r="J403" s="318">
        <f t="shared" si="153"/>
        <v>1</v>
      </c>
      <c r="K403" s="328">
        <f t="shared" si="154"/>
        <v>4.49</v>
      </c>
      <c r="L403" s="318">
        <v>1262</v>
      </c>
      <c r="M403" s="318" t="s">
        <v>219</v>
      </c>
      <c r="N403" s="318">
        <v>1</v>
      </c>
      <c r="O403" s="621">
        <f t="shared" si="155"/>
        <v>4.49</v>
      </c>
      <c r="P403" s="755">
        <v>1</v>
      </c>
      <c r="Q403" s="755">
        <f t="shared" si="156"/>
        <v>0</v>
      </c>
      <c r="R403" s="341">
        <v>1</v>
      </c>
      <c r="S403" s="318">
        <f t="shared" si="162"/>
        <v>4.49</v>
      </c>
      <c r="T403" s="319"/>
      <c r="V403" s="328">
        <f t="shared" si="163"/>
        <v>4.49</v>
      </c>
      <c r="W403" s="320">
        <v>1</v>
      </c>
      <c r="X403" s="328">
        <f t="shared" si="158"/>
        <v>4.49</v>
      </c>
      <c r="Y403" s="464">
        <v>1</v>
      </c>
      <c r="Z403" s="328">
        <f t="shared" si="159"/>
        <v>4.49</v>
      </c>
      <c r="AB403" s="458">
        <f t="shared" si="160"/>
        <v>0</v>
      </c>
      <c r="AC403" s="348">
        <f t="shared" si="161"/>
        <v>0</v>
      </c>
    </row>
    <row r="404" spans="1:29">
      <c r="A404" s="318"/>
      <c r="B404" s="319"/>
      <c r="C404" s="318"/>
      <c r="D404" s="318"/>
      <c r="E404" s="319"/>
      <c r="F404" s="319"/>
      <c r="G404" s="318" t="s">
        <v>1782</v>
      </c>
      <c r="H404" s="328">
        <v>4.49</v>
      </c>
      <c r="I404" s="318">
        <v>1</v>
      </c>
      <c r="J404" s="318">
        <f t="shared" si="153"/>
        <v>1</v>
      </c>
      <c r="K404" s="328">
        <f t="shared" si="154"/>
        <v>4.49</v>
      </c>
      <c r="L404" s="318">
        <v>1262</v>
      </c>
      <c r="M404" s="318" t="s">
        <v>219</v>
      </c>
      <c r="N404" s="318">
        <v>1</v>
      </c>
      <c r="O404" s="621">
        <f t="shared" si="155"/>
        <v>4.49</v>
      </c>
      <c r="P404" s="755">
        <v>1</v>
      </c>
      <c r="Q404" s="755">
        <f t="shared" si="156"/>
        <v>0</v>
      </c>
      <c r="R404" s="341">
        <v>1</v>
      </c>
      <c r="S404" s="318">
        <f t="shared" si="162"/>
        <v>4.49</v>
      </c>
      <c r="T404" s="319"/>
      <c r="V404" s="328">
        <f t="shared" si="163"/>
        <v>4.49</v>
      </c>
      <c r="W404" s="320">
        <v>1</v>
      </c>
      <c r="X404" s="328">
        <f t="shared" si="158"/>
        <v>4.49</v>
      </c>
      <c r="Y404" s="464">
        <v>1</v>
      </c>
      <c r="Z404" s="328">
        <f t="shared" si="159"/>
        <v>4.49</v>
      </c>
      <c r="AB404" s="458">
        <f t="shared" si="160"/>
        <v>0</v>
      </c>
      <c r="AC404" s="348">
        <f t="shared" si="161"/>
        <v>0</v>
      </c>
    </row>
    <row r="405" spans="1:29">
      <c r="A405" s="318"/>
      <c r="B405" s="319"/>
      <c r="C405" s="318"/>
      <c r="D405" s="318"/>
      <c r="E405" s="319"/>
      <c r="F405" s="319"/>
      <c r="G405" s="318" t="s">
        <v>1783</v>
      </c>
      <c r="H405" s="328">
        <v>4.49</v>
      </c>
      <c r="I405" s="318">
        <v>1</v>
      </c>
      <c r="J405" s="318">
        <f t="shared" si="153"/>
        <v>1</v>
      </c>
      <c r="K405" s="328">
        <f t="shared" si="154"/>
        <v>4.49</v>
      </c>
      <c r="L405" s="318">
        <v>1262</v>
      </c>
      <c r="M405" s="318" t="s">
        <v>219</v>
      </c>
      <c r="N405" s="318">
        <v>1</v>
      </c>
      <c r="O405" s="621">
        <f t="shared" si="155"/>
        <v>4.49</v>
      </c>
      <c r="P405" s="755">
        <v>1</v>
      </c>
      <c r="Q405" s="755">
        <f t="shared" si="156"/>
        <v>0</v>
      </c>
      <c r="R405" s="341">
        <v>1</v>
      </c>
      <c r="S405" s="318">
        <f t="shared" si="162"/>
        <v>4.49</v>
      </c>
      <c r="T405" s="319"/>
      <c r="V405" s="328">
        <f t="shared" si="163"/>
        <v>4.49</v>
      </c>
      <c r="W405" s="320">
        <v>1</v>
      </c>
      <c r="X405" s="328">
        <f t="shared" si="158"/>
        <v>4.49</v>
      </c>
      <c r="Y405" s="464">
        <v>1</v>
      </c>
      <c r="Z405" s="328">
        <f t="shared" si="159"/>
        <v>4.49</v>
      </c>
      <c r="AB405" s="458">
        <f t="shared" si="160"/>
        <v>0</v>
      </c>
      <c r="AC405" s="348">
        <f t="shared" si="161"/>
        <v>0</v>
      </c>
    </row>
    <row r="406" spans="1:29">
      <c r="A406" s="318"/>
      <c r="B406" s="319"/>
      <c r="C406" s="318"/>
      <c r="D406" s="318"/>
      <c r="E406" s="319"/>
      <c r="F406" s="319"/>
      <c r="G406" s="318" t="s">
        <v>1784</v>
      </c>
      <c r="H406" s="328">
        <v>4.49</v>
      </c>
      <c r="I406" s="318">
        <v>1</v>
      </c>
      <c r="J406" s="318">
        <f t="shared" si="153"/>
        <v>1</v>
      </c>
      <c r="K406" s="328">
        <f t="shared" si="154"/>
        <v>4.49</v>
      </c>
      <c r="L406" s="318">
        <v>1262</v>
      </c>
      <c r="M406" s="318" t="s">
        <v>219</v>
      </c>
      <c r="N406" s="318">
        <v>1</v>
      </c>
      <c r="O406" s="621">
        <f t="shared" si="155"/>
        <v>4.49</v>
      </c>
      <c r="P406" s="755">
        <v>1</v>
      </c>
      <c r="Q406" s="755">
        <f t="shared" si="156"/>
        <v>0</v>
      </c>
      <c r="R406" s="341">
        <v>1</v>
      </c>
      <c r="S406" s="318">
        <f t="shared" si="162"/>
        <v>4.49</v>
      </c>
      <c r="T406" s="319"/>
      <c r="V406" s="328">
        <f t="shared" si="163"/>
        <v>4.49</v>
      </c>
      <c r="W406" s="320">
        <v>1</v>
      </c>
      <c r="X406" s="328">
        <f t="shared" si="158"/>
        <v>4.49</v>
      </c>
      <c r="Y406" s="464">
        <v>1</v>
      </c>
      <c r="Z406" s="328">
        <f t="shared" si="159"/>
        <v>4.49</v>
      </c>
      <c r="AB406" s="458">
        <f t="shared" si="160"/>
        <v>0</v>
      </c>
      <c r="AC406" s="348">
        <f t="shared" si="161"/>
        <v>0</v>
      </c>
    </row>
    <row r="407" spans="1:29">
      <c r="A407" s="318"/>
      <c r="B407" s="319"/>
      <c r="C407" s="318"/>
      <c r="D407" s="318"/>
      <c r="E407" s="319"/>
      <c r="F407" s="319"/>
      <c r="G407" s="318" t="s">
        <v>1785</v>
      </c>
      <c r="H407" s="328">
        <v>2.68</v>
      </c>
      <c r="I407" s="318">
        <v>1</v>
      </c>
      <c r="J407" s="318">
        <f t="shared" si="153"/>
        <v>1</v>
      </c>
      <c r="K407" s="328">
        <f t="shared" si="154"/>
        <v>2.68</v>
      </c>
      <c r="L407" s="318">
        <v>1532</v>
      </c>
      <c r="M407" s="318">
        <v>130</v>
      </c>
      <c r="N407" s="318">
        <v>1</v>
      </c>
      <c r="O407" s="621">
        <f t="shared" si="155"/>
        <v>2.68</v>
      </c>
      <c r="P407" s="755">
        <v>1</v>
      </c>
      <c r="Q407" s="755">
        <f t="shared" si="156"/>
        <v>0</v>
      </c>
      <c r="R407" s="341">
        <v>1</v>
      </c>
      <c r="S407" s="318">
        <f t="shared" si="162"/>
        <v>2.68</v>
      </c>
      <c r="T407" s="319"/>
      <c r="V407" s="328">
        <v>2.673</v>
      </c>
      <c r="W407" s="320">
        <v>1</v>
      </c>
      <c r="X407" s="328">
        <f t="shared" si="158"/>
        <v>2.673</v>
      </c>
      <c r="Y407" s="464">
        <v>1</v>
      </c>
      <c r="Z407" s="328">
        <f t="shared" si="159"/>
        <v>2.673</v>
      </c>
      <c r="AB407" s="458">
        <f t="shared" si="160"/>
        <v>-7.0000000000001172E-3</v>
      </c>
      <c r="AC407" s="348">
        <f t="shared" si="161"/>
        <v>-7.0000000000001172E-3</v>
      </c>
    </row>
    <row r="408" spans="1:29">
      <c r="A408" s="318"/>
      <c r="B408" s="319"/>
      <c r="C408" s="318"/>
      <c r="D408" s="318"/>
      <c r="E408" s="319"/>
      <c r="F408" s="336" t="s">
        <v>721</v>
      </c>
      <c r="G408" s="318" t="s">
        <v>1786</v>
      </c>
      <c r="H408" s="328">
        <v>3.57</v>
      </c>
      <c r="I408" s="318">
        <v>1</v>
      </c>
      <c r="J408" s="318">
        <f t="shared" si="153"/>
        <v>1</v>
      </c>
      <c r="K408" s="328">
        <f t="shared" si="154"/>
        <v>3.57</v>
      </c>
      <c r="L408" s="318"/>
      <c r="M408" s="318"/>
      <c r="N408" s="318">
        <v>1</v>
      </c>
      <c r="O408" s="621">
        <f t="shared" si="155"/>
        <v>3.57</v>
      </c>
      <c r="P408" s="755">
        <v>1</v>
      </c>
      <c r="Q408" s="755">
        <f t="shared" si="156"/>
        <v>0</v>
      </c>
      <c r="R408" s="341">
        <v>1</v>
      </c>
      <c r="S408" s="318">
        <f t="shared" si="162"/>
        <v>3.57</v>
      </c>
      <c r="T408" s="319"/>
      <c r="V408" s="328">
        <f>2.673+2.055</f>
        <v>4.7279999999999998</v>
      </c>
      <c r="W408" s="320">
        <v>1</v>
      </c>
      <c r="X408" s="328">
        <f t="shared" si="158"/>
        <v>4.7279999999999998</v>
      </c>
      <c r="Y408" s="464">
        <v>1</v>
      </c>
      <c r="Z408" s="328">
        <f t="shared" si="159"/>
        <v>4.7279999999999998</v>
      </c>
      <c r="AB408" s="458">
        <f t="shared" si="160"/>
        <v>1.1579999999999999</v>
      </c>
      <c r="AC408" s="348">
        <f t="shared" si="161"/>
        <v>1.1579999999999999</v>
      </c>
    </row>
    <row r="409" spans="1:29">
      <c r="A409" s="318"/>
      <c r="B409" s="319"/>
      <c r="C409" s="318"/>
      <c r="D409" s="318"/>
      <c r="E409" s="319"/>
      <c r="F409" s="336" t="s">
        <v>721</v>
      </c>
      <c r="G409" s="318" t="s">
        <v>1787</v>
      </c>
      <c r="H409" s="328">
        <v>3.4</v>
      </c>
      <c r="I409" s="318">
        <v>1</v>
      </c>
      <c r="J409" s="318">
        <f t="shared" si="153"/>
        <v>1</v>
      </c>
      <c r="K409" s="328">
        <f t="shared" si="154"/>
        <v>3.4</v>
      </c>
      <c r="L409" s="318"/>
      <c r="M409" s="318"/>
      <c r="N409" s="318">
        <v>1</v>
      </c>
      <c r="O409" s="621">
        <f t="shared" si="155"/>
        <v>3.4</v>
      </c>
      <c r="P409" s="755">
        <v>1</v>
      </c>
      <c r="Q409" s="755">
        <f t="shared" si="156"/>
        <v>0</v>
      </c>
      <c r="R409" s="341">
        <v>1</v>
      </c>
      <c r="S409" s="318">
        <f t="shared" si="162"/>
        <v>3.4</v>
      </c>
      <c r="T409" s="319"/>
      <c r="V409" s="328">
        <f>2.542+2.055</f>
        <v>4.5969999999999995</v>
      </c>
      <c r="W409" s="320">
        <v>1</v>
      </c>
      <c r="X409" s="328">
        <f t="shared" si="158"/>
        <v>4.5969999999999995</v>
      </c>
      <c r="Y409" s="464">
        <v>1</v>
      </c>
      <c r="Z409" s="328">
        <f t="shared" si="159"/>
        <v>4.5969999999999995</v>
      </c>
      <c r="AB409" s="458">
        <f t="shared" si="160"/>
        <v>1.1969999999999996</v>
      </c>
      <c r="AC409" s="348">
        <f t="shared" si="161"/>
        <v>1.1969999999999996</v>
      </c>
    </row>
    <row r="410" spans="1:29">
      <c r="A410" s="318"/>
      <c r="B410" s="319"/>
      <c r="C410" s="318"/>
      <c r="D410" s="318"/>
      <c r="E410" s="319"/>
      <c r="F410" s="336"/>
      <c r="G410" s="318" t="s">
        <v>1788</v>
      </c>
      <c r="H410" s="328">
        <v>2.5499999999999998</v>
      </c>
      <c r="I410" s="318">
        <v>1</v>
      </c>
      <c r="J410" s="318">
        <f t="shared" si="153"/>
        <v>1</v>
      </c>
      <c r="K410" s="328">
        <f t="shared" si="154"/>
        <v>2.5499999999999998</v>
      </c>
      <c r="L410" s="318">
        <v>1532</v>
      </c>
      <c r="M410" s="318">
        <v>130</v>
      </c>
      <c r="N410" s="318">
        <v>1</v>
      </c>
      <c r="O410" s="621">
        <f t="shared" si="155"/>
        <v>2.5499999999999998</v>
      </c>
      <c r="P410" s="755">
        <v>1</v>
      </c>
      <c r="Q410" s="755">
        <f t="shared" si="156"/>
        <v>0</v>
      </c>
      <c r="R410" s="341">
        <v>1</v>
      </c>
      <c r="S410" s="318">
        <f t="shared" si="162"/>
        <v>2.5499999999999998</v>
      </c>
      <c r="T410" s="319"/>
      <c r="V410" s="328">
        <v>2.5419999999999998</v>
      </c>
      <c r="W410" s="320">
        <v>1</v>
      </c>
      <c r="X410" s="328">
        <f t="shared" si="158"/>
        <v>2.5419999999999998</v>
      </c>
      <c r="Y410" s="464">
        <v>1</v>
      </c>
      <c r="Z410" s="328">
        <f t="shared" si="159"/>
        <v>2.5419999999999998</v>
      </c>
      <c r="AB410" s="458">
        <f t="shared" si="160"/>
        <v>-8.0000000000000071E-3</v>
      </c>
      <c r="AC410" s="348">
        <f t="shared" si="161"/>
        <v>-8.0000000000000071E-3</v>
      </c>
    </row>
    <row r="411" spans="1:29">
      <c r="A411" s="318"/>
      <c r="B411" s="319"/>
      <c r="C411" s="318"/>
      <c r="D411" s="318"/>
      <c r="E411" s="319"/>
      <c r="F411" s="336"/>
      <c r="G411" s="318" t="s">
        <v>1789</v>
      </c>
      <c r="H411" s="328">
        <v>4.49</v>
      </c>
      <c r="I411" s="318">
        <v>1</v>
      </c>
      <c r="J411" s="318">
        <f t="shared" si="153"/>
        <v>1</v>
      </c>
      <c r="K411" s="328">
        <f t="shared" si="154"/>
        <v>4.49</v>
      </c>
      <c r="L411" s="318">
        <v>1264</v>
      </c>
      <c r="M411" s="318" t="s">
        <v>220</v>
      </c>
      <c r="N411" s="318">
        <v>1</v>
      </c>
      <c r="O411" s="621">
        <f t="shared" si="155"/>
        <v>4.49</v>
      </c>
      <c r="P411" s="755">
        <v>1</v>
      </c>
      <c r="Q411" s="755">
        <f t="shared" si="156"/>
        <v>0</v>
      </c>
      <c r="R411" s="341">
        <v>1</v>
      </c>
      <c r="S411" s="318">
        <f t="shared" si="162"/>
        <v>4.49</v>
      </c>
      <c r="T411" s="389"/>
      <c r="V411" s="328">
        <f t="shared" ref="V411:V425" si="164">4.49</f>
        <v>4.49</v>
      </c>
      <c r="W411" s="320">
        <v>1</v>
      </c>
      <c r="X411" s="328">
        <f t="shared" si="158"/>
        <v>4.49</v>
      </c>
      <c r="Y411" s="464">
        <v>1</v>
      </c>
      <c r="Z411" s="328">
        <f t="shared" si="159"/>
        <v>4.49</v>
      </c>
      <c r="AB411" s="458">
        <f t="shared" si="160"/>
        <v>0</v>
      </c>
      <c r="AC411" s="348">
        <f t="shared" si="161"/>
        <v>0</v>
      </c>
    </row>
    <row r="412" spans="1:29">
      <c r="A412" s="318"/>
      <c r="B412" s="319"/>
      <c r="C412" s="318"/>
      <c r="D412" s="318"/>
      <c r="E412" s="319"/>
      <c r="F412" s="319"/>
      <c r="G412" s="318" t="s">
        <v>1790</v>
      </c>
      <c r="H412" s="328">
        <v>4.49</v>
      </c>
      <c r="I412" s="318">
        <v>1</v>
      </c>
      <c r="J412" s="318">
        <f t="shared" si="153"/>
        <v>1</v>
      </c>
      <c r="K412" s="328">
        <f t="shared" si="154"/>
        <v>4.49</v>
      </c>
      <c r="L412" s="318">
        <v>1264</v>
      </c>
      <c r="M412" s="318" t="s">
        <v>220</v>
      </c>
      <c r="N412" s="318">
        <v>1</v>
      </c>
      <c r="O412" s="621">
        <f t="shared" si="155"/>
        <v>4.49</v>
      </c>
      <c r="P412" s="755">
        <v>1</v>
      </c>
      <c r="Q412" s="755">
        <f t="shared" si="156"/>
        <v>0</v>
      </c>
      <c r="R412" s="341">
        <v>1</v>
      </c>
      <c r="S412" s="318">
        <f t="shared" si="162"/>
        <v>4.49</v>
      </c>
      <c r="T412" s="389"/>
      <c r="V412" s="328">
        <f t="shared" si="164"/>
        <v>4.49</v>
      </c>
      <c r="W412" s="320">
        <v>1</v>
      </c>
      <c r="X412" s="328">
        <f t="shared" si="158"/>
        <v>4.49</v>
      </c>
      <c r="Y412" s="464">
        <v>1</v>
      </c>
      <c r="Z412" s="328">
        <f t="shared" si="159"/>
        <v>4.49</v>
      </c>
      <c r="AB412" s="458">
        <f t="shared" si="160"/>
        <v>0</v>
      </c>
      <c r="AC412" s="348">
        <f t="shared" si="161"/>
        <v>0</v>
      </c>
    </row>
    <row r="413" spans="1:29">
      <c r="A413" s="318"/>
      <c r="B413" s="319"/>
      <c r="C413" s="318"/>
      <c r="D413" s="318"/>
      <c r="E413" s="319"/>
      <c r="F413" s="319"/>
      <c r="G413" s="318" t="s">
        <v>1791</v>
      </c>
      <c r="H413" s="328">
        <v>4.49</v>
      </c>
      <c r="I413" s="318">
        <v>1</v>
      </c>
      <c r="J413" s="318">
        <f t="shared" si="153"/>
        <v>1</v>
      </c>
      <c r="K413" s="328">
        <f t="shared" si="154"/>
        <v>4.49</v>
      </c>
      <c r="L413" s="318">
        <v>1264</v>
      </c>
      <c r="M413" s="318" t="s">
        <v>220</v>
      </c>
      <c r="N413" s="318">
        <v>1</v>
      </c>
      <c r="O413" s="621">
        <f t="shared" si="155"/>
        <v>4.49</v>
      </c>
      <c r="P413" s="755">
        <v>1</v>
      </c>
      <c r="Q413" s="755">
        <f t="shared" si="156"/>
        <v>0</v>
      </c>
      <c r="R413" s="341">
        <v>1</v>
      </c>
      <c r="S413" s="318">
        <f t="shared" si="162"/>
        <v>4.49</v>
      </c>
      <c r="T413" s="389"/>
      <c r="V413" s="328">
        <f t="shared" si="164"/>
        <v>4.49</v>
      </c>
      <c r="W413" s="320">
        <v>1</v>
      </c>
      <c r="X413" s="328">
        <f t="shared" si="158"/>
        <v>4.49</v>
      </c>
      <c r="Y413" s="464">
        <v>1</v>
      </c>
      <c r="Z413" s="328">
        <f t="shared" si="159"/>
        <v>4.49</v>
      </c>
      <c r="AB413" s="458">
        <f t="shared" si="160"/>
        <v>0</v>
      </c>
      <c r="AC413" s="348">
        <f t="shared" si="161"/>
        <v>0</v>
      </c>
    </row>
    <row r="414" spans="1:29">
      <c r="A414" s="318"/>
      <c r="B414" s="319"/>
      <c r="C414" s="318"/>
      <c r="D414" s="318"/>
      <c r="E414" s="319"/>
      <c r="F414" s="336"/>
      <c r="G414" s="318" t="s">
        <v>1792</v>
      </c>
      <c r="H414" s="328">
        <v>4.49</v>
      </c>
      <c r="I414" s="318">
        <v>1</v>
      </c>
      <c r="J414" s="318">
        <f t="shared" si="153"/>
        <v>1</v>
      </c>
      <c r="K414" s="328">
        <f t="shared" si="154"/>
        <v>4.49</v>
      </c>
      <c r="L414" s="318">
        <v>1264</v>
      </c>
      <c r="M414" s="318" t="s">
        <v>220</v>
      </c>
      <c r="N414" s="318">
        <v>1</v>
      </c>
      <c r="O414" s="621">
        <f t="shared" si="155"/>
        <v>4.49</v>
      </c>
      <c r="P414" s="755">
        <v>1</v>
      </c>
      <c r="Q414" s="755">
        <f t="shared" si="156"/>
        <v>0</v>
      </c>
      <c r="R414" s="341">
        <v>1</v>
      </c>
      <c r="S414" s="318">
        <f t="shared" si="162"/>
        <v>4.49</v>
      </c>
      <c r="T414" s="389"/>
      <c r="V414" s="328">
        <f t="shared" si="164"/>
        <v>4.49</v>
      </c>
      <c r="W414" s="320">
        <v>1</v>
      </c>
      <c r="X414" s="328">
        <f t="shared" si="158"/>
        <v>4.49</v>
      </c>
      <c r="Y414" s="464">
        <v>1</v>
      </c>
      <c r="Z414" s="328">
        <f t="shared" si="159"/>
        <v>4.49</v>
      </c>
      <c r="AB414" s="458">
        <f t="shared" si="160"/>
        <v>0</v>
      </c>
      <c r="AC414" s="348">
        <f t="shared" si="161"/>
        <v>0</v>
      </c>
    </row>
    <row r="415" spans="1:29" ht="14.4" customHeight="1">
      <c r="A415" s="318"/>
      <c r="B415" s="319"/>
      <c r="C415" s="318"/>
      <c r="D415" s="318"/>
      <c r="E415" s="319"/>
      <c r="F415" s="336"/>
      <c r="G415" s="318" t="s">
        <v>1793</v>
      </c>
      <c r="H415" s="328">
        <v>4.49</v>
      </c>
      <c r="I415" s="318">
        <v>1</v>
      </c>
      <c r="J415" s="318">
        <f t="shared" si="153"/>
        <v>1</v>
      </c>
      <c r="K415" s="328">
        <f t="shared" si="154"/>
        <v>4.49</v>
      </c>
      <c r="L415" s="318">
        <v>1264</v>
      </c>
      <c r="M415" s="318" t="s">
        <v>220</v>
      </c>
      <c r="N415" s="318">
        <v>1</v>
      </c>
      <c r="O415" s="621">
        <f t="shared" si="155"/>
        <v>4.49</v>
      </c>
      <c r="P415" s="755">
        <v>1</v>
      </c>
      <c r="Q415" s="755">
        <f t="shared" si="156"/>
        <v>0</v>
      </c>
      <c r="R415" s="341">
        <v>1</v>
      </c>
      <c r="S415" s="318">
        <f t="shared" si="162"/>
        <v>4.49</v>
      </c>
      <c r="T415" s="388"/>
      <c r="V415" s="328">
        <f t="shared" si="164"/>
        <v>4.49</v>
      </c>
      <c r="W415" s="320">
        <v>1</v>
      </c>
      <c r="X415" s="328">
        <f t="shared" si="158"/>
        <v>4.49</v>
      </c>
      <c r="Y415" s="464">
        <v>1</v>
      </c>
      <c r="Z415" s="328">
        <f t="shared" si="159"/>
        <v>4.49</v>
      </c>
      <c r="AB415" s="458">
        <f t="shared" si="160"/>
        <v>0</v>
      </c>
      <c r="AC415" s="348">
        <f t="shared" si="161"/>
        <v>0</v>
      </c>
    </row>
    <row r="416" spans="1:29">
      <c r="A416" s="318"/>
      <c r="B416" s="319"/>
      <c r="C416" s="318"/>
      <c r="D416" s="318"/>
      <c r="E416" s="319"/>
      <c r="F416" s="336"/>
      <c r="G416" s="318" t="s">
        <v>1794</v>
      </c>
      <c r="H416" s="328">
        <v>4.49</v>
      </c>
      <c r="I416" s="318">
        <v>1</v>
      </c>
      <c r="J416" s="318">
        <f t="shared" si="153"/>
        <v>1</v>
      </c>
      <c r="K416" s="328">
        <f t="shared" si="154"/>
        <v>4.49</v>
      </c>
      <c r="L416" s="318" t="s">
        <v>221</v>
      </c>
      <c r="M416" s="318" t="s">
        <v>222</v>
      </c>
      <c r="N416" s="318">
        <v>1</v>
      </c>
      <c r="O416" s="621">
        <f t="shared" si="155"/>
        <v>4.49</v>
      </c>
      <c r="P416" s="755">
        <v>1</v>
      </c>
      <c r="Q416" s="755">
        <f t="shared" si="156"/>
        <v>0</v>
      </c>
      <c r="R416" s="341">
        <v>1</v>
      </c>
      <c r="S416" s="318">
        <f t="shared" si="162"/>
        <v>4.49</v>
      </c>
      <c r="T416" s="389"/>
      <c r="V416" s="328">
        <f t="shared" si="164"/>
        <v>4.49</v>
      </c>
      <c r="W416" s="320">
        <v>1</v>
      </c>
      <c r="X416" s="328">
        <f t="shared" si="158"/>
        <v>4.49</v>
      </c>
      <c r="Y416" s="464">
        <v>1</v>
      </c>
      <c r="Z416" s="328">
        <f t="shared" si="159"/>
        <v>4.49</v>
      </c>
      <c r="AB416" s="458">
        <f t="shared" si="160"/>
        <v>0</v>
      </c>
      <c r="AC416" s="348">
        <f t="shared" si="161"/>
        <v>0</v>
      </c>
    </row>
    <row r="417" spans="1:29">
      <c r="A417" s="318"/>
      <c r="B417" s="319"/>
      <c r="C417" s="318"/>
      <c r="D417" s="318"/>
      <c r="E417" s="319"/>
      <c r="F417" s="336"/>
      <c r="G417" s="318" t="s">
        <v>1795</v>
      </c>
      <c r="H417" s="328">
        <v>4.49</v>
      </c>
      <c r="I417" s="318">
        <v>1</v>
      </c>
      <c r="J417" s="318">
        <f t="shared" si="153"/>
        <v>1</v>
      </c>
      <c r="K417" s="328">
        <f t="shared" si="154"/>
        <v>4.49</v>
      </c>
      <c r="L417" s="318" t="s">
        <v>221</v>
      </c>
      <c r="M417" s="318" t="s">
        <v>222</v>
      </c>
      <c r="N417" s="318">
        <v>1</v>
      </c>
      <c r="O417" s="621">
        <f t="shared" si="155"/>
        <v>4.49</v>
      </c>
      <c r="P417" s="755">
        <v>1</v>
      </c>
      <c r="Q417" s="755">
        <f t="shared" si="156"/>
        <v>0</v>
      </c>
      <c r="R417" s="341">
        <v>1</v>
      </c>
      <c r="S417" s="318">
        <f t="shared" si="162"/>
        <v>4.49</v>
      </c>
      <c r="T417" s="389"/>
      <c r="V417" s="328">
        <f t="shared" si="164"/>
        <v>4.49</v>
      </c>
      <c r="W417" s="320">
        <v>1</v>
      </c>
      <c r="X417" s="328">
        <f t="shared" si="158"/>
        <v>4.49</v>
      </c>
      <c r="Y417" s="464">
        <v>1</v>
      </c>
      <c r="Z417" s="328">
        <f t="shared" si="159"/>
        <v>4.49</v>
      </c>
      <c r="AB417" s="458">
        <f t="shared" si="160"/>
        <v>0</v>
      </c>
      <c r="AC417" s="348">
        <f t="shared" si="161"/>
        <v>0</v>
      </c>
    </row>
    <row r="418" spans="1:29">
      <c r="A418" s="318"/>
      <c r="B418" s="319"/>
      <c r="C418" s="318"/>
      <c r="D418" s="318"/>
      <c r="E418" s="319"/>
      <c r="F418" s="319"/>
      <c r="G418" s="318" t="s">
        <v>1796</v>
      </c>
      <c r="H418" s="328">
        <v>4.49</v>
      </c>
      <c r="I418" s="318">
        <v>1</v>
      </c>
      <c r="J418" s="318">
        <f t="shared" si="153"/>
        <v>1</v>
      </c>
      <c r="K418" s="328">
        <f t="shared" si="154"/>
        <v>4.49</v>
      </c>
      <c r="L418" s="318" t="s">
        <v>221</v>
      </c>
      <c r="M418" s="318" t="s">
        <v>222</v>
      </c>
      <c r="N418" s="318">
        <v>1</v>
      </c>
      <c r="O418" s="621">
        <f t="shared" si="155"/>
        <v>4.49</v>
      </c>
      <c r="P418" s="755">
        <v>1</v>
      </c>
      <c r="Q418" s="755">
        <f t="shared" si="156"/>
        <v>0</v>
      </c>
      <c r="R418" s="341">
        <v>1</v>
      </c>
      <c r="S418" s="318">
        <f t="shared" si="162"/>
        <v>4.49</v>
      </c>
      <c r="T418" s="389"/>
      <c r="V418" s="328">
        <f t="shared" si="164"/>
        <v>4.49</v>
      </c>
      <c r="W418" s="320">
        <v>1</v>
      </c>
      <c r="X418" s="328">
        <f t="shared" si="158"/>
        <v>4.49</v>
      </c>
      <c r="Y418" s="464">
        <v>1</v>
      </c>
      <c r="Z418" s="328">
        <f t="shared" si="159"/>
        <v>4.49</v>
      </c>
      <c r="AB418" s="458">
        <f t="shared" si="160"/>
        <v>0</v>
      </c>
      <c r="AC418" s="348">
        <f t="shared" si="161"/>
        <v>0</v>
      </c>
    </row>
    <row r="419" spans="1:29" ht="20.399999999999999">
      <c r="A419" s="318"/>
      <c r="B419" s="319"/>
      <c r="C419" s="318"/>
      <c r="D419" s="318"/>
      <c r="E419" s="319"/>
      <c r="F419" s="336" t="s">
        <v>604</v>
      </c>
      <c r="G419" s="318" t="s">
        <v>1797</v>
      </c>
      <c r="H419" s="328">
        <v>4.72</v>
      </c>
      <c r="I419" s="318">
        <v>1</v>
      </c>
      <c r="J419" s="318">
        <f t="shared" si="153"/>
        <v>1</v>
      </c>
      <c r="K419" s="328">
        <f t="shared" si="154"/>
        <v>4.72</v>
      </c>
      <c r="L419" s="350" t="s">
        <v>3166</v>
      </c>
      <c r="M419" s="318">
        <v>244</v>
      </c>
      <c r="N419" s="318">
        <v>1</v>
      </c>
      <c r="O419" s="621">
        <f t="shared" si="155"/>
        <v>4.72</v>
      </c>
      <c r="P419" s="755">
        <v>1</v>
      </c>
      <c r="Q419" s="755">
        <f t="shared" si="156"/>
        <v>0</v>
      </c>
      <c r="R419" s="341">
        <v>1</v>
      </c>
      <c r="S419" s="318">
        <f t="shared" si="162"/>
        <v>4.72</v>
      </c>
      <c r="T419" s="389" t="s">
        <v>3437</v>
      </c>
      <c r="V419" s="328">
        <f t="shared" si="164"/>
        <v>4.49</v>
      </c>
      <c r="W419" s="458"/>
      <c r="X419" s="328">
        <f t="shared" si="158"/>
        <v>0</v>
      </c>
      <c r="Y419" s="320"/>
      <c r="Z419" s="328">
        <f t="shared" si="159"/>
        <v>0</v>
      </c>
      <c r="AB419" s="458">
        <f t="shared" si="160"/>
        <v>-4.72</v>
      </c>
      <c r="AC419" s="348">
        <f t="shared" si="161"/>
        <v>-4.72</v>
      </c>
    </row>
    <row r="420" spans="1:29">
      <c r="A420" s="584"/>
      <c r="B420" s="585"/>
      <c r="C420" s="584"/>
      <c r="D420" s="584"/>
      <c r="E420" s="585"/>
      <c r="F420" s="585" t="s">
        <v>384</v>
      </c>
      <c r="G420" s="584" t="s">
        <v>418</v>
      </c>
      <c r="H420" s="587"/>
      <c r="I420" s="584"/>
      <c r="J420" s="584"/>
      <c r="K420" s="584"/>
      <c r="L420" s="584"/>
      <c r="M420" s="584"/>
      <c r="N420" s="584"/>
      <c r="O420" s="634" t="s">
        <v>2321</v>
      </c>
      <c r="P420" s="763"/>
      <c r="Q420" s="763"/>
      <c r="R420" s="584"/>
      <c r="S420" s="588" t="s">
        <v>2321</v>
      </c>
      <c r="T420" s="1035" t="s">
        <v>1456</v>
      </c>
      <c r="V420" s="328"/>
      <c r="W420" s="318"/>
      <c r="X420" s="387" t="s">
        <v>2321</v>
      </c>
      <c r="Y420" s="318"/>
      <c r="Z420" s="387" t="s">
        <v>2321</v>
      </c>
      <c r="AB420" s="348"/>
      <c r="AC420" s="384"/>
    </row>
    <row r="421" spans="1:29">
      <c r="A421" s="584"/>
      <c r="B421" s="585"/>
      <c r="C421" s="584"/>
      <c r="D421" s="584"/>
      <c r="E421" s="585"/>
      <c r="F421" s="585" t="s">
        <v>384</v>
      </c>
      <c r="G421" s="584" t="s">
        <v>419</v>
      </c>
      <c r="H421" s="587"/>
      <c r="I421" s="584"/>
      <c r="J421" s="584"/>
      <c r="K421" s="584"/>
      <c r="L421" s="584"/>
      <c r="M421" s="584"/>
      <c r="N421" s="584"/>
      <c r="O421" s="634" t="s">
        <v>2321</v>
      </c>
      <c r="P421" s="763"/>
      <c r="Q421" s="763"/>
      <c r="R421" s="584"/>
      <c r="S421" s="588" t="s">
        <v>2321</v>
      </c>
      <c r="T421" s="1035"/>
      <c r="V421" s="328"/>
      <c r="W421" s="318"/>
      <c r="X421" s="387" t="s">
        <v>2321</v>
      </c>
      <c r="Y421" s="318"/>
      <c r="Z421" s="387" t="s">
        <v>2321</v>
      </c>
      <c r="AB421" s="348"/>
      <c r="AC421" s="384"/>
    </row>
    <row r="422" spans="1:29">
      <c r="A422" s="584"/>
      <c r="B422" s="585"/>
      <c r="C422" s="584"/>
      <c r="D422" s="584"/>
      <c r="E422" s="585"/>
      <c r="F422" s="585" t="s">
        <v>384</v>
      </c>
      <c r="G422" s="584" t="s">
        <v>420</v>
      </c>
      <c r="H422" s="587"/>
      <c r="I422" s="584"/>
      <c r="J422" s="584"/>
      <c r="K422" s="584"/>
      <c r="L422" s="584"/>
      <c r="M422" s="584"/>
      <c r="N422" s="584"/>
      <c r="O422" s="634" t="s">
        <v>2321</v>
      </c>
      <c r="P422" s="763"/>
      <c r="Q422" s="763"/>
      <c r="R422" s="584"/>
      <c r="S422" s="588" t="s">
        <v>2321</v>
      </c>
      <c r="T422" s="1035"/>
      <c r="V422" s="328"/>
      <c r="W422" s="318"/>
      <c r="X422" s="387" t="s">
        <v>2321</v>
      </c>
      <c r="Y422" s="318"/>
      <c r="Z422" s="387" t="s">
        <v>2321</v>
      </c>
      <c r="AB422" s="348"/>
      <c r="AC422" s="384"/>
    </row>
    <row r="423" spans="1:29" ht="15" thickBot="1">
      <c r="A423" s="584"/>
      <c r="B423" s="585"/>
      <c r="C423" s="584"/>
      <c r="D423" s="584"/>
      <c r="E423" s="585"/>
      <c r="F423" s="585" t="s">
        <v>384</v>
      </c>
      <c r="G423" s="584" t="s">
        <v>421</v>
      </c>
      <c r="H423" s="587"/>
      <c r="I423" s="584"/>
      <c r="J423" s="584"/>
      <c r="K423" s="584"/>
      <c r="L423" s="584"/>
      <c r="M423" s="584"/>
      <c r="N423" s="584"/>
      <c r="O423" s="634" t="s">
        <v>2321</v>
      </c>
      <c r="P423" s="763"/>
      <c r="Q423" s="763"/>
      <c r="R423" s="628"/>
      <c r="S423" s="588" t="s">
        <v>2321</v>
      </c>
      <c r="T423" s="1035"/>
      <c r="V423" s="328"/>
      <c r="W423" s="318"/>
      <c r="X423" s="387" t="s">
        <v>2321</v>
      </c>
      <c r="Y423" s="318"/>
      <c r="Z423" s="387" t="s">
        <v>2321</v>
      </c>
      <c r="AB423" s="348"/>
      <c r="AC423" s="384"/>
    </row>
    <row r="424" spans="1:29" ht="21.6" thickTop="1" thickBot="1">
      <c r="A424" s="318"/>
      <c r="B424" s="319"/>
      <c r="C424" s="318"/>
      <c r="D424" s="318"/>
      <c r="E424" s="319"/>
      <c r="F424" s="336" t="s">
        <v>604</v>
      </c>
      <c r="G424" s="318" t="s">
        <v>1798</v>
      </c>
      <c r="H424" s="328">
        <v>4.72</v>
      </c>
      <c r="I424" s="318">
        <v>1</v>
      </c>
      <c r="J424" s="318">
        <f>IF(N424&gt;0,1,0)</f>
        <v>1</v>
      </c>
      <c r="K424" s="328">
        <f>H424*J424</f>
        <v>4.72</v>
      </c>
      <c r="L424" s="350" t="s">
        <v>3167</v>
      </c>
      <c r="M424" s="318">
        <v>240</v>
      </c>
      <c r="N424" s="318">
        <v>1</v>
      </c>
      <c r="O424" s="621">
        <f>H424*N424</f>
        <v>4.72</v>
      </c>
      <c r="P424" s="755"/>
      <c r="Q424" s="764"/>
      <c r="R424" s="627"/>
      <c r="S424" s="622">
        <f>H424*R424</f>
        <v>0</v>
      </c>
      <c r="T424" s="389" t="s">
        <v>3437</v>
      </c>
      <c r="V424" s="328">
        <f t="shared" si="164"/>
        <v>4.49</v>
      </c>
      <c r="W424" s="320"/>
      <c r="X424" s="328">
        <f>V424*W424</f>
        <v>0</v>
      </c>
      <c r="Y424" s="320"/>
      <c r="Z424" s="328">
        <f>V424*Y424</f>
        <v>0</v>
      </c>
      <c r="AB424" s="458">
        <f>X424-O424</f>
        <v>-4.72</v>
      </c>
      <c r="AC424" s="348">
        <f>Z424-S424</f>
        <v>0</v>
      </c>
    </row>
    <row r="425" spans="1:29" ht="15" thickTop="1">
      <c r="A425" s="318"/>
      <c r="B425" s="319"/>
      <c r="C425" s="318"/>
      <c r="D425" s="318"/>
      <c r="E425" s="319"/>
      <c r="F425" s="336"/>
      <c r="G425" s="318" t="s">
        <v>1799</v>
      </c>
      <c r="H425" s="328">
        <v>4.49</v>
      </c>
      <c r="I425" s="318">
        <v>1</v>
      </c>
      <c r="J425" s="318">
        <f>IF(N425&gt;0,1,0)</f>
        <v>1</v>
      </c>
      <c r="K425" s="328">
        <f>H425*J425</f>
        <v>4.49</v>
      </c>
      <c r="L425" s="318" t="s">
        <v>221</v>
      </c>
      <c r="M425" s="318" t="s">
        <v>222</v>
      </c>
      <c r="N425" s="318">
        <v>1</v>
      </c>
      <c r="O425" s="621">
        <f>H425*N425</f>
        <v>4.49</v>
      </c>
      <c r="P425" s="755">
        <v>1</v>
      </c>
      <c r="Q425" s="755">
        <f t="shared" ref="Q425:Q426" si="165">R425-P425</f>
        <v>0</v>
      </c>
      <c r="R425" s="341">
        <v>1</v>
      </c>
      <c r="S425" s="318">
        <f t="shared" ref="S425:S426" si="166">H425*R425</f>
        <v>4.49</v>
      </c>
      <c r="T425" s="319"/>
      <c r="V425" s="328">
        <f t="shared" si="164"/>
        <v>4.49</v>
      </c>
      <c r="W425" s="320">
        <v>1</v>
      </c>
      <c r="X425" s="328">
        <f>V425*W425</f>
        <v>4.49</v>
      </c>
      <c r="Y425" s="464">
        <v>1</v>
      </c>
      <c r="Z425" s="328">
        <f>V425*Y425</f>
        <v>4.49</v>
      </c>
      <c r="AB425" s="458">
        <f>X425-O425</f>
        <v>0</v>
      </c>
      <c r="AC425" s="348">
        <f>Z425-S425</f>
        <v>0</v>
      </c>
    </row>
    <row r="426" spans="1:29">
      <c r="A426" s="318"/>
      <c r="B426" s="319"/>
      <c r="C426" s="318"/>
      <c r="D426" s="318"/>
      <c r="E426" s="319"/>
      <c r="F426" s="336" t="s">
        <v>696</v>
      </c>
      <c r="G426" s="318" t="s">
        <v>1800</v>
      </c>
      <c r="H426" s="328">
        <v>2.58</v>
      </c>
      <c r="I426" s="318">
        <v>1</v>
      </c>
      <c r="J426" s="318">
        <f>IF(N426&gt;0,1,0)</f>
        <v>1</v>
      </c>
      <c r="K426" s="328">
        <f>H426*J426</f>
        <v>2.58</v>
      </c>
      <c r="L426" s="318">
        <v>1734</v>
      </c>
      <c r="M426" s="318">
        <v>160</v>
      </c>
      <c r="N426" s="318">
        <v>1</v>
      </c>
      <c r="O426" s="621">
        <f>H426*N426</f>
        <v>2.58</v>
      </c>
      <c r="P426" s="755">
        <v>1</v>
      </c>
      <c r="Q426" s="755">
        <f t="shared" si="165"/>
        <v>0</v>
      </c>
      <c r="R426" s="341">
        <v>1</v>
      </c>
      <c r="S426" s="318">
        <f t="shared" si="166"/>
        <v>2.58</v>
      </c>
      <c r="T426" s="319"/>
      <c r="V426" s="328">
        <f>1.15+2.055</f>
        <v>3.2050000000000001</v>
      </c>
      <c r="W426" s="320">
        <v>1</v>
      </c>
      <c r="X426" s="328">
        <f>V426*W426</f>
        <v>3.2050000000000001</v>
      </c>
      <c r="Y426" s="464">
        <v>1</v>
      </c>
      <c r="Z426" s="328">
        <f>V426*Y426</f>
        <v>3.2050000000000001</v>
      </c>
      <c r="AB426" s="458">
        <f>X426-O426</f>
        <v>0.625</v>
      </c>
      <c r="AC426" s="348">
        <f>Z426-S426</f>
        <v>0.625</v>
      </c>
    </row>
    <row r="427" spans="1:29">
      <c r="A427" s="318"/>
      <c r="B427" s="319"/>
      <c r="C427" s="318"/>
      <c r="D427" s="318"/>
      <c r="E427" s="319"/>
      <c r="F427" s="319"/>
      <c r="G427" s="318"/>
      <c r="H427" s="318"/>
      <c r="I427" s="318"/>
      <c r="J427" s="382" t="s">
        <v>389</v>
      </c>
      <c r="K427" s="338">
        <f>SUM(K392:K426)</f>
        <v>130.06999999999996</v>
      </c>
      <c r="L427" s="318"/>
      <c r="M427" s="318"/>
      <c r="N427" s="382" t="s">
        <v>389</v>
      </c>
      <c r="O427" s="759">
        <f>SUM(O392:O426)</f>
        <v>130.06999999999996</v>
      </c>
      <c r="P427" s="751" t="s">
        <v>389</v>
      </c>
      <c r="Q427" s="751"/>
      <c r="R427" s="382"/>
      <c r="S427" s="338">
        <f>SUM(S392:S426)</f>
        <v>125.34999999999997</v>
      </c>
      <c r="T427" s="319"/>
      <c r="V427" s="318"/>
      <c r="W427" s="321" t="s">
        <v>389</v>
      </c>
      <c r="X427" s="338">
        <f>SUM(X392:X426)</f>
        <v>123.61999999999996</v>
      </c>
      <c r="Y427" s="321" t="s">
        <v>389</v>
      </c>
      <c r="Z427" s="338">
        <f>SUM(Z392:Z426)</f>
        <v>123.61999999999996</v>
      </c>
      <c r="AB427" s="338"/>
      <c r="AC427" s="338"/>
    </row>
    <row r="428" spans="1:29" ht="6.75" customHeight="1">
      <c r="A428" s="316"/>
      <c r="B428" s="317"/>
      <c r="C428" s="316"/>
      <c r="D428" s="316"/>
      <c r="E428" s="317"/>
      <c r="F428" s="317"/>
      <c r="G428" s="316"/>
      <c r="H428" s="316"/>
      <c r="I428" s="316"/>
      <c r="J428" s="316"/>
      <c r="K428" s="316"/>
      <c r="L428" s="316"/>
      <c r="M428" s="316"/>
      <c r="N428" s="316"/>
      <c r="O428" s="749"/>
      <c r="P428" s="752"/>
      <c r="Q428" s="752"/>
      <c r="R428" s="316"/>
      <c r="S428" s="316"/>
      <c r="T428" s="317"/>
      <c r="V428" s="316"/>
      <c r="W428" s="316"/>
      <c r="X428" s="316"/>
      <c r="Y428" s="316"/>
      <c r="Z428" s="316"/>
      <c r="AB428" s="339"/>
      <c r="AC428" s="339"/>
    </row>
    <row r="429" spans="1:29">
      <c r="A429" s="318">
        <v>11</v>
      </c>
      <c r="B429" s="319" t="s">
        <v>383</v>
      </c>
      <c r="C429" s="318">
        <v>600</v>
      </c>
      <c r="D429" s="318">
        <v>17</v>
      </c>
      <c r="E429" s="319">
        <v>1</v>
      </c>
      <c r="F429" s="336"/>
      <c r="G429" s="318" t="s">
        <v>1801</v>
      </c>
      <c r="H429" s="328">
        <v>6.02</v>
      </c>
      <c r="I429" s="318">
        <v>1</v>
      </c>
      <c r="J429" s="318">
        <f t="shared" ref="J429:J480" si="167">IF(N429&gt;0,1,0)</f>
        <v>1</v>
      </c>
      <c r="K429" s="328">
        <f t="shared" ref="K429:K480" si="168">H429*J429</f>
        <v>6.02</v>
      </c>
      <c r="L429" s="318">
        <v>2011</v>
      </c>
      <c r="M429" s="318">
        <v>185</v>
      </c>
      <c r="N429" s="318">
        <v>1</v>
      </c>
      <c r="O429" s="621">
        <f t="shared" ref="O429:O480" si="169">H429*N429</f>
        <v>6.02</v>
      </c>
      <c r="P429" s="755">
        <v>1</v>
      </c>
      <c r="Q429" s="755">
        <f t="shared" ref="Q429:Q465" si="170">R429-P429</f>
        <v>0</v>
      </c>
      <c r="R429" s="341">
        <v>1</v>
      </c>
      <c r="S429" s="318">
        <f t="shared" ref="S429" si="171">H429*R429</f>
        <v>6.02</v>
      </c>
      <c r="T429" s="319"/>
      <c r="V429" s="328">
        <v>4.1550000000000002</v>
      </c>
      <c r="W429" s="320">
        <v>1</v>
      </c>
      <c r="X429" s="328">
        <f t="shared" ref="X429:X460" si="172">V429*W429</f>
        <v>4.1550000000000002</v>
      </c>
      <c r="Y429" s="320"/>
      <c r="Z429" s="328">
        <f t="shared" ref="Z429:Z460" si="173">V429*Y429</f>
        <v>0</v>
      </c>
      <c r="AB429" s="458">
        <f t="shared" ref="AB429:AB460" si="174">X429-O429</f>
        <v>-1.8649999999999993</v>
      </c>
      <c r="AC429" s="348">
        <f t="shared" ref="AC429:AC480" si="175">Z429-S429</f>
        <v>-6.02</v>
      </c>
    </row>
    <row r="430" spans="1:29">
      <c r="A430" s="318"/>
      <c r="B430" s="319"/>
      <c r="C430" s="318"/>
      <c r="D430" s="318"/>
      <c r="E430" s="319"/>
      <c r="F430" s="336"/>
      <c r="G430" s="318" t="s">
        <v>1802</v>
      </c>
      <c r="H430" s="328">
        <v>4.49</v>
      </c>
      <c r="I430" s="318">
        <v>1</v>
      </c>
      <c r="J430" s="318">
        <f t="shared" si="167"/>
        <v>1</v>
      </c>
      <c r="K430" s="328">
        <f t="shared" si="168"/>
        <v>4.49</v>
      </c>
      <c r="L430" s="318">
        <v>2011</v>
      </c>
      <c r="M430" s="318">
        <v>185</v>
      </c>
      <c r="N430" s="318">
        <v>1</v>
      </c>
      <c r="O430" s="621">
        <f t="shared" si="169"/>
        <v>4.49</v>
      </c>
      <c r="P430" s="755">
        <v>1</v>
      </c>
      <c r="Q430" s="755">
        <f t="shared" si="170"/>
        <v>0</v>
      </c>
      <c r="R430" s="341">
        <v>1</v>
      </c>
      <c r="S430" s="318">
        <f t="shared" ref="S430:S465" si="176">H430*R430</f>
        <v>4.49</v>
      </c>
      <c r="T430" s="319"/>
      <c r="V430" s="328">
        <f>4.49</f>
        <v>4.49</v>
      </c>
      <c r="W430" s="320"/>
      <c r="X430" s="328">
        <f t="shared" si="172"/>
        <v>0</v>
      </c>
      <c r="Y430" s="464"/>
      <c r="Z430" s="328">
        <f t="shared" si="173"/>
        <v>0</v>
      </c>
      <c r="AB430" s="458">
        <f t="shared" si="174"/>
        <v>-4.49</v>
      </c>
      <c r="AC430" s="348">
        <f t="shared" si="175"/>
        <v>-4.49</v>
      </c>
    </row>
    <row r="431" spans="1:29">
      <c r="A431" s="318"/>
      <c r="B431" s="319"/>
      <c r="C431" s="318"/>
      <c r="D431" s="318"/>
      <c r="E431" s="319"/>
      <c r="F431" s="319"/>
      <c r="G431" s="318" t="s">
        <v>1803</v>
      </c>
      <c r="H431" s="328">
        <v>4.49</v>
      </c>
      <c r="I431" s="318">
        <v>1</v>
      </c>
      <c r="J431" s="318">
        <f t="shared" si="167"/>
        <v>1</v>
      </c>
      <c r="K431" s="328">
        <f t="shared" si="168"/>
        <v>4.49</v>
      </c>
      <c r="L431" s="350" t="s">
        <v>2692</v>
      </c>
      <c r="M431" s="318">
        <v>168</v>
      </c>
      <c r="N431" s="318">
        <v>1</v>
      </c>
      <c r="O431" s="621">
        <f t="shared" si="169"/>
        <v>4.49</v>
      </c>
      <c r="P431" s="755">
        <v>1</v>
      </c>
      <c r="Q431" s="755">
        <f t="shared" si="170"/>
        <v>0</v>
      </c>
      <c r="R431" s="341">
        <v>1</v>
      </c>
      <c r="S431" s="318">
        <f t="shared" si="176"/>
        <v>4.49</v>
      </c>
      <c r="T431" s="319"/>
      <c r="V431" s="328">
        <f t="shared" ref="V431:V444" si="177">4.49</f>
        <v>4.49</v>
      </c>
      <c r="W431" s="320">
        <v>1</v>
      </c>
      <c r="X431" s="328">
        <f t="shared" si="172"/>
        <v>4.49</v>
      </c>
      <c r="Y431" s="464"/>
      <c r="Z431" s="328">
        <f t="shared" si="173"/>
        <v>0</v>
      </c>
      <c r="AB431" s="458">
        <f t="shared" si="174"/>
        <v>0</v>
      </c>
      <c r="AC431" s="348">
        <f t="shared" si="175"/>
        <v>-4.49</v>
      </c>
    </row>
    <row r="432" spans="1:29">
      <c r="A432" s="318"/>
      <c r="B432" s="319"/>
      <c r="C432" s="318"/>
      <c r="D432" s="318"/>
      <c r="E432" s="319"/>
      <c r="F432" s="319"/>
      <c r="G432" s="318" t="s">
        <v>1804</v>
      </c>
      <c r="H432" s="328">
        <v>4.49</v>
      </c>
      <c r="I432" s="318">
        <v>1</v>
      </c>
      <c r="J432" s="318">
        <f t="shared" si="167"/>
        <v>1</v>
      </c>
      <c r="K432" s="328">
        <f t="shared" si="168"/>
        <v>4.49</v>
      </c>
      <c r="L432" s="350" t="s">
        <v>2692</v>
      </c>
      <c r="M432" s="318">
        <v>168</v>
      </c>
      <c r="N432" s="318">
        <v>1</v>
      </c>
      <c r="O432" s="621">
        <f t="shared" si="169"/>
        <v>4.49</v>
      </c>
      <c r="P432" s="755">
        <v>1</v>
      </c>
      <c r="Q432" s="755">
        <f t="shared" si="170"/>
        <v>0</v>
      </c>
      <c r="R432" s="341">
        <v>1</v>
      </c>
      <c r="S432" s="318">
        <f t="shared" si="176"/>
        <v>4.49</v>
      </c>
      <c r="T432" s="319"/>
      <c r="V432" s="328">
        <f t="shared" si="177"/>
        <v>4.49</v>
      </c>
      <c r="W432" s="320">
        <v>1</v>
      </c>
      <c r="X432" s="328">
        <f t="shared" si="172"/>
        <v>4.49</v>
      </c>
      <c r="Y432" s="464"/>
      <c r="Z432" s="328">
        <f t="shared" si="173"/>
        <v>0</v>
      </c>
      <c r="AB432" s="458">
        <f t="shared" si="174"/>
        <v>0</v>
      </c>
      <c r="AC432" s="348">
        <f t="shared" si="175"/>
        <v>-4.49</v>
      </c>
    </row>
    <row r="433" spans="1:29">
      <c r="A433" s="318"/>
      <c r="B433" s="319"/>
      <c r="C433" s="318"/>
      <c r="D433" s="318"/>
      <c r="E433" s="319"/>
      <c r="F433" s="319"/>
      <c r="G433" s="318" t="s">
        <v>1805</v>
      </c>
      <c r="H433" s="328">
        <v>4.49</v>
      </c>
      <c r="I433" s="318">
        <v>1</v>
      </c>
      <c r="J433" s="318">
        <f t="shared" si="167"/>
        <v>1</v>
      </c>
      <c r="K433" s="328">
        <f t="shared" si="168"/>
        <v>4.49</v>
      </c>
      <c r="L433" s="350" t="s">
        <v>3815</v>
      </c>
      <c r="M433" s="349">
        <v>168324</v>
      </c>
      <c r="N433" s="318">
        <v>1</v>
      </c>
      <c r="O433" s="621">
        <f t="shared" si="169"/>
        <v>4.49</v>
      </c>
      <c r="P433" s="755">
        <v>1</v>
      </c>
      <c r="Q433" s="755">
        <f t="shared" si="170"/>
        <v>0</v>
      </c>
      <c r="R433" s="341">
        <v>1</v>
      </c>
      <c r="S433" s="318">
        <f t="shared" si="176"/>
        <v>4.49</v>
      </c>
      <c r="T433" s="319"/>
      <c r="V433" s="328">
        <f t="shared" si="177"/>
        <v>4.49</v>
      </c>
      <c r="W433" s="320">
        <v>1</v>
      </c>
      <c r="X433" s="328">
        <f t="shared" si="172"/>
        <v>4.49</v>
      </c>
      <c r="Y433" s="464"/>
      <c r="Z433" s="328">
        <f t="shared" si="173"/>
        <v>0</v>
      </c>
      <c r="AB433" s="458">
        <f t="shared" si="174"/>
        <v>0</v>
      </c>
      <c r="AC433" s="348">
        <f t="shared" si="175"/>
        <v>-4.49</v>
      </c>
    </row>
    <row r="434" spans="1:29">
      <c r="A434" s="318"/>
      <c r="B434" s="319"/>
      <c r="C434" s="318"/>
      <c r="D434" s="318"/>
      <c r="E434" s="319"/>
      <c r="F434" s="319"/>
      <c r="G434" s="318" t="s">
        <v>1806</v>
      </c>
      <c r="H434" s="328">
        <v>4.49</v>
      </c>
      <c r="I434" s="318">
        <v>1</v>
      </c>
      <c r="J434" s="318">
        <f t="shared" si="167"/>
        <v>1</v>
      </c>
      <c r="K434" s="328">
        <f t="shared" si="168"/>
        <v>4.49</v>
      </c>
      <c r="L434" s="350" t="s">
        <v>3815</v>
      </c>
      <c r="M434" s="349">
        <v>168324</v>
      </c>
      <c r="N434" s="318">
        <v>1</v>
      </c>
      <c r="O434" s="621">
        <f t="shared" si="169"/>
        <v>4.49</v>
      </c>
      <c r="P434" s="755">
        <v>1</v>
      </c>
      <c r="Q434" s="755">
        <f t="shared" si="170"/>
        <v>0</v>
      </c>
      <c r="R434" s="341">
        <v>1</v>
      </c>
      <c r="S434" s="318">
        <f t="shared" si="176"/>
        <v>4.49</v>
      </c>
      <c r="T434" s="319"/>
      <c r="V434" s="328">
        <f t="shared" si="177"/>
        <v>4.49</v>
      </c>
      <c r="W434" s="320">
        <v>1</v>
      </c>
      <c r="X434" s="328">
        <f t="shared" si="172"/>
        <v>4.49</v>
      </c>
      <c r="Y434" s="464"/>
      <c r="Z434" s="328">
        <f t="shared" si="173"/>
        <v>0</v>
      </c>
      <c r="AB434" s="458">
        <f t="shared" si="174"/>
        <v>0</v>
      </c>
      <c r="AC434" s="348">
        <f t="shared" si="175"/>
        <v>-4.49</v>
      </c>
    </row>
    <row r="435" spans="1:29">
      <c r="A435" s="318"/>
      <c r="B435" s="319"/>
      <c r="C435" s="318"/>
      <c r="D435" s="318"/>
      <c r="E435" s="319"/>
      <c r="F435" s="319"/>
      <c r="G435" s="318" t="s">
        <v>1807</v>
      </c>
      <c r="H435" s="328">
        <v>4.49</v>
      </c>
      <c r="I435" s="318">
        <v>1</v>
      </c>
      <c r="J435" s="318">
        <f t="shared" si="167"/>
        <v>1</v>
      </c>
      <c r="K435" s="328">
        <f t="shared" si="168"/>
        <v>4.49</v>
      </c>
      <c r="L435" s="318">
        <v>1853</v>
      </c>
      <c r="M435" s="318">
        <v>168</v>
      </c>
      <c r="N435" s="318">
        <v>1</v>
      </c>
      <c r="O435" s="621">
        <f t="shared" si="169"/>
        <v>4.49</v>
      </c>
      <c r="P435" s="755">
        <v>1</v>
      </c>
      <c r="Q435" s="755">
        <f t="shared" si="170"/>
        <v>0</v>
      </c>
      <c r="R435" s="341">
        <v>1</v>
      </c>
      <c r="S435" s="318">
        <f t="shared" si="176"/>
        <v>4.49</v>
      </c>
      <c r="T435" s="319"/>
      <c r="V435" s="328">
        <f t="shared" si="177"/>
        <v>4.49</v>
      </c>
      <c r="W435" s="320">
        <v>1</v>
      </c>
      <c r="X435" s="328">
        <f t="shared" si="172"/>
        <v>4.49</v>
      </c>
      <c r="Y435" s="464"/>
      <c r="Z435" s="328">
        <f t="shared" si="173"/>
        <v>0</v>
      </c>
      <c r="AB435" s="458">
        <f t="shared" si="174"/>
        <v>0</v>
      </c>
      <c r="AC435" s="348">
        <f t="shared" si="175"/>
        <v>-4.49</v>
      </c>
    </row>
    <row r="436" spans="1:29">
      <c r="A436" s="318"/>
      <c r="B436" s="319"/>
      <c r="C436" s="318"/>
      <c r="D436" s="318"/>
      <c r="E436" s="319"/>
      <c r="F436" s="319"/>
      <c r="G436" s="318" t="s">
        <v>1808</v>
      </c>
      <c r="H436" s="328">
        <v>4.49</v>
      </c>
      <c r="I436" s="318">
        <v>1</v>
      </c>
      <c r="J436" s="318">
        <f t="shared" si="167"/>
        <v>1</v>
      </c>
      <c r="K436" s="328">
        <f t="shared" si="168"/>
        <v>4.49</v>
      </c>
      <c r="L436" s="318">
        <v>1853</v>
      </c>
      <c r="M436" s="318">
        <v>168</v>
      </c>
      <c r="N436" s="318">
        <v>1</v>
      </c>
      <c r="O436" s="621">
        <f t="shared" si="169"/>
        <v>4.49</v>
      </c>
      <c r="P436" s="755">
        <v>1</v>
      </c>
      <c r="Q436" s="755">
        <f t="shared" si="170"/>
        <v>0</v>
      </c>
      <c r="R436" s="341">
        <v>1</v>
      </c>
      <c r="S436" s="318">
        <f t="shared" si="176"/>
        <v>4.49</v>
      </c>
      <c r="T436" s="319"/>
      <c r="V436" s="328">
        <f t="shared" si="177"/>
        <v>4.49</v>
      </c>
      <c r="W436" s="320">
        <v>1</v>
      </c>
      <c r="X436" s="328">
        <f t="shared" si="172"/>
        <v>4.49</v>
      </c>
      <c r="Y436" s="464"/>
      <c r="Z436" s="328">
        <f t="shared" si="173"/>
        <v>0</v>
      </c>
      <c r="AB436" s="458">
        <f t="shared" si="174"/>
        <v>0</v>
      </c>
      <c r="AC436" s="348">
        <f t="shared" si="175"/>
        <v>-4.49</v>
      </c>
    </row>
    <row r="437" spans="1:29">
      <c r="A437" s="318"/>
      <c r="B437" s="319"/>
      <c r="C437" s="318"/>
      <c r="D437" s="318"/>
      <c r="E437" s="319"/>
      <c r="F437" s="319"/>
      <c r="G437" s="318" t="s">
        <v>1809</v>
      </c>
      <c r="H437" s="328">
        <v>4.49</v>
      </c>
      <c r="I437" s="318">
        <v>1</v>
      </c>
      <c r="J437" s="318">
        <f t="shared" si="167"/>
        <v>1</v>
      </c>
      <c r="K437" s="328">
        <f t="shared" si="168"/>
        <v>4.49</v>
      </c>
      <c r="L437" s="318">
        <v>1853</v>
      </c>
      <c r="M437" s="318">
        <v>168</v>
      </c>
      <c r="N437" s="318">
        <v>1</v>
      </c>
      <c r="O437" s="621">
        <f t="shared" si="169"/>
        <v>4.49</v>
      </c>
      <c r="P437" s="755">
        <v>1</v>
      </c>
      <c r="Q437" s="755">
        <f t="shared" si="170"/>
        <v>0</v>
      </c>
      <c r="R437" s="341">
        <v>1</v>
      </c>
      <c r="S437" s="318">
        <f t="shared" si="176"/>
        <v>4.49</v>
      </c>
      <c r="T437" s="319"/>
      <c r="V437" s="328">
        <f t="shared" si="177"/>
        <v>4.49</v>
      </c>
      <c r="W437" s="320">
        <v>1</v>
      </c>
      <c r="X437" s="328">
        <f t="shared" si="172"/>
        <v>4.49</v>
      </c>
      <c r="Y437" s="464"/>
      <c r="Z437" s="328">
        <f t="shared" si="173"/>
        <v>0</v>
      </c>
      <c r="AB437" s="458">
        <f t="shared" si="174"/>
        <v>0</v>
      </c>
      <c r="AC437" s="348">
        <f t="shared" si="175"/>
        <v>-4.49</v>
      </c>
    </row>
    <row r="438" spans="1:29">
      <c r="A438" s="318"/>
      <c r="B438" s="319"/>
      <c r="C438" s="318"/>
      <c r="D438" s="318"/>
      <c r="E438" s="319"/>
      <c r="F438" s="319"/>
      <c r="G438" s="318" t="s">
        <v>1810</v>
      </c>
      <c r="H438" s="328">
        <v>4.49</v>
      </c>
      <c r="I438" s="318">
        <v>1</v>
      </c>
      <c r="J438" s="318">
        <f t="shared" si="167"/>
        <v>1</v>
      </c>
      <c r="K438" s="328">
        <f t="shared" si="168"/>
        <v>4.49</v>
      </c>
      <c r="L438" s="318">
        <v>1853</v>
      </c>
      <c r="M438" s="318">
        <v>168</v>
      </c>
      <c r="N438" s="318">
        <v>1</v>
      </c>
      <c r="O438" s="621">
        <f t="shared" si="169"/>
        <v>4.49</v>
      </c>
      <c r="P438" s="755">
        <v>1</v>
      </c>
      <c r="Q438" s="755">
        <f t="shared" si="170"/>
        <v>0</v>
      </c>
      <c r="R438" s="341">
        <v>1</v>
      </c>
      <c r="S438" s="318">
        <f t="shared" si="176"/>
        <v>4.49</v>
      </c>
      <c r="T438" s="319"/>
      <c r="V438" s="328">
        <f t="shared" si="177"/>
        <v>4.49</v>
      </c>
      <c r="W438" s="320">
        <v>1</v>
      </c>
      <c r="X438" s="328">
        <f t="shared" si="172"/>
        <v>4.49</v>
      </c>
      <c r="Y438" s="464"/>
      <c r="Z438" s="328">
        <f t="shared" si="173"/>
        <v>0</v>
      </c>
      <c r="AB438" s="458">
        <f t="shared" si="174"/>
        <v>0</v>
      </c>
      <c r="AC438" s="348">
        <f t="shared" si="175"/>
        <v>-4.49</v>
      </c>
    </row>
    <row r="439" spans="1:29">
      <c r="A439" s="318"/>
      <c r="B439" s="319"/>
      <c r="C439" s="318"/>
      <c r="D439" s="318"/>
      <c r="E439" s="319"/>
      <c r="F439" s="319"/>
      <c r="G439" s="318" t="s">
        <v>1811</v>
      </c>
      <c r="H439" s="328">
        <v>4.49</v>
      </c>
      <c r="I439" s="318">
        <v>1</v>
      </c>
      <c r="J439" s="318">
        <f t="shared" si="167"/>
        <v>1</v>
      </c>
      <c r="K439" s="328">
        <f t="shared" si="168"/>
        <v>4.49</v>
      </c>
      <c r="L439" s="318">
        <v>1672</v>
      </c>
      <c r="M439" s="318">
        <v>152</v>
      </c>
      <c r="N439" s="318">
        <v>1</v>
      </c>
      <c r="O439" s="621">
        <f t="shared" si="169"/>
        <v>4.49</v>
      </c>
      <c r="P439" s="755">
        <v>1</v>
      </c>
      <c r="Q439" s="755">
        <f t="shared" si="170"/>
        <v>0</v>
      </c>
      <c r="R439" s="341">
        <v>1</v>
      </c>
      <c r="S439" s="318">
        <f t="shared" si="176"/>
        <v>4.49</v>
      </c>
      <c r="T439" s="319"/>
      <c r="V439" s="328">
        <f t="shared" si="177"/>
        <v>4.49</v>
      </c>
      <c r="W439" s="320">
        <v>1</v>
      </c>
      <c r="X439" s="328">
        <f t="shared" si="172"/>
        <v>4.49</v>
      </c>
      <c r="Y439" s="464">
        <v>1</v>
      </c>
      <c r="Z439" s="328">
        <f t="shared" si="173"/>
        <v>4.49</v>
      </c>
      <c r="AB439" s="458">
        <f t="shared" si="174"/>
        <v>0</v>
      </c>
      <c r="AC439" s="348">
        <f t="shared" si="175"/>
        <v>0</v>
      </c>
    </row>
    <row r="440" spans="1:29">
      <c r="A440" s="318"/>
      <c r="B440" s="319"/>
      <c r="C440" s="318"/>
      <c r="D440" s="318"/>
      <c r="E440" s="319"/>
      <c r="F440" s="319"/>
      <c r="G440" s="318" t="s">
        <v>1812</v>
      </c>
      <c r="H440" s="328">
        <v>4.49</v>
      </c>
      <c r="I440" s="318">
        <v>1</v>
      </c>
      <c r="J440" s="318">
        <f t="shared" si="167"/>
        <v>1</v>
      </c>
      <c r="K440" s="328">
        <f t="shared" si="168"/>
        <v>4.49</v>
      </c>
      <c r="L440" s="318">
        <v>1712</v>
      </c>
      <c r="M440" s="318">
        <v>159</v>
      </c>
      <c r="N440" s="318">
        <v>1</v>
      </c>
      <c r="O440" s="621">
        <f t="shared" si="169"/>
        <v>4.49</v>
      </c>
      <c r="P440" s="755">
        <v>1</v>
      </c>
      <c r="Q440" s="755">
        <f t="shared" si="170"/>
        <v>0</v>
      </c>
      <c r="R440" s="341">
        <v>1</v>
      </c>
      <c r="S440" s="318">
        <f t="shared" si="176"/>
        <v>4.49</v>
      </c>
      <c r="T440" s="319"/>
      <c r="V440" s="328">
        <f t="shared" si="177"/>
        <v>4.49</v>
      </c>
      <c r="W440" s="320">
        <v>1</v>
      </c>
      <c r="X440" s="328">
        <f t="shared" si="172"/>
        <v>4.49</v>
      </c>
      <c r="Y440" s="464">
        <v>1</v>
      </c>
      <c r="Z440" s="328">
        <f t="shared" si="173"/>
        <v>4.49</v>
      </c>
      <c r="AB440" s="458">
        <f t="shared" si="174"/>
        <v>0</v>
      </c>
      <c r="AC440" s="348">
        <f t="shared" si="175"/>
        <v>0</v>
      </c>
    </row>
    <row r="441" spans="1:29">
      <c r="A441" s="318"/>
      <c r="B441" s="319"/>
      <c r="C441" s="318"/>
      <c r="D441" s="318"/>
      <c r="E441" s="319"/>
      <c r="F441" s="319"/>
      <c r="G441" s="318" t="s">
        <v>1813</v>
      </c>
      <c r="H441" s="328">
        <v>4.49</v>
      </c>
      <c r="I441" s="318">
        <v>1</v>
      </c>
      <c r="J441" s="318">
        <f t="shared" si="167"/>
        <v>1</v>
      </c>
      <c r="K441" s="328">
        <f t="shared" si="168"/>
        <v>4.49</v>
      </c>
      <c r="L441" s="350" t="s">
        <v>2691</v>
      </c>
      <c r="M441" s="350" t="s">
        <v>2711</v>
      </c>
      <c r="N441" s="318">
        <v>1</v>
      </c>
      <c r="O441" s="621">
        <f t="shared" si="169"/>
        <v>4.49</v>
      </c>
      <c r="P441" s="755">
        <v>1</v>
      </c>
      <c r="Q441" s="755">
        <f t="shared" si="170"/>
        <v>0</v>
      </c>
      <c r="R441" s="341">
        <v>1</v>
      </c>
      <c r="S441" s="318">
        <f t="shared" si="176"/>
        <v>4.49</v>
      </c>
      <c r="T441" s="389"/>
      <c r="V441" s="328">
        <f t="shared" si="177"/>
        <v>4.49</v>
      </c>
      <c r="W441" s="320">
        <v>1</v>
      </c>
      <c r="X441" s="328">
        <f t="shared" si="172"/>
        <v>4.49</v>
      </c>
      <c r="Y441" s="464">
        <v>1</v>
      </c>
      <c r="Z441" s="328">
        <f t="shared" si="173"/>
        <v>4.49</v>
      </c>
      <c r="AB441" s="458">
        <f t="shared" si="174"/>
        <v>0</v>
      </c>
      <c r="AC441" s="348">
        <f t="shared" si="175"/>
        <v>0</v>
      </c>
    </row>
    <row r="442" spans="1:29">
      <c r="A442" s="318"/>
      <c r="B442" s="319"/>
      <c r="C442" s="318"/>
      <c r="D442" s="318"/>
      <c r="E442" s="319"/>
      <c r="F442" s="319"/>
      <c r="G442" s="318" t="s">
        <v>1814</v>
      </c>
      <c r="H442" s="328">
        <v>4.49</v>
      </c>
      <c r="I442" s="318">
        <v>1</v>
      </c>
      <c r="J442" s="318">
        <f t="shared" si="167"/>
        <v>1</v>
      </c>
      <c r="K442" s="328">
        <f t="shared" si="168"/>
        <v>4.49</v>
      </c>
      <c r="L442" s="318">
        <v>1706</v>
      </c>
      <c r="M442" s="318">
        <v>157</v>
      </c>
      <c r="N442" s="318">
        <v>1</v>
      </c>
      <c r="O442" s="621">
        <f t="shared" si="169"/>
        <v>4.49</v>
      </c>
      <c r="P442" s="755">
        <v>1</v>
      </c>
      <c r="Q442" s="755">
        <f t="shared" si="170"/>
        <v>0</v>
      </c>
      <c r="R442" s="341">
        <v>1</v>
      </c>
      <c r="S442" s="318">
        <f t="shared" si="176"/>
        <v>4.49</v>
      </c>
      <c r="T442" s="389"/>
      <c r="V442" s="328">
        <f t="shared" si="177"/>
        <v>4.49</v>
      </c>
      <c r="W442" s="320">
        <v>1</v>
      </c>
      <c r="X442" s="328">
        <f t="shared" si="172"/>
        <v>4.49</v>
      </c>
      <c r="Y442" s="464">
        <v>1</v>
      </c>
      <c r="Z442" s="328">
        <f t="shared" si="173"/>
        <v>4.49</v>
      </c>
      <c r="AB442" s="458">
        <f t="shared" si="174"/>
        <v>0</v>
      </c>
      <c r="AC442" s="348">
        <f t="shared" si="175"/>
        <v>0</v>
      </c>
    </row>
    <row r="443" spans="1:29">
      <c r="A443" s="318"/>
      <c r="B443" s="319"/>
      <c r="C443" s="318"/>
      <c r="D443" s="318"/>
      <c r="E443" s="319"/>
      <c r="F443" s="319"/>
      <c r="G443" s="318" t="s">
        <v>1815</v>
      </c>
      <c r="H443" s="328">
        <v>4.49</v>
      </c>
      <c r="I443" s="318">
        <v>1</v>
      </c>
      <c r="J443" s="318">
        <f t="shared" si="167"/>
        <v>1</v>
      </c>
      <c r="K443" s="328">
        <f t="shared" si="168"/>
        <v>4.49</v>
      </c>
      <c r="L443" s="318">
        <v>1706</v>
      </c>
      <c r="M443" s="318">
        <v>157</v>
      </c>
      <c r="N443" s="318">
        <v>1</v>
      </c>
      <c r="O443" s="621">
        <f t="shared" si="169"/>
        <v>4.49</v>
      </c>
      <c r="P443" s="755">
        <v>1</v>
      </c>
      <c r="Q443" s="755">
        <f t="shared" si="170"/>
        <v>0</v>
      </c>
      <c r="R443" s="341">
        <v>1</v>
      </c>
      <c r="S443" s="318">
        <f t="shared" si="176"/>
        <v>4.49</v>
      </c>
      <c r="T443" s="389"/>
      <c r="V443" s="328">
        <f t="shared" si="177"/>
        <v>4.49</v>
      </c>
      <c r="W443" s="320">
        <v>1</v>
      </c>
      <c r="X443" s="328">
        <f t="shared" si="172"/>
        <v>4.49</v>
      </c>
      <c r="Y443" s="464">
        <v>1</v>
      </c>
      <c r="Z443" s="328">
        <f t="shared" si="173"/>
        <v>4.49</v>
      </c>
      <c r="AB443" s="458">
        <f t="shared" si="174"/>
        <v>0</v>
      </c>
      <c r="AC443" s="348">
        <f t="shared" si="175"/>
        <v>0</v>
      </c>
    </row>
    <row r="444" spans="1:29">
      <c r="A444" s="318"/>
      <c r="B444" s="319"/>
      <c r="C444" s="318"/>
      <c r="D444" s="318"/>
      <c r="E444" s="319"/>
      <c r="F444" s="319"/>
      <c r="G444" s="318" t="s">
        <v>1816</v>
      </c>
      <c r="H444" s="328">
        <v>4.49</v>
      </c>
      <c r="I444" s="318">
        <v>1</v>
      </c>
      <c r="J444" s="318">
        <f t="shared" si="167"/>
        <v>1</v>
      </c>
      <c r="K444" s="328">
        <f t="shared" si="168"/>
        <v>4.49</v>
      </c>
      <c r="L444" s="350" t="s">
        <v>2691</v>
      </c>
      <c r="M444" s="350" t="s">
        <v>2711</v>
      </c>
      <c r="N444" s="318">
        <v>1</v>
      </c>
      <c r="O444" s="621">
        <f t="shared" si="169"/>
        <v>4.49</v>
      </c>
      <c r="P444" s="755">
        <v>1</v>
      </c>
      <c r="Q444" s="755">
        <f t="shared" si="170"/>
        <v>0</v>
      </c>
      <c r="R444" s="341">
        <v>1</v>
      </c>
      <c r="S444" s="318">
        <f t="shared" si="176"/>
        <v>4.49</v>
      </c>
      <c r="T444" s="389"/>
      <c r="V444" s="328">
        <f t="shared" si="177"/>
        <v>4.49</v>
      </c>
      <c r="W444" s="320">
        <v>1</v>
      </c>
      <c r="X444" s="328">
        <f t="shared" si="172"/>
        <v>4.49</v>
      </c>
      <c r="Y444" s="464">
        <v>1</v>
      </c>
      <c r="Z444" s="328">
        <f t="shared" si="173"/>
        <v>4.49</v>
      </c>
      <c r="AB444" s="458">
        <f t="shared" si="174"/>
        <v>0</v>
      </c>
      <c r="AC444" s="348">
        <f t="shared" si="175"/>
        <v>0</v>
      </c>
    </row>
    <row r="445" spans="1:29">
      <c r="A445" s="318"/>
      <c r="B445" s="319"/>
      <c r="C445" s="318"/>
      <c r="D445" s="318"/>
      <c r="E445" s="319"/>
      <c r="F445" s="336"/>
      <c r="G445" s="318" t="s">
        <v>1817</v>
      </c>
      <c r="H445" s="328">
        <v>4.3099999999999996</v>
      </c>
      <c r="I445" s="318">
        <v>1</v>
      </c>
      <c r="J445" s="318">
        <f t="shared" si="167"/>
        <v>1</v>
      </c>
      <c r="K445" s="328">
        <f t="shared" si="168"/>
        <v>4.3099999999999996</v>
      </c>
      <c r="L445" s="318">
        <v>1749</v>
      </c>
      <c r="M445" s="318">
        <v>161</v>
      </c>
      <c r="N445" s="318">
        <v>1</v>
      </c>
      <c r="O445" s="621">
        <f t="shared" si="169"/>
        <v>4.3099999999999996</v>
      </c>
      <c r="P445" s="755">
        <v>1</v>
      </c>
      <c r="Q445" s="755">
        <f t="shared" si="170"/>
        <v>0</v>
      </c>
      <c r="R445" s="341">
        <v>1</v>
      </c>
      <c r="S445" s="318">
        <f t="shared" si="176"/>
        <v>4.3099999999999996</v>
      </c>
      <c r="T445" s="389"/>
      <c r="V445" s="328">
        <v>4.2969999999999997</v>
      </c>
      <c r="W445" s="320">
        <v>1</v>
      </c>
      <c r="X445" s="328">
        <f t="shared" si="172"/>
        <v>4.2969999999999997</v>
      </c>
      <c r="Y445" s="464">
        <v>1</v>
      </c>
      <c r="Z445" s="328">
        <f t="shared" si="173"/>
        <v>4.2969999999999997</v>
      </c>
      <c r="AB445" s="458">
        <f t="shared" si="174"/>
        <v>-1.2999999999999901E-2</v>
      </c>
      <c r="AC445" s="348">
        <f t="shared" si="175"/>
        <v>-1.2999999999999901E-2</v>
      </c>
    </row>
    <row r="446" spans="1:29">
      <c r="A446" s="318"/>
      <c r="B446" s="319"/>
      <c r="C446" s="318"/>
      <c r="D446" s="318"/>
      <c r="E446" s="319"/>
      <c r="F446" s="336"/>
      <c r="G446" s="318" t="s">
        <v>1818</v>
      </c>
      <c r="H446" s="328">
        <v>4.3099999999999996</v>
      </c>
      <c r="I446" s="318">
        <v>1</v>
      </c>
      <c r="J446" s="318">
        <f t="shared" si="167"/>
        <v>1</v>
      </c>
      <c r="K446" s="328">
        <f t="shared" si="168"/>
        <v>4.3099999999999996</v>
      </c>
      <c r="L446" s="318">
        <v>1758</v>
      </c>
      <c r="M446" s="318">
        <v>161</v>
      </c>
      <c r="N446" s="318">
        <v>1</v>
      </c>
      <c r="O446" s="621">
        <f t="shared" si="169"/>
        <v>4.3099999999999996</v>
      </c>
      <c r="P446" s="755">
        <v>1</v>
      </c>
      <c r="Q446" s="755">
        <f t="shared" si="170"/>
        <v>0</v>
      </c>
      <c r="R446" s="341">
        <v>1</v>
      </c>
      <c r="S446" s="318">
        <f t="shared" si="176"/>
        <v>4.3099999999999996</v>
      </c>
      <c r="T446" s="389"/>
      <c r="V446" s="328">
        <v>4.2969999999999997</v>
      </c>
      <c r="W446" s="320">
        <v>1</v>
      </c>
      <c r="X446" s="328">
        <f t="shared" si="172"/>
        <v>4.2969999999999997</v>
      </c>
      <c r="Y446" s="464">
        <v>1</v>
      </c>
      <c r="Z446" s="328">
        <f t="shared" si="173"/>
        <v>4.2969999999999997</v>
      </c>
      <c r="AB446" s="458">
        <f t="shared" si="174"/>
        <v>-1.2999999999999901E-2</v>
      </c>
      <c r="AC446" s="348">
        <f t="shared" si="175"/>
        <v>-1.2999999999999901E-2</v>
      </c>
    </row>
    <row r="447" spans="1:29">
      <c r="A447" s="318"/>
      <c r="B447" s="319"/>
      <c r="C447" s="318"/>
      <c r="D447" s="318"/>
      <c r="E447" s="319"/>
      <c r="F447" s="336" t="s">
        <v>721</v>
      </c>
      <c r="G447" s="318" t="s">
        <v>1819</v>
      </c>
      <c r="H447" s="328">
        <v>2.4700000000000002</v>
      </c>
      <c r="I447" s="318">
        <v>1</v>
      </c>
      <c r="J447" s="318">
        <f t="shared" si="167"/>
        <v>1</v>
      </c>
      <c r="K447" s="328">
        <f t="shared" si="168"/>
        <v>2.4700000000000002</v>
      </c>
      <c r="L447" s="318">
        <v>1771</v>
      </c>
      <c r="M447" s="318">
        <v>162</v>
      </c>
      <c r="N447" s="318">
        <v>1</v>
      </c>
      <c r="O447" s="621">
        <f t="shared" si="169"/>
        <v>2.4700000000000002</v>
      </c>
      <c r="P447" s="755">
        <v>1</v>
      </c>
      <c r="Q447" s="755">
        <f t="shared" si="170"/>
        <v>0</v>
      </c>
      <c r="R447" s="341">
        <v>1</v>
      </c>
      <c r="S447" s="318">
        <f t="shared" si="176"/>
        <v>2.4700000000000002</v>
      </c>
      <c r="T447" s="389"/>
      <c r="V447" s="328">
        <v>2.4609999999999999</v>
      </c>
      <c r="W447" s="320">
        <v>1</v>
      </c>
      <c r="X447" s="328">
        <f t="shared" si="172"/>
        <v>2.4609999999999999</v>
      </c>
      <c r="Y447" s="464">
        <v>1</v>
      </c>
      <c r="Z447" s="328">
        <f t="shared" si="173"/>
        <v>2.4609999999999999</v>
      </c>
      <c r="AB447" s="458">
        <f t="shared" si="174"/>
        <v>-9.0000000000003411E-3</v>
      </c>
      <c r="AC447" s="348">
        <f t="shared" si="175"/>
        <v>-9.0000000000003411E-3</v>
      </c>
    </row>
    <row r="448" spans="1:29">
      <c r="A448" s="318"/>
      <c r="B448" s="319"/>
      <c r="C448" s="318"/>
      <c r="D448" s="318"/>
      <c r="E448" s="319"/>
      <c r="F448" s="336" t="s">
        <v>721</v>
      </c>
      <c r="G448" s="318" t="s">
        <v>1820</v>
      </c>
      <c r="H448" s="328">
        <v>3.45</v>
      </c>
      <c r="I448" s="318">
        <v>1</v>
      </c>
      <c r="J448" s="318">
        <f t="shared" si="167"/>
        <v>1</v>
      </c>
      <c r="K448" s="328">
        <f t="shared" si="168"/>
        <v>3.45</v>
      </c>
      <c r="L448" s="318">
        <v>1771</v>
      </c>
      <c r="M448" s="318">
        <v>162</v>
      </c>
      <c r="N448" s="318">
        <v>1</v>
      </c>
      <c r="O448" s="621">
        <f t="shared" si="169"/>
        <v>3.45</v>
      </c>
      <c r="P448" s="755">
        <v>1</v>
      </c>
      <c r="Q448" s="755">
        <f t="shared" si="170"/>
        <v>0</v>
      </c>
      <c r="R448" s="341">
        <v>1</v>
      </c>
      <c r="S448" s="318">
        <f t="shared" si="176"/>
        <v>3.45</v>
      </c>
      <c r="T448" s="389"/>
      <c r="V448" s="328">
        <f>2.461+0.977</f>
        <v>3.4379999999999997</v>
      </c>
      <c r="W448" s="320">
        <v>1</v>
      </c>
      <c r="X448" s="328">
        <f t="shared" si="172"/>
        <v>3.4379999999999997</v>
      </c>
      <c r="Y448" s="464">
        <v>1</v>
      </c>
      <c r="Z448" s="328">
        <f t="shared" si="173"/>
        <v>3.4379999999999997</v>
      </c>
      <c r="AB448" s="458">
        <f t="shared" si="174"/>
        <v>-1.2000000000000455E-2</v>
      </c>
      <c r="AC448" s="348">
        <f t="shared" si="175"/>
        <v>-1.2000000000000455E-2</v>
      </c>
    </row>
    <row r="449" spans="1:29">
      <c r="A449" s="318"/>
      <c r="B449" s="319"/>
      <c r="C449" s="318"/>
      <c r="D449" s="318"/>
      <c r="E449" s="319"/>
      <c r="F449" s="319"/>
      <c r="G449" s="318" t="s">
        <v>1821</v>
      </c>
      <c r="H449" s="328">
        <v>4.24</v>
      </c>
      <c r="I449" s="318">
        <v>1</v>
      </c>
      <c r="J449" s="318">
        <f t="shared" si="167"/>
        <v>1</v>
      </c>
      <c r="K449" s="328">
        <f t="shared" si="168"/>
        <v>4.24</v>
      </c>
      <c r="L449" s="318">
        <v>1672</v>
      </c>
      <c r="M449" s="318">
        <v>152</v>
      </c>
      <c r="N449" s="318">
        <v>1</v>
      </c>
      <c r="O449" s="621">
        <f t="shared" si="169"/>
        <v>4.24</v>
      </c>
      <c r="P449" s="755">
        <v>1</v>
      </c>
      <c r="Q449" s="755">
        <f t="shared" si="170"/>
        <v>0</v>
      </c>
      <c r="R449" s="341">
        <v>1</v>
      </c>
      <c r="S449" s="318">
        <f t="shared" si="176"/>
        <v>4.24</v>
      </c>
      <c r="T449" s="389"/>
      <c r="V449" s="328">
        <v>4.2249999999999996</v>
      </c>
      <c r="W449" s="320">
        <v>1</v>
      </c>
      <c r="X449" s="457">
        <f t="shared" si="172"/>
        <v>4.2249999999999996</v>
      </c>
      <c r="Y449" s="464">
        <v>1</v>
      </c>
      <c r="Z449" s="457">
        <f t="shared" si="173"/>
        <v>4.2249999999999996</v>
      </c>
      <c r="AB449" s="458">
        <f t="shared" si="174"/>
        <v>-1.5000000000000568E-2</v>
      </c>
      <c r="AC449" s="455">
        <f t="shared" si="175"/>
        <v>-1.5000000000000568E-2</v>
      </c>
    </row>
    <row r="450" spans="1:29">
      <c r="A450" s="318"/>
      <c r="B450" s="319"/>
      <c r="C450" s="318"/>
      <c r="D450" s="318"/>
      <c r="E450" s="319"/>
      <c r="F450" s="319"/>
      <c r="G450" s="318" t="s">
        <v>1822</v>
      </c>
      <c r="H450" s="328">
        <v>4.24</v>
      </c>
      <c r="I450" s="318">
        <v>1</v>
      </c>
      <c r="J450" s="318">
        <f t="shared" si="167"/>
        <v>1</v>
      </c>
      <c r="K450" s="328">
        <f t="shared" si="168"/>
        <v>4.24</v>
      </c>
      <c r="L450" s="318">
        <v>1795</v>
      </c>
      <c r="M450" s="318">
        <v>164</v>
      </c>
      <c r="N450" s="318">
        <v>1</v>
      </c>
      <c r="O450" s="621">
        <f t="shared" si="169"/>
        <v>4.24</v>
      </c>
      <c r="P450" s="755">
        <v>1</v>
      </c>
      <c r="Q450" s="755">
        <f t="shared" si="170"/>
        <v>0</v>
      </c>
      <c r="R450" s="341">
        <v>1</v>
      </c>
      <c r="S450" s="318">
        <f t="shared" si="176"/>
        <v>4.24</v>
      </c>
      <c r="T450" s="389"/>
      <c r="V450" s="328">
        <v>4.2290000000000001</v>
      </c>
      <c r="W450" s="320">
        <v>1</v>
      </c>
      <c r="X450" s="457">
        <f t="shared" si="172"/>
        <v>4.2290000000000001</v>
      </c>
      <c r="Y450" s="464">
        <v>1</v>
      </c>
      <c r="Z450" s="457">
        <f t="shared" si="173"/>
        <v>4.2290000000000001</v>
      </c>
      <c r="AB450" s="458">
        <f t="shared" si="174"/>
        <v>-1.1000000000000121E-2</v>
      </c>
      <c r="AC450" s="455">
        <f t="shared" si="175"/>
        <v>-1.1000000000000121E-2</v>
      </c>
    </row>
    <row r="451" spans="1:29">
      <c r="A451" s="318"/>
      <c r="B451" s="319"/>
      <c r="C451" s="318"/>
      <c r="D451" s="318"/>
      <c r="E451" s="319"/>
      <c r="F451" s="336"/>
      <c r="G451" s="318" t="s">
        <v>1823</v>
      </c>
      <c r="H451" s="328">
        <v>4.24</v>
      </c>
      <c r="I451" s="318">
        <v>1</v>
      </c>
      <c r="J451" s="318">
        <f t="shared" si="167"/>
        <v>1</v>
      </c>
      <c r="K451" s="328">
        <f t="shared" si="168"/>
        <v>4.24</v>
      </c>
      <c r="L451" s="318">
        <v>1795</v>
      </c>
      <c r="M451" s="318">
        <v>164</v>
      </c>
      <c r="N451" s="318">
        <v>1</v>
      </c>
      <c r="O451" s="621">
        <f t="shared" si="169"/>
        <v>4.24</v>
      </c>
      <c r="P451" s="755">
        <v>1</v>
      </c>
      <c r="Q451" s="755">
        <f t="shared" si="170"/>
        <v>0</v>
      </c>
      <c r="R451" s="341">
        <v>1</v>
      </c>
      <c r="S451" s="318">
        <f t="shared" si="176"/>
        <v>4.24</v>
      </c>
      <c r="T451" s="389"/>
      <c r="V451" s="328">
        <v>4.2290000000000001</v>
      </c>
      <c r="W451" s="320">
        <v>1</v>
      </c>
      <c r="X451" s="457">
        <f t="shared" si="172"/>
        <v>4.2290000000000001</v>
      </c>
      <c r="Y451" s="464">
        <v>1</v>
      </c>
      <c r="Z451" s="457">
        <f t="shared" si="173"/>
        <v>4.2290000000000001</v>
      </c>
      <c r="AB451" s="458">
        <f t="shared" si="174"/>
        <v>-1.1000000000000121E-2</v>
      </c>
      <c r="AC451" s="455">
        <f t="shared" si="175"/>
        <v>-1.1000000000000121E-2</v>
      </c>
    </row>
    <row r="452" spans="1:29" ht="14.4" customHeight="1">
      <c r="A452" s="318"/>
      <c r="B452" s="319"/>
      <c r="C452" s="318"/>
      <c r="D452" s="318"/>
      <c r="E452" s="319"/>
      <c r="F452" s="336"/>
      <c r="G452" s="318" t="s">
        <v>1824</v>
      </c>
      <c r="H452" s="328">
        <v>4.24</v>
      </c>
      <c r="I452" s="318">
        <v>1</v>
      </c>
      <c r="J452" s="318">
        <f t="shared" si="167"/>
        <v>1</v>
      </c>
      <c r="K452" s="328">
        <f t="shared" si="168"/>
        <v>4.24</v>
      </c>
      <c r="L452" s="318">
        <v>2100</v>
      </c>
      <c r="M452" s="318"/>
      <c r="N452" s="318">
        <v>1</v>
      </c>
      <c r="O452" s="621">
        <f t="shared" si="169"/>
        <v>4.24</v>
      </c>
      <c r="P452" s="755">
        <v>1</v>
      </c>
      <c r="Q452" s="755">
        <f t="shared" si="170"/>
        <v>0</v>
      </c>
      <c r="R452" s="341">
        <v>1</v>
      </c>
      <c r="S452" s="318">
        <f t="shared" si="176"/>
        <v>4.24</v>
      </c>
      <c r="T452" s="388"/>
      <c r="V452" s="328">
        <v>4.2290000000000001</v>
      </c>
      <c r="W452" s="320">
        <v>1</v>
      </c>
      <c r="X452" s="328">
        <f t="shared" si="172"/>
        <v>4.2290000000000001</v>
      </c>
      <c r="Y452" s="464"/>
      <c r="Z452" s="328">
        <f t="shared" si="173"/>
        <v>0</v>
      </c>
      <c r="AB452" s="458">
        <f t="shared" si="174"/>
        <v>-1.1000000000000121E-2</v>
      </c>
      <c r="AC452" s="348">
        <f t="shared" si="175"/>
        <v>-4.24</v>
      </c>
    </row>
    <row r="453" spans="1:29" collapsed="1">
      <c r="A453" s="318"/>
      <c r="B453" s="319"/>
      <c r="C453" s="318"/>
      <c r="D453" s="318"/>
      <c r="E453" s="319"/>
      <c r="F453" s="336" t="s">
        <v>721</v>
      </c>
      <c r="G453" s="318" t="s">
        <v>1825</v>
      </c>
      <c r="H453" s="328">
        <v>4.24</v>
      </c>
      <c r="I453" s="318">
        <v>1</v>
      </c>
      <c r="J453" s="318">
        <f t="shared" si="167"/>
        <v>1</v>
      </c>
      <c r="K453" s="328">
        <f t="shared" si="168"/>
        <v>4.24</v>
      </c>
      <c r="L453" s="318">
        <v>2100</v>
      </c>
      <c r="M453" s="318"/>
      <c r="N453" s="318">
        <v>1</v>
      </c>
      <c r="O453" s="621">
        <f t="shared" si="169"/>
        <v>4.24</v>
      </c>
      <c r="P453" s="755">
        <v>1</v>
      </c>
      <c r="Q453" s="755">
        <f t="shared" si="170"/>
        <v>0</v>
      </c>
      <c r="R453" s="341">
        <v>1</v>
      </c>
      <c r="S453" s="318">
        <f t="shared" si="176"/>
        <v>4.24</v>
      </c>
      <c r="T453" s="389"/>
      <c r="V453" s="328">
        <f>4.107+0.122</f>
        <v>4.2290000000000001</v>
      </c>
      <c r="W453" s="320">
        <v>1</v>
      </c>
      <c r="X453" s="328">
        <f t="shared" si="172"/>
        <v>4.2290000000000001</v>
      </c>
      <c r="Y453" s="464"/>
      <c r="Z453" s="328">
        <f t="shared" si="173"/>
        <v>0</v>
      </c>
      <c r="AB453" s="458">
        <f t="shared" si="174"/>
        <v>-1.1000000000000121E-2</v>
      </c>
      <c r="AC453" s="348">
        <f t="shared" si="175"/>
        <v>-4.24</v>
      </c>
    </row>
    <row r="454" spans="1:29">
      <c r="A454" s="318"/>
      <c r="B454" s="319"/>
      <c r="C454" s="318"/>
      <c r="D454" s="318"/>
      <c r="E454" s="319"/>
      <c r="F454" s="336" t="s">
        <v>721</v>
      </c>
      <c r="G454" s="318" t="s">
        <v>1826</v>
      </c>
      <c r="H454" s="328">
        <v>4.12</v>
      </c>
      <c r="I454" s="318">
        <v>1</v>
      </c>
      <c r="J454" s="318">
        <f t="shared" si="167"/>
        <v>1</v>
      </c>
      <c r="K454" s="328">
        <f t="shared" si="168"/>
        <v>4.12</v>
      </c>
      <c r="L454" s="350" t="s">
        <v>2690</v>
      </c>
      <c r="M454" s="318">
        <v>167</v>
      </c>
      <c r="N454" s="318">
        <v>1</v>
      </c>
      <c r="O454" s="621">
        <f t="shared" si="169"/>
        <v>4.12</v>
      </c>
      <c r="P454" s="755">
        <v>1</v>
      </c>
      <c r="Q454" s="755">
        <f t="shared" si="170"/>
        <v>0</v>
      </c>
      <c r="R454" s="341">
        <v>1</v>
      </c>
      <c r="S454" s="318">
        <f t="shared" si="176"/>
        <v>4.12</v>
      </c>
      <c r="T454" s="389"/>
      <c r="V454" s="328">
        <v>4.1070000000000002</v>
      </c>
      <c r="W454" s="320">
        <v>1</v>
      </c>
      <c r="X454" s="328">
        <f t="shared" si="172"/>
        <v>4.1070000000000002</v>
      </c>
      <c r="Y454" s="464"/>
      <c r="Z454" s="328">
        <f t="shared" si="173"/>
        <v>0</v>
      </c>
      <c r="AB454" s="458">
        <f t="shared" si="174"/>
        <v>-1.2999999999999901E-2</v>
      </c>
      <c r="AC454" s="348">
        <f t="shared" si="175"/>
        <v>-4.12</v>
      </c>
    </row>
    <row r="455" spans="1:29">
      <c r="A455" s="318"/>
      <c r="B455" s="319"/>
      <c r="C455" s="318"/>
      <c r="D455" s="318"/>
      <c r="E455" s="319"/>
      <c r="F455" s="319"/>
      <c r="G455" s="318" t="s">
        <v>1827</v>
      </c>
      <c r="H455" s="328">
        <v>3.26</v>
      </c>
      <c r="I455" s="318">
        <v>1</v>
      </c>
      <c r="J455" s="318">
        <f t="shared" si="167"/>
        <v>1</v>
      </c>
      <c r="K455" s="328">
        <f t="shared" si="168"/>
        <v>3.26</v>
      </c>
      <c r="L455" s="350" t="s">
        <v>2690</v>
      </c>
      <c r="M455" s="318">
        <v>167</v>
      </c>
      <c r="N455" s="318">
        <v>1</v>
      </c>
      <c r="O455" s="621">
        <f t="shared" si="169"/>
        <v>3.26</v>
      </c>
      <c r="P455" s="755">
        <v>1</v>
      </c>
      <c r="Q455" s="755">
        <f t="shared" si="170"/>
        <v>0</v>
      </c>
      <c r="R455" s="341">
        <v>1</v>
      </c>
      <c r="S455" s="318">
        <f t="shared" si="176"/>
        <v>3.26</v>
      </c>
      <c r="T455" s="389"/>
      <c r="V455" s="328">
        <v>3.254</v>
      </c>
      <c r="W455" s="320">
        <v>1</v>
      </c>
      <c r="X455" s="328">
        <f t="shared" si="172"/>
        <v>3.254</v>
      </c>
      <c r="Y455" s="464">
        <v>1</v>
      </c>
      <c r="Z455" s="456">
        <f t="shared" si="173"/>
        <v>3.254</v>
      </c>
      <c r="AB455" s="458">
        <f t="shared" si="174"/>
        <v>-5.9999999999997833E-3</v>
      </c>
      <c r="AC455" s="454">
        <f t="shared" si="175"/>
        <v>-5.9999999999997833E-3</v>
      </c>
    </row>
    <row r="456" spans="1:29">
      <c r="A456" s="318"/>
      <c r="B456" s="319"/>
      <c r="C456" s="318"/>
      <c r="D456" s="318"/>
      <c r="E456" s="319"/>
      <c r="F456" s="336"/>
      <c r="G456" s="318" t="s">
        <v>1828</v>
      </c>
      <c r="H456" s="328">
        <v>3.26</v>
      </c>
      <c r="I456" s="318">
        <v>1</v>
      </c>
      <c r="J456" s="318">
        <f t="shared" si="167"/>
        <v>1</v>
      </c>
      <c r="K456" s="328">
        <f t="shared" si="168"/>
        <v>3.26</v>
      </c>
      <c r="L456" s="318">
        <v>1840</v>
      </c>
      <c r="M456" s="318">
        <v>167</v>
      </c>
      <c r="N456" s="318">
        <v>1</v>
      </c>
      <c r="O456" s="621">
        <f t="shared" si="169"/>
        <v>3.26</v>
      </c>
      <c r="P456" s="755">
        <v>1</v>
      </c>
      <c r="Q456" s="755">
        <f t="shared" si="170"/>
        <v>0</v>
      </c>
      <c r="R456" s="341">
        <v>1</v>
      </c>
      <c r="S456" s="318">
        <f t="shared" si="176"/>
        <v>3.26</v>
      </c>
      <c r="T456" s="389"/>
      <c r="V456" s="328">
        <v>3.254</v>
      </c>
      <c r="W456" s="320">
        <v>1</v>
      </c>
      <c r="X456" s="328">
        <f t="shared" si="172"/>
        <v>3.254</v>
      </c>
      <c r="Y456" s="464">
        <v>1</v>
      </c>
      <c r="Z456" s="456">
        <f t="shared" si="173"/>
        <v>3.254</v>
      </c>
      <c r="AB456" s="458">
        <f t="shared" si="174"/>
        <v>-5.9999999999997833E-3</v>
      </c>
      <c r="AC456" s="454">
        <f t="shared" si="175"/>
        <v>-5.9999999999997833E-3</v>
      </c>
    </row>
    <row r="457" spans="1:29">
      <c r="A457" s="318"/>
      <c r="B457" s="319"/>
      <c r="C457" s="318"/>
      <c r="D457" s="318"/>
      <c r="E457" s="319"/>
      <c r="F457" s="319"/>
      <c r="G457" s="318" t="s">
        <v>1829</v>
      </c>
      <c r="H457" s="328">
        <v>4.49</v>
      </c>
      <c r="I457" s="318">
        <v>1</v>
      </c>
      <c r="J457" s="318">
        <f t="shared" si="167"/>
        <v>1</v>
      </c>
      <c r="K457" s="328">
        <f t="shared" si="168"/>
        <v>4.49</v>
      </c>
      <c r="L457" s="318">
        <v>1806</v>
      </c>
      <c r="M457" s="318">
        <v>165</v>
      </c>
      <c r="N457" s="318">
        <v>1</v>
      </c>
      <c r="O457" s="621">
        <f t="shared" si="169"/>
        <v>4.49</v>
      </c>
      <c r="P457" s="755">
        <v>1</v>
      </c>
      <c r="Q457" s="755">
        <f t="shared" si="170"/>
        <v>0</v>
      </c>
      <c r="R457" s="341">
        <v>1</v>
      </c>
      <c r="S457" s="318">
        <f t="shared" si="176"/>
        <v>4.49</v>
      </c>
      <c r="T457" s="389"/>
      <c r="V457" s="328">
        <f t="shared" ref="V457:V473" si="178">4.49</f>
        <v>4.49</v>
      </c>
      <c r="W457" s="320">
        <v>1</v>
      </c>
      <c r="X457" s="328">
        <f t="shared" si="172"/>
        <v>4.49</v>
      </c>
      <c r="Y457" s="464">
        <v>1</v>
      </c>
      <c r="Z457" s="456">
        <f t="shared" si="173"/>
        <v>4.49</v>
      </c>
      <c r="AB457" s="458">
        <f t="shared" si="174"/>
        <v>0</v>
      </c>
      <c r="AC457" s="454">
        <f t="shared" si="175"/>
        <v>0</v>
      </c>
    </row>
    <row r="458" spans="1:29">
      <c r="A458" s="318"/>
      <c r="B458" s="319"/>
      <c r="C458" s="318"/>
      <c r="D458" s="318"/>
      <c r="E458" s="319"/>
      <c r="F458" s="319"/>
      <c r="G458" s="318" t="s">
        <v>1830</v>
      </c>
      <c r="H458" s="328">
        <v>4.49</v>
      </c>
      <c r="I458" s="318">
        <v>1</v>
      </c>
      <c r="J458" s="318">
        <f t="shared" si="167"/>
        <v>1</v>
      </c>
      <c r="K458" s="328">
        <f t="shared" si="168"/>
        <v>4.49</v>
      </c>
      <c r="L458" s="350" t="s">
        <v>2690</v>
      </c>
      <c r="M458" s="318">
        <v>167</v>
      </c>
      <c r="N458" s="318">
        <v>1</v>
      </c>
      <c r="O458" s="621">
        <f t="shared" si="169"/>
        <v>4.49</v>
      </c>
      <c r="P458" s="755">
        <v>1</v>
      </c>
      <c r="Q458" s="755">
        <f t="shared" si="170"/>
        <v>0</v>
      </c>
      <c r="R458" s="341">
        <v>1</v>
      </c>
      <c r="S458" s="318">
        <f t="shared" si="176"/>
        <v>4.49</v>
      </c>
      <c r="T458" s="389"/>
      <c r="V458" s="328">
        <f t="shared" si="178"/>
        <v>4.49</v>
      </c>
      <c r="W458" s="320">
        <v>1</v>
      </c>
      <c r="X458" s="328">
        <f t="shared" si="172"/>
        <v>4.49</v>
      </c>
      <c r="Y458" s="464">
        <v>1</v>
      </c>
      <c r="Z458" s="456">
        <f t="shared" si="173"/>
        <v>4.49</v>
      </c>
      <c r="AB458" s="458">
        <f t="shared" si="174"/>
        <v>0</v>
      </c>
      <c r="AC458" s="454">
        <f t="shared" si="175"/>
        <v>0</v>
      </c>
    </row>
    <row r="459" spans="1:29">
      <c r="A459" s="318"/>
      <c r="B459" s="319"/>
      <c r="C459" s="318"/>
      <c r="D459" s="318"/>
      <c r="E459" s="319"/>
      <c r="F459" s="319"/>
      <c r="G459" s="318" t="s">
        <v>1831</v>
      </c>
      <c r="H459" s="328">
        <v>4.49</v>
      </c>
      <c r="I459" s="318">
        <v>1</v>
      </c>
      <c r="J459" s="318">
        <f t="shared" si="167"/>
        <v>1</v>
      </c>
      <c r="K459" s="328">
        <f t="shared" si="168"/>
        <v>4.49</v>
      </c>
      <c r="L459" s="318">
        <v>1795</v>
      </c>
      <c r="M459" s="318">
        <v>164</v>
      </c>
      <c r="N459" s="318">
        <v>1</v>
      </c>
      <c r="O459" s="621">
        <f t="shared" si="169"/>
        <v>4.49</v>
      </c>
      <c r="P459" s="755">
        <v>1</v>
      </c>
      <c r="Q459" s="755">
        <f t="shared" si="170"/>
        <v>0</v>
      </c>
      <c r="R459" s="341">
        <v>1</v>
      </c>
      <c r="S459" s="318">
        <f t="shared" si="176"/>
        <v>4.49</v>
      </c>
      <c r="T459" s="389"/>
      <c r="V459" s="328">
        <f t="shared" si="178"/>
        <v>4.49</v>
      </c>
      <c r="W459" s="320">
        <v>1</v>
      </c>
      <c r="X459" s="328">
        <f t="shared" si="172"/>
        <v>4.49</v>
      </c>
      <c r="Y459" s="464">
        <v>1</v>
      </c>
      <c r="Z459" s="456">
        <f t="shared" si="173"/>
        <v>4.49</v>
      </c>
      <c r="AB459" s="458">
        <f t="shared" si="174"/>
        <v>0</v>
      </c>
      <c r="AC459" s="454">
        <f t="shared" si="175"/>
        <v>0</v>
      </c>
    </row>
    <row r="460" spans="1:29">
      <c r="A460" s="318"/>
      <c r="B460" s="319"/>
      <c r="C460" s="318"/>
      <c r="D460" s="318"/>
      <c r="E460" s="319"/>
      <c r="F460" s="319"/>
      <c r="G460" s="318" t="s">
        <v>1832</v>
      </c>
      <c r="H460" s="328">
        <v>4.49</v>
      </c>
      <c r="I460" s="318">
        <v>1</v>
      </c>
      <c r="J460" s="318">
        <f t="shared" si="167"/>
        <v>1</v>
      </c>
      <c r="K460" s="328">
        <f t="shared" si="168"/>
        <v>4.49</v>
      </c>
      <c r="L460" s="318">
        <v>1795</v>
      </c>
      <c r="M460" s="318">
        <v>164</v>
      </c>
      <c r="N460" s="318">
        <v>1</v>
      </c>
      <c r="O460" s="621">
        <f t="shared" si="169"/>
        <v>4.49</v>
      </c>
      <c r="P460" s="755">
        <v>1</v>
      </c>
      <c r="Q460" s="755">
        <f t="shared" si="170"/>
        <v>0</v>
      </c>
      <c r="R460" s="341">
        <v>1</v>
      </c>
      <c r="S460" s="318">
        <f t="shared" si="176"/>
        <v>4.49</v>
      </c>
      <c r="T460" s="319"/>
      <c r="V460" s="328">
        <f t="shared" si="178"/>
        <v>4.49</v>
      </c>
      <c r="W460" s="320">
        <v>1</v>
      </c>
      <c r="X460" s="328">
        <f t="shared" si="172"/>
        <v>4.49</v>
      </c>
      <c r="Y460" s="464">
        <v>1</v>
      </c>
      <c r="Z460" s="328">
        <f t="shared" si="173"/>
        <v>4.49</v>
      </c>
      <c r="AB460" s="458">
        <f t="shared" si="174"/>
        <v>0</v>
      </c>
      <c r="AC460" s="348">
        <f t="shared" si="175"/>
        <v>0</v>
      </c>
    </row>
    <row r="461" spans="1:29">
      <c r="A461" s="318"/>
      <c r="B461" s="319"/>
      <c r="C461" s="318"/>
      <c r="D461" s="318"/>
      <c r="E461" s="319"/>
      <c r="F461" s="336"/>
      <c r="G461" s="318" t="s">
        <v>1833</v>
      </c>
      <c r="H461" s="328">
        <v>4.49</v>
      </c>
      <c r="I461" s="318">
        <v>1</v>
      </c>
      <c r="J461" s="318">
        <f t="shared" si="167"/>
        <v>1</v>
      </c>
      <c r="K461" s="328">
        <f t="shared" si="168"/>
        <v>4.49</v>
      </c>
      <c r="L461" s="318">
        <v>1795</v>
      </c>
      <c r="M461" s="318">
        <v>164</v>
      </c>
      <c r="N461" s="318">
        <v>1</v>
      </c>
      <c r="O461" s="621">
        <f t="shared" si="169"/>
        <v>4.49</v>
      </c>
      <c r="P461" s="755">
        <v>1</v>
      </c>
      <c r="Q461" s="755">
        <f t="shared" si="170"/>
        <v>0</v>
      </c>
      <c r="R461" s="341">
        <v>1</v>
      </c>
      <c r="S461" s="318">
        <f t="shared" si="176"/>
        <v>4.49</v>
      </c>
      <c r="T461" s="319"/>
      <c r="V461" s="328">
        <f t="shared" si="178"/>
        <v>4.49</v>
      </c>
      <c r="W461" s="320">
        <v>1</v>
      </c>
      <c r="X461" s="328">
        <f t="shared" ref="X461:X480" si="179">V461*W461</f>
        <v>4.49</v>
      </c>
      <c r="Y461" s="464">
        <v>1</v>
      </c>
      <c r="Z461" s="328">
        <f t="shared" ref="Z461:Z480" si="180">V461*Y461</f>
        <v>4.49</v>
      </c>
      <c r="AB461" s="458">
        <f t="shared" ref="AB461:AB480" si="181">X461-O461</f>
        <v>0</v>
      </c>
      <c r="AC461" s="348">
        <f t="shared" si="175"/>
        <v>0</v>
      </c>
    </row>
    <row r="462" spans="1:29">
      <c r="A462" s="318"/>
      <c r="B462" s="319"/>
      <c r="C462" s="318"/>
      <c r="D462" s="318"/>
      <c r="E462" s="319"/>
      <c r="F462" s="336"/>
      <c r="G462" s="318" t="s">
        <v>1834</v>
      </c>
      <c r="H462" s="328">
        <v>4.49</v>
      </c>
      <c r="I462" s="318">
        <v>1</v>
      </c>
      <c r="J462" s="318">
        <f t="shared" si="167"/>
        <v>1</v>
      </c>
      <c r="K462" s="328">
        <f t="shared" si="168"/>
        <v>4.49</v>
      </c>
      <c r="L462" s="318">
        <v>1795</v>
      </c>
      <c r="M462" s="318">
        <v>164</v>
      </c>
      <c r="N462" s="318">
        <v>1</v>
      </c>
      <c r="O462" s="621">
        <f t="shared" si="169"/>
        <v>4.49</v>
      </c>
      <c r="P462" s="755">
        <v>1</v>
      </c>
      <c r="Q462" s="755">
        <f t="shared" si="170"/>
        <v>0</v>
      </c>
      <c r="R462" s="341">
        <v>1</v>
      </c>
      <c r="S462" s="318">
        <f t="shared" si="176"/>
        <v>4.49</v>
      </c>
      <c r="T462" s="319"/>
      <c r="V462" s="328">
        <f t="shared" si="178"/>
        <v>4.49</v>
      </c>
      <c r="W462" s="320">
        <v>1</v>
      </c>
      <c r="X462" s="328">
        <f t="shared" si="179"/>
        <v>4.49</v>
      </c>
      <c r="Y462" s="464">
        <v>1</v>
      </c>
      <c r="Z462" s="328">
        <f t="shared" si="180"/>
        <v>4.49</v>
      </c>
      <c r="AB462" s="458">
        <f t="shared" si="181"/>
        <v>0</v>
      </c>
      <c r="AC462" s="348">
        <f t="shared" si="175"/>
        <v>0</v>
      </c>
    </row>
    <row r="463" spans="1:29">
      <c r="A463" s="318"/>
      <c r="B463" s="319"/>
      <c r="C463" s="318"/>
      <c r="D463" s="318"/>
      <c r="E463" s="319"/>
      <c r="F463" s="336"/>
      <c r="G463" s="318" t="s">
        <v>1835</v>
      </c>
      <c r="H463" s="328">
        <v>4.49</v>
      </c>
      <c r="I463" s="318">
        <v>1</v>
      </c>
      <c r="J463" s="318">
        <f t="shared" si="167"/>
        <v>1</v>
      </c>
      <c r="K463" s="328">
        <f t="shared" si="168"/>
        <v>4.49</v>
      </c>
      <c r="L463" s="350" t="s">
        <v>2600</v>
      </c>
      <c r="M463" s="318">
        <v>165</v>
      </c>
      <c r="N463" s="318">
        <v>1</v>
      </c>
      <c r="O463" s="621">
        <f t="shared" si="169"/>
        <v>4.49</v>
      </c>
      <c r="P463" s="755">
        <v>1</v>
      </c>
      <c r="Q463" s="755">
        <f t="shared" si="170"/>
        <v>0</v>
      </c>
      <c r="R463" s="341">
        <v>1</v>
      </c>
      <c r="S463" s="318">
        <f t="shared" si="176"/>
        <v>4.49</v>
      </c>
      <c r="T463" s="319"/>
      <c r="V463" s="328">
        <f t="shared" si="178"/>
        <v>4.49</v>
      </c>
      <c r="W463" s="320">
        <v>1</v>
      </c>
      <c r="X463" s="328">
        <f t="shared" si="179"/>
        <v>4.49</v>
      </c>
      <c r="Y463" s="464">
        <v>1</v>
      </c>
      <c r="Z463" s="328">
        <f t="shared" si="180"/>
        <v>4.49</v>
      </c>
      <c r="AB463" s="458">
        <f t="shared" si="181"/>
        <v>0</v>
      </c>
      <c r="AC463" s="348">
        <f t="shared" si="175"/>
        <v>0</v>
      </c>
    </row>
    <row r="464" spans="1:29">
      <c r="A464" s="318"/>
      <c r="B464" s="319"/>
      <c r="C464" s="318"/>
      <c r="D464" s="318"/>
      <c r="E464" s="319"/>
      <c r="F464" s="336"/>
      <c r="G464" s="318" t="s">
        <v>1836</v>
      </c>
      <c r="H464" s="328">
        <v>4.49</v>
      </c>
      <c r="I464" s="318">
        <v>1</v>
      </c>
      <c r="J464" s="318">
        <f t="shared" si="167"/>
        <v>1</v>
      </c>
      <c r="K464" s="328">
        <f t="shared" si="168"/>
        <v>4.49</v>
      </c>
      <c r="L464" s="318">
        <v>1818</v>
      </c>
      <c r="M464" s="318">
        <v>165</v>
      </c>
      <c r="N464" s="318">
        <v>1</v>
      </c>
      <c r="O464" s="621">
        <f t="shared" si="169"/>
        <v>4.49</v>
      </c>
      <c r="P464" s="755">
        <v>1</v>
      </c>
      <c r="Q464" s="755">
        <f t="shared" si="170"/>
        <v>0</v>
      </c>
      <c r="R464" s="341">
        <v>1</v>
      </c>
      <c r="S464" s="318">
        <f t="shared" si="176"/>
        <v>4.49</v>
      </c>
      <c r="T464" s="319"/>
      <c r="V464" s="328">
        <f t="shared" si="178"/>
        <v>4.49</v>
      </c>
      <c r="W464" s="320">
        <v>1</v>
      </c>
      <c r="X464" s="328">
        <f t="shared" si="179"/>
        <v>4.49</v>
      </c>
      <c r="Y464" s="464">
        <v>1</v>
      </c>
      <c r="Z464" s="328">
        <f t="shared" si="180"/>
        <v>4.49</v>
      </c>
      <c r="AB464" s="458">
        <f t="shared" si="181"/>
        <v>0</v>
      </c>
      <c r="AC464" s="348">
        <f t="shared" si="175"/>
        <v>0</v>
      </c>
    </row>
    <row r="465" spans="1:29" ht="15" thickBot="1">
      <c r="A465" s="318"/>
      <c r="B465" s="319"/>
      <c r="C465" s="318"/>
      <c r="D465" s="318"/>
      <c r="E465" s="319"/>
      <c r="F465" s="336"/>
      <c r="G465" s="318" t="s">
        <v>1837</v>
      </c>
      <c r="H465" s="328">
        <v>4.49</v>
      </c>
      <c r="I465" s="318">
        <v>1</v>
      </c>
      <c r="J465" s="318">
        <f t="shared" si="167"/>
        <v>1</v>
      </c>
      <c r="K465" s="328">
        <f t="shared" si="168"/>
        <v>4.49</v>
      </c>
      <c r="L465" s="318">
        <v>1818</v>
      </c>
      <c r="M465" s="318">
        <v>165</v>
      </c>
      <c r="N465" s="318">
        <v>1</v>
      </c>
      <c r="O465" s="621">
        <f t="shared" si="169"/>
        <v>4.49</v>
      </c>
      <c r="P465" s="755">
        <v>1</v>
      </c>
      <c r="Q465" s="755">
        <f t="shared" si="170"/>
        <v>0</v>
      </c>
      <c r="R465" s="341">
        <v>1</v>
      </c>
      <c r="S465" s="318">
        <f t="shared" si="176"/>
        <v>4.49</v>
      </c>
      <c r="T465" s="319"/>
      <c r="V465" s="328">
        <f t="shared" si="178"/>
        <v>4.49</v>
      </c>
      <c r="W465" s="320">
        <v>1</v>
      </c>
      <c r="X465" s="328">
        <f t="shared" si="179"/>
        <v>4.49</v>
      </c>
      <c r="Y465" s="464">
        <v>1</v>
      </c>
      <c r="Z465" s="328">
        <f t="shared" si="180"/>
        <v>4.49</v>
      </c>
      <c r="AB465" s="458">
        <f t="shared" si="181"/>
        <v>0</v>
      </c>
      <c r="AC465" s="348">
        <f t="shared" si="175"/>
        <v>0</v>
      </c>
    </row>
    <row r="466" spans="1:29" ht="15.6" thickTop="1" thickBot="1">
      <c r="A466" s="318"/>
      <c r="B466" s="319"/>
      <c r="C466" s="318"/>
      <c r="D466" s="318"/>
      <c r="E466" s="319"/>
      <c r="F466" s="336"/>
      <c r="G466" s="652" t="s">
        <v>1838</v>
      </c>
      <c r="H466" s="328">
        <v>4.49</v>
      </c>
      <c r="I466" s="318">
        <v>1</v>
      </c>
      <c r="J466" s="318">
        <v>1</v>
      </c>
      <c r="K466" s="328">
        <f t="shared" si="168"/>
        <v>4.49</v>
      </c>
      <c r="L466" s="318"/>
      <c r="M466" s="318"/>
      <c r="N466" s="318"/>
      <c r="O466" s="621">
        <f t="shared" si="169"/>
        <v>0</v>
      </c>
      <c r="P466" s="755"/>
      <c r="Q466" s="764"/>
      <c r="R466" s="627"/>
      <c r="S466" s="622">
        <f t="shared" ref="S466:S472" si="182">H466*R466</f>
        <v>0</v>
      </c>
      <c r="T466" s="319" t="s">
        <v>3351</v>
      </c>
      <c r="V466" s="328">
        <f t="shared" si="178"/>
        <v>4.49</v>
      </c>
      <c r="W466" s="320"/>
      <c r="X466" s="328">
        <f t="shared" si="179"/>
        <v>0</v>
      </c>
      <c r="Y466" s="464"/>
      <c r="Z466" s="328">
        <f t="shared" si="180"/>
        <v>0</v>
      </c>
      <c r="AB466" s="458">
        <f t="shared" si="181"/>
        <v>0</v>
      </c>
      <c r="AC466" s="348">
        <f t="shared" si="175"/>
        <v>0</v>
      </c>
    </row>
    <row r="467" spans="1:29" ht="15.6" thickTop="1" thickBot="1">
      <c r="A467" s="318"/>
      <c r="B467" s="319"/>
      <c r="C467" s="318"/>
      <c r="D467" s="318"/>
      <c r="E467" s="319"/>
      <c r="F467" s="336"/>
      <c r="G467" s="652" t="s">
        <v>1839</v>
      </c>
      <c r="H467" s="328">
        <v>4.49</v>
      </c>
      <c r="I467" s="318">
        <v>1</v>
      </c>
      <c r="J467" s="318">
        <v>1</v>
      </c>
      <c r="K467" s="328">
        <f t="shared" si="168"/>
        <v>4.49</v>
      </c>
      <c r="L467" s="318"/>
      <c r="M467" s="318"/>
      <c r="N467" s="318"/>
      <c r="O467" s="621">
        <f t="shared" si="169"/>
        <v>0</v>
      </c>
      <c r="P467" s="755"/>
      <c r="Q467" s="764"/>
      <c r="R467" s="627"/>
      <c r="S467" s="622">
        <f t="shared" si="182"/>
        <v>0</v>
      </c>
      <c r="T467" s="319" t="s">
        <v>3351</v>
      </c>
      <c r="V467" s="328">
        <f t="shared" si="178"/>
        <v>4.49</v>
      </c>
      <c r="W467" s="320"/>
      <c r="X467" s="328">
        <f t="shared" si="179"/>
        <v>0</v>
      </c>
      <c r="Y467" s="464"/>
      <c r="Z467" s="328">
        <f t="shared" si="180"/>
        <v>0</v>
      </c>
      <c r="AB467" s="458">
        <f t="shared" si="181"/>
        <v>0</v>
      </c>
      <c r="AC467" s="348">
        <f t="shared" si="175"/>
        <v>0</v>
      </c>
    </row>
    <row r="468" spans="1:29" ht="15.6" thickTop="1" thickBot="1">
      <c r="A468" s="318"/>
      <c r="B468" s="319"/>
      <c r="C468" s="318"/>
      <c r="D468" s="318"/>
      <c r="E468" s="319"/>
      <c r="F468" s="336"/>
      <c r="G468" s="652" t="s">
        <v>1840</v>
      </c>
      <c r="H468" s="328">
        <v>4.49</v>
      </c>
      <c r="I468" s="318">
        <v>1</v>
      </c>
      <c r="J468" s="318">
        <v>1</v>
      </c>
      <c r="K468" s="328">
        <f t="shared" si="168"/>
        <v>4.49</v>
      </c>
      <c r="L468" s="318"/>
      <c r="M468" s="318"/>
      <c r="N468" s="318"/>
      <c r="O468" s="621">
        <f t="shared" si="169"/>
        <v>0</v>
      </c>
      <c r="P468" s="755"/>
      <c r="Q468" s="764"/>
      <c r="R468" s="627"/>
      <c r="S468" s="622">
        <f t="shared" si="182"/>
        <v>0</v>
      </c>
      <c r="T468" s="319" t="s">
        <v>3351</v>
      </c>
      <c r="V468" s="328">
        <f t="shared" si="178"/>
        <v>4.49</v>
      </c>
      <c r="W468" s="320"/>
      <c r="X468" s="328">
        <f t="shared" si="179"/>
        <v>0</v>
      </c>
      <c r="Y468" s="464"/>
      <c r="Z468" s="328">
        <f t="shared" si="180"/>
        <v>0</v>
      </c>
      <c r="AB468" s="458">
        <f t="shared" si="181"/>
        <v>0</v>
      </c>
      <c r="AC468" s="348">
        <f t="shared" si="175"/>
        <v>0</v>
      </c>
    </row>
    <row r="469" spans="1:29" ht="15.6" thickTop="1" thickBot="1">
      <c r="A469" s="318"/>
      <c r="B469" s="319"/>
      <c r="C469" s="318"/>
      <c r="D469" s="318"/>
      <c r="E469" s="319"/>
      <c r="F469" s="336"/>
      <c r="G469" s="652" t="s">
        <v>1841</v>
      </c>
      <c r="H469" s="328">
        <v>4.49</v>
      </c>
      <c r="I469" s="318">
        <v>1</v>
      </c>
      <c r="J469" s="318">
        <v>1</v>
      </c>
      <c r="K469" s="328">
        <f t="shared" si="168"/>
        <v>4.49</v>
      </c>
      <c r="L469" s="318"/>
      <c r="M469" s="318"/>
      <c r="N469" s="318"/>
      <c r="O469" s="621">
        <f t="shared" si="169"/>
        <v>0</v>
      </c>
      <c r="P469" s="755"/>
      <c r="Q469" s="764"/>
      <c r="R469" s="627"/>
      <c r="S469" s="622">
        <f t="shared" si="182"/>
        <v>0</v>
      </c>
      <c r="T469" s="319" t="s">
        <v>3351</v>
      </c>
      <c r="V469" s="328">
        <f t="shared" si="178"/>
        <v>4.49</v>
      </c>
      <c r="W469" s="320"/>
      <c r="X469" s="328">
        <f t="shared" si="179"/>
        <v>0</v>
      </c>
      <c r="Y469" s="464"/>
      <c r="Z469" s="328">
        <f t="shared" si="180"/>
        <v>0</v>
      </c>
      <c r="AB469" s="458">
        <f t="shared" si="181"/>
        <v>0</v>
      </c>
      <c r="AC469" s="348">
        <f t="shared" si="175"/>
        <v>0</v>
      </c>
    </row>
    <row r="470" spans="1:29" ht="15.6" thickTop="1" thickBot="1">
      <c r="A470" s="318"/>
      <c r="B470" s="319"/>
      <c r="C470" s="318"/>
      <c r="D470" s="318"/>
      <c r="E470" s="319"/>
      <c r="F470" s="336"/>
      <c r="G470" s="652" t="s">
        <v>1842</v>
      </c>
      <c r="H470" s="328">
        <v>4.49</v>
      </c>
      <c r="I470" s="318">
        <v>1</v>
      </c>
      <c r="J470" s="318">
        <v>1</v>
      </c>
      <c r="K470" s="328">
        <f t="shared" si="168"/>
        <v>4.49</v>
      </c>
      <c r="L470" s="318"/>
      <c r="M470" s="318"/>
      <c r="N470" s="318"/>
      <c r="O470" s="621">
        <f t="shared" si="169"/>
        <v>0</v>
      </c>
      <c r="P470" s="755"/>
      <c r="Q470" s="764"/>
      <c r="R470" s="627"/>
      <c r="S470" s="622">
        <f t="shared" si="182"/>
        <v>0</v>
      </c>
      <c r="T470" s="319" t="s">
        <v>3351</v>
      </c>
      <c r="V470" s="328">
        <f t="shared" si="178"/>
        <v>4.49</v>
      </c>
      <c r="W470" s="320"/>
      <c r="X470" s="328">
        <f t="shared" si="179"/>
        <v>0</v>
      </c>
      <c r="Y470" s="464"/>
      <c r="Z470" s="328">
        <f t="shared" si="180"/>
        <v>0</v>
      </c>
      <c r="AB470" s="458">
        <f t="shared" si="181"/>
        <v>0</v>
      </c>
      <c r="AC470" s="348">
        <f t="shared" si="175"/>
        <v>0</v>
      </c>
    </row>
    <row r="471" spans="1:29" ht="15.6" thickTop="1" thickBot="1">
      <c r="A471" s="318"/>
      <c r="B471" s="319"/>
      <c r="C471" s="318"/>
      <c r="D471" s="318"/>
      <c r="E471" s="319"/>
      <c r="F471" s="336"/>
      <c r="G471" s="652" t="s">
        <v>1843</v>
      </c>
      <c r="H471" s="328">
        <v>4.49</v>
      </c>
      <c r="I471" s="318">
        <v>1</v>
      </c>
      <c r="J471" s="318">
        <v>1</v>
      </c>
      <c r="K471" s="328">
        <f t="shared" si="168"/>
        <v>4.49</v>
      </c>
      <c r="L471" s="318"/>
      <c r="M471" s="318"/>
      <c r="N471" s="318"/>
      <c r="O471" s="621">
        <f t="shared" si="169"/>
        <v>0</v>
      </c>
      <c r="P471" s="755"/>
      <c r="Q471" s="764"/>
      <c r="R471" s="627"/>
      <c r="S471" s="622">
        <f t="shared" si="182"/>
        <v>0</v>
      </c>
      <c r="T471" s="319" t="s">
        <v>3351</v>
      </c>
      <c r="V471" s="328">
        <f t="shared" si="178"/>
        <v>4.49</v>
      </c>
      <c r="W471" s="320"/>
      <c r="X471" s="328">
        <f t="shared" si="179"/>
        <v>0</v>
      </c>
      <c r="Y471" s="464"/>
      <c r="Z471" s="328">
        <f t="shared" si="180"/>
        <v>0</v>
      </c>
      <c r="AB471" s="458">
        <f t="shared" si="181"/>
        <v>0</v>
      </c>
      <c r="AC471" s="348">
        <f t="shared" si="175"/>
        <v>0</v>
      </c>
    </row>
    <row r="472" spans="1:29" ht="15" thickTop="1">
      <c r="A472" s="318"/>
      <c r="B472" s="319"/>
      <c r="C472" s="318"/>
      <c r="D472" s="318"/>
      <c r="E472" s="319"/>
      <c r="F472" s="336"/>
      <c r="G472" s="318" t="s">
        <v>1844</v>
      </c>
      <c r="H472" s="328">
        <v>4.49</v>
      </c>
      <c r="I472" s="318">
        <v>1</v>
      </c>
      <c r="J472" s="318">
        <f t="shared" si="167"/>
        <v>1</v>
      </c>
      <c r="K472" s="328">
        <f t="shared" si="168"/>
        <v>4.49</v>
      </c>
      <c r="L472" s="318">
        <v>2015</v>
      </c>
      <c r="M472" s="318">
        <v>185</v>
      </c>
      <c r="N472" s="318">
        <v>1</v>
      </c>
      <c r="O472" s="621">
        <f t="shared" si="169"/>
        <v>4.49</v>
      </c>
      <c r="P472" s="755">
        <v>1</v>
      </c>
      <c r="Q472" s="755">
        <f t="shared" ref="Q472:Q480" si="183">R472-P472</f>
        <v>0</v>
      </c>
      <c r="R472" s="341">
        <v>1</v>
      </c>
      <c r="S472" s="318">
        <f t="shared" si="182"/>
        <v>4.49</v>
      </c>
      <c r="T472" s="319"/>
      <c r="V472" s="328">
        <f t="shared" si="178"/>
        <v>4.49</v>
      </c>
      <c r="W472" s="320"/>
      <c r="X472" s="328">
        <f t="shared" si="179"/>
        <v>0</v>
      </c>
      <c r="Y472" s="464"/>
      <c r="Z472" s="328">
        <f t="shared" si="180"/>
        <v>0</v>
      </c>
      <c r="AB472" s="458">
        <f t="shared" si="181"/>
        <v>-4.49</v>
      </c>
      <c r="AC472" s="348">
        <f t="shared" si="175"/>
        <v>-4.49</v>
      </c>
    </row>
    <row r="473" spans="1:29">
      <c r="A473" s="318"/>
      <c r="B473" s="319"/>
      <c r="C473" s="318"/>
      <c r="D473" s="318"/>
      <c r="E473" s="319"/>
      <c r="F473" s="336"/>
      <c r="G473" s="318" t="s">
        <v>1845</v>
      </c>
      <c r="H473" s="328">
        <v>4.49</v>
      </c>
      <c r="I473" s="318">
        <v>1</v>
      </c>
      <c r="J473" s="318">
        <f t="shared" si="167"/>
        <v>1</v>
      </c>
      <c r="K473" s="328">
        <f t="shared" si="168"/>
        <v>4.49</v>
      </c>
      <c r="L473" s="318">
        <v>2009</v>
      </c>
      <c r="M473" s="318">
        <v>183</v>
      </c>
      <c r="N473" s="318">
        <v>1</v>
      </c>
      <c r="O473" s="621">
        <f t="shared" si="169"/>
        <v>4.49</v>
      </c>
      <c r="P473" s="755">
        <v>1</v>
      </c>
      <c r="Q473" s="755">
        <f t="shared" si="183"/>
        <v>0</v>
      </c>
      <c r="R473" s="341">
        <v>1</v>
      </c>
      <c r="S473" s="318">
        <f t="shared" ref="S473:S480" si="184">H473*R473</f>
        <v>4.49</v>
      </c>
      <c r="T473" s="319"/>
      <c r="V473" s="328">
        <f t="shared" si="178"/>
        <v>4.49</v>
      </c>
      <c r="W473" s="320"/>
      <c r="X473" s="328">
        <f t="shared" si="179"/>
        <v>0</v>
      </c>
      <c r="Y473" s="464"/>
      <c r="Z473" s="328">
        <f t="shared" si="180"/>
        <v>0</v>
      </c>
      <c r="AB473" s="458">
        <f t="shared" si="181"/>
        <v>-4.49</v>
      </c>
      <c r="AC473" s="348">
        <f t="shared" si="175"/>
        <v>-4.49</v>
      </c>
    </row>
    <row r="474" spans="1:29">
      <c r="A474" s="318"/>
      <c r="B474" s="319"/>
      <c r="C474" s="318"/>
      <c r="D474" s="318"/>
      <c r="E474" s="319"/>
      <c r="F474" s="336"/>
      <c r="G474" s="318" t="s">
        <v>1846</v>
      </c>
      <c r="H474" s="328">
        <v>4.17</v>
      </c>
      <c r="I474" s="318">
        <v>1</v>
      </c>
      <c r="J474" s="318">
        <f t="shared" si="167"/>
        <v>1</v>
      </c>
      <c r="K474" s="328">
        <f t="shared" si="168"/>
        <v>4.17</v>
      </c>
      <c r="L474" s="318">
        <v>2015</v>
      </c>
      <c r="M474" s="318">
        <v>185</v>
      </c>
      <c r="N474" s="318">
        <v>1</v>
      </c>
      <c r="O474" s="621">
        <f t="shared" si="169"/>
        <v>4.17</v>
      </c>
      <c r="P474" s="755">
        <v>1</v>
      </c>
      <c r="Q474" s="755">
        <f t="shared" si="183"/>
        <v>0</v>
      </c>
      <c r="R474" s="341">
        <v>1</v>
      </c>
      <c r="S474" s="318">
        <f t="shared" si="184"/>
        <v>4.17</v>
      </c>
      <c r="T474" s="319"/>
      <c r="V474" s="328">
        <v>4.1550000000000002</v>
      </c>
      <c r="W474" s="320"/>
      <c r="X474" s="328">
        <f t="shared" si="179"/>
        <v>0</v>
      </c>
      <c r="Y474" s="464"/>
      <c r="Z474" s="328">
        <f t="shared" si="180"/>
        <v>0</v>
      </c>
      <c r="AB474" s="458">
        <f t="shared" si="181"/>
        <v>-4.17</v>
      </c>
      <c r="AC474" s="348">
        <f t="shared" si="175"/>
        <v>-4.17</v>
      </c>
    </row>
    <row r="475" spans="1:29">
      <c r="A475" s="318"/>
      <c r="B475" s="319"/>
      <c r="C475" s="318"/>
      <c r="D475" s="318"/>
      <c r="E475" s="319"/>
      <c r="F475" s="336" t="s">
        <v>1225</v>
      </c>
      <c r="G475" s="318" t="s">
        <v>1847</v>
      </c>
      <c r="H475" s="328">
        <v>5.08</v>
      </c>
      <c r="I475" s="318">
        <v>1</v>
      </c>
      <c r="J475" s="318">
        <f t="shared" si="167"/>
        <v>1</v>
      </c>
      <c r="K475" s="328">
        <f t="shared" si="168"/>
        <v>5.08</v>
      </c>
      <c r="L475" s="318">
        <v>2020</v>
      </c>
      <c r="M475" s="318"/>
      <c r="N475" s="318">
        <v>1</v>
      </c>
      <c r="O475" s="621">
        <f t="shared" si="169"/>
        <v>5.08</v>
      </c>
      <c r="P475" s="755">
        <v>1</v>
      </c>
      <c r="Q475" s="755">
        <f t="shared" si="183"/>
        <v>0</v>
      </c>
      <c r="R475" s="341">
        <v>1</v>
      </c>
      <c r="S475" s="318">
        <f t="shared" si="184"/>
        <v>5.08</v>
      </c>
      <c r="T475" s="319"/>
      <c r="V475" s="328">
        <f>2.135+3.495</f>
        <v>5.63</v>
      </c>
      <c r="W475" s="320"/>
      <c r="X475" s="328">
        <f t="shared" si="179"/>
        <v>0</v>
      </c>
      <c r="Y475" s="464"/>
      <c r="Z475" s="328">
        <f t="shared" si="180"/>
        <v>0</v>
      </c>
      <c r="AB475" s="458">
        <f t="shared" si="181"/>
        <v>-5.08</v>
      </c>
      <c r="AC475" s="348">
        <f t="shared" si="175"/>
        <v>-5.08</v>
      </c>
    </row>
    <row r="476" spans="1:29">
      <c r="A476" s="318"/>
      <c r="B476" s="319"/>
      <c r="C476" s="318"/>
      <c r="D476" s="318"/>
      <c r="E476" s="319"/>
      <c r="F476" s="336"/>
      <c r="G476" s="318" t="s">
        <v>1848</v>
      </c>
      <c r="H476" s="328">
        <v>4.49</v>
      </c>
      <c r="I476" s="318">
        <v>1</v>
      </c>
      <c r="J476" s="318">
        <f t="shared" si="167"/>
        <v>1</v>
      </c>
      <c r="K476" s="328">
        <f t="shared" si="168"/>
        <v>4.49</v>
      </c>
      <c r="L476" s="318">
        <v>2011</v>
      </c>
      <c r="M476" s="318">
        <v>185</v>
      </c>
      <c r="N476" s="318">
        <v>1</v>
      </c>
      <c r="O476" s="621">
        <f t="shared" si="169"/>
        <v>4.49</v>
      </c>
      <c r="P476" s="755">
        <v>1</v>
      </c>
      <c r="Q476" s="755">
        <f t="shared" si="183"/>
        <v>0</v>
      </c>
      <c r="R476" s="341">
        <v>1</v>
      </c>
      <c r="S476" s="318">
        <f t="shared" si="184"/>
        <v>4.49</v>
      </c>
      <c r="T476" s="319"/>
      <c r="V476" s="328">
        <f>4.49</f>
        <v>4.49</v>
      </c>
      <c r="W476" s="320"/>
      <c r="X476" s="328">
        <f t="shared" si="179"/>
        <v>0</v>
      </c>
      <c r="Y476" s="464"/>
      <c r="Z476" s="328">
        <f t="shared" si="180"/>
        <v>0</v>
      </c>
      <c r="AB476" s="458">
        <f t="shared" si="181"/>
        <v>-4.49</v>
      </c>
      <c r="AC476" s="348">
        <f t="shared" si="175"/>
        <v>-4.49</v>
      </c>
    </row>
    <row r="477" spans="1:29">
      <c r="A477" s="318"/>
      <c r="B477" s="319"/>
      <c r="C477" s="318"/>
      <c r="D477" s="318"/>
      <c r="E477" s="319"/>
      <c r="F477" s="336"/>
      <c r="G477" s="318" t="s">
        <v>1849</v>
      </c>
      <c r="H477" s="328">
        <v>4.49</v>
      </c>
      <c r="I477" s="318">
        <v>1</v>
      </c>
      <c r="J477" s="318">
        <f t="shared" si="167"/>
        <v>1</v>
      </c>
      <c r="K477" s="328">
        <f t="shared" si="168"/>
        <v>4.49</v>
      </c>
      <c r="L477" s="318">
        <v>2020</v>
      </c>
      <c r="M477" s="318"/>
      <c r="N477" s="318">
        <v>1</v>
      </c>
      <c r="O477" s="621">
        <f t="shared" si="169"/>
        <v>4.49</v>
      </c>
      <c r="P477" s="755">
        <v>1</v>
      </c>
      <c r="Q477" s="755">
        <f t="shared" si="183"/>
        <v>0</v>
      </c>
      <c r="R477" s="341">
        <v>1</v>
      </c>
      <c r="S477" s="318">
        <f t="shared" si="184"/>
        <v>4.49</v>
      </c>
      <c r="T477" s="319"/>
      <c r="V477" s="328">
        <f>4.49</f>
        <v>4.49</v>
      </c>
      <c r="W477" s="320"/>
      <c r="X477" s="328">
        <f t="shared" si="179"/>
        <v>0</v>
      </c>
      <c r="Y477" s="464"/>
      <c r="Z477" s="328">
        <f t="shared" si="180"/>
        <v>0</v>
      </c>
      <c r="AB477" s="458">
        <f t="shared" si="181"/>
        <v>-4.49</v>
      </c>
      <c r="AC477" s="348">
        <f t="shared" si="175"/>
        <v>-4.49</v>
      </c>
    </row>
    <row r="478" spans="1:29">
      <c r="A478" s="318"/>
      <c r="B478" s="319"/>
      <c r="C478" s="318"/>
      <c r="D478" s="318"/>
      <c r="E478" s="319"/>
      <c r="F478" s="336"/>
      <c r="G478" s="318" t="s">
        <v>1850</v>
      </c>
      <c r="H478" s="328">
        <v>4.49</v>
      </c>
      <c r="I478" s="318">
        <v>1</v>
      </c>
      <c r="J478" s="318">
        <f t="shared" si="167"/>
        <v>1</v>
      </c>
      <c r="K478" s="328">
        <f t="shared" si="168"/>
        <v>4.49</v>
      </c>
      <c r="L478" s="318">
        <v>2020</v>
      </c>
      <c r="M478" s="318"/>
      <c r="N478" s="318">
        <v>1</v>
      </c>
      <c r="O478" s="621">
        <f t="shared" si="169"/>
        <v>4.49</v>
      </c>
      <c r="P478" s="755">
        <v>1</v>
      </c>
      <c r="Q478" s="755">
        <f t="shared" si="183"/>
        <v>0</v>
      </c>
      <c r="R478" s="341">
        <v>1</v>
      </c>
      <c r="S478" s="318">
        <f t="shared" si="184"/>
        <v>4.49</v>
      </c>
      <c r="T478" s="319"/>
      <c r="V478" s="328">
        <f>4.49</f>
        <v>4.49</v>
      </c>
      <c r="W478" s="320"/>
      <c r="X478" s="328">
        <f t="shared" si="179"/>
        <v>0</v>
      </c>
      <c r="Y478" s="464"/>
      <c r="Z478" s="328">
        <f t="shared" si="180"/>
        <v>0</v>
      </c>
      <c r="AB478" s="458">
        <f t="shared" si="181"/>
        <v>-4.49</v>
      </c>
      <c r="AC478" s="348">
        <f t="shared" si="175"/>
        <v>-4.49</v>
      </c>
    </row>
    <row r="479" spans="1:29">
      <c r="A479" s="318"/>
      <c r="B479" s="319"/>
      <c r="C479" s="318"/>
      <c r="D479" s="318"/>
      <c r="E479" s="319"/>
      <c r="F479" s="336"/>
      <c r="G479" s="318" t="s">
        <v>1851</v>
      </c>
      <c r="H479" s="328">
        <v>4.49</v>
      </c>
      <c r="I479" s="318">
        <v>1</v>
      </c>
      <c r="J479" s="318">
        <f t="shared" si="167"/>
        <v>1</v>
      </c>
      <c r="K479" s="328">
        <f t="shared" si="168"/>
        <v>4.49</v>
      </c>
      <c r="L479" s="318">
        <v>2015</v>
      </c>
      <c r="M479" s="318">
        <v>185</v>
      </c>
      <c r="N479" s="318">
        <v>1</v>
      </c>
      <c r="O479" s="621">
        <f t="shared" si="169"/>
        <v>4.49</v>
      </c>
      <c r="P479" s="755">
        <v>1</v>
      </c>
      <c r="Q479" s="755">
        <f t="shared" si="183"/>
        <v>0</v>
      </c>
      <c r="R479" s="341">
        <v>1</v>
      </c>
      <c r="S479" s="318">
        <f t="shared" si="184"/>
        <v>4.49</v>
      </c>
      <c r="T479" s="319"/>
      <c r="V479" s="328">
        <f>4.49</f>
        <v>4.49</v>
      </c>
      <c r="W479" s="320"/>
      <c r="X479" s="328">
        <f t="shared" si="179"/>
        <v>0</v>
      </c>
      <c r="Y479" s="464"/>
      <c r="Z479" s="328">
        <f t="shared" si="180"/>
        <v>0</v>
      </c>
      <c r="AB479" s="458">
        <f t="shared" si="181"/>
        <v>-4.49</v>
      </c>
      <c r="AC479" s="348">
        <f t="shared" si="175"/>
        <v>-4.49</v>
      </c>
    </row>
    <row r="480" spans="1:29">
      <c r="A480" s="318"/>
      <c r="B480" s="319"/>
      <c r="C480" s="318"/>
      <c r="D480" s="318"/>
      <c r="E480" s="319"/>
      <c r="F480" s="336"/>
      <c r="G480" s="318" t="s">
        <v>1852</v>
      </c>
      <c r="H480" s="328">
        <v>5.08</v>
      </c>
      <c r="I480" s="318">
        <v>1</v>
      </c>
      <c r="J480" s="318">
        <f t="shared" si="167"/>
        <v>1</v>
      </c>
      <c r="K480" s="328">
        <f t="shared" si="168"/>
        <v>5.08</v>
      </c>
      <c r="L480" s="350" t="s">
        <v>2729</v>
      </c>
      <c r="M480" s="318">
        <v>185</v>
      </c>
      <c r="N480" s="318">
        <v>1</v>
      </c>
      <c r="O480" s="621">
        <f t="shared" si="169"/>
        <v>5.08</v>
      </c>
      <c r="P480" s="755">
        <v>1</v>
      </c>
      <c r="Q480" s="755">
        <f t="shared" si="183"/>
        <v>0</v>
      </c>
      <c r="R480" s="341">
        <v>1</v>
      </c>
      <c r="S480" s="318">
        <f t="shared" si="184"/>
        <v>5.08</v>
      </c>
      <c r="T480" s="319"/>
      <c r="V480" s="328">
        <f>3.495+2.135</f>
        <v>5.63</v>
      </c>
      <c r="W480" s="320"/>
      <c r="X480" s="328">
        <f t="shared" si="179"/>
        <v>0</v>
      </c>
      <c r="Y480" s="464"/>
      <c r="Z480" s="328">
        <f t="shared" si="180"/>
        <v>0</v>
      </c>
      <c r="AB480" s="458">
        <f t="shared" si="181"/>
        <v>-5.08</v>
      </c>
      <c r="AC480" s="348">
        <f t="shared" si="175"/>
        <v>-5.08</v>
      </c>
    </row>
    <row r="481" spans="1:29">
      <c r="A481" s="318"/>
      <c r="B481" s="319"/>
      <c r="C481" s="318"/>
      <c r="D481" s="318"/>
      <c r="E481" s="319"/>
      <c r="F481" s="319"/>
      <c r="G481" s="318"/>
      <c r="H481" s="318"/>
      <c r="I481" s="318"/>
      <c r="J481" s="382" t="s">
        <v>389</v>
      </c>
      <c r="K481" s="338">
        <f>SUM(K429:K480)</f>
        <v>228.37000000000018</v>
      </c>
      <c r="L481" s="318"/>
      <c r="M481" s="318"/>
      <c r="N481" s="382" t="s">
        <v>389</v>
      </c>
      <c r="O481" s="759">
        <f>SUM(O429:O480)</f>
        <v>201.43000000000012</v>
      </c>
      <c r="P481" s="751" t="s">
        <v>389</v>
      </c>
      <c r="Q481" s="751"/>
      <c r="R481" s="382"/>
      <c r="S481" s="338">
        <f>SUM(S429:S480)</f>
        <v>201.43000000000012</v>
      </c>
      <c r="T481" s="319"/>
      <c r="V481" s="318"/>
      <c r="W481" s="321" t="s">
        <v>389</v>
      </c>
      <c r="X481" s="338">
        <f>SUM(X429:X480)</f>
        <v>153.67400000000004</v>
      </c>
      <c r="Y481" s="321" t="s">
        <v>389</v>
      </c>
      <c r="Z481" s="338">
        <f>SUM(Z429:Z480)</f>
        <v>101.03399999999996</v>
      </c>
      <c r="AB481" s="338"/>
      <c r="AC481" s="338"/>
    </row>
    <row r="482" spans="1:29" ht="6.75" customHeight="1">
      <c r="A482" s="316"/>
      <c r="B482" s="317"/>
      <c r="C482" s="316"/>
      <c r="D482" s="316"/>
      <c r="E482" s="317"/>
      <c r="F482" s="317"/>
      <c r="G482" s="316"/>
      <c r="H482" s="316"/>
      <c r="I482" s="316"/>
      <c r="J482" s="316"/>
      <c r="K482" s="316"/>
      <c r="L482" s="316"/>
      <c r="M482" s="316"/>
      <c r="N482" s="316"/>
      <c r="O482" s="749"/>
      <c r="P482" s="752"/>
      <c r="Q482" s="752"/>
      <c r="R482" s="316"/>
      <c r="S482" s="316"/>
      <c r="T482" s="317"/>
      <c r="V482" s="316"/>
      <c r="W482" s="316"/>
      <c r="X482" s="316"/>
      <c r="Y482" s="316"/>
      <c r="Z482" s="316"/>
      <c r="AB482" s="339"/>
      <c r="AC482" s="339"/>
    </row>
    <row r="483" spans="1:29">
      <c r="A483" s="318">
        <v>12</v>
      </c>
      <c r="B483" s="319" t="s">
        <v>383</v>
      </c>
      <c r="C483" s="318">
        <v>600</v>
      </c>
      <c r="D483" s="318">
        <v>18</v>
      </c>
      <c r="E483" s="319">
        <v>1</v>
      </c>
      <c r="F483" s="336"/>
      <c r="G483" s="318" t="s">
        <v>1853</v>
      </c>
      <c r="H483" s="328">
        <v>4.49</v>
      </c>
      <c r="I483" s="318">
        <v>1</v>
      </c>
      <c r="J483" s="318">
        <f t="shared" ref="J483:J501" si="185">IF(N483&gt;0,1,0)</f>
        <v>1</v>
      </c>
      <c r="K483" s="328">
        <f t="shared" ref="K483:K502" si="186">H483*J483</f>
        <v>4.49</v>
      </c>
      <c r="L483" s="350" t="s">
        <v>2725</v>
      </c>
      <c r="M483" s="350" t="s">
        <v>2742</v>
      </c>
      <c r="N483" s="318">
        <v>1</v>
      </c>
      <c r="O483" s="621">
        <f t="shared" ref="O483:O502" si="187">H483*N483</f>
        <v>4.49</v>
      </c>
      <c r="P483" s="755">
        <v>1</v>
      </c>
      <c r="Q483" s="755">
        <f t="shared" ref="Q483:Q502" si="188">R483-P483</f>
        <v>0</v>
      </c>
      <c r="R483" s="341">
        <v>1</v>
      </c>
      <c r="S483" s="318">
        <f t="shared" ref="S483" si="189">H483*R483</f>
        <v>4.49</v>
      </c>
      <c r="T483" s="319"/>
      <c r="V483" s="328">
        <f>4.49</f>
        <v>4.49</v>
      </c>
      <c r="W483" s="320">
        <v>1</v>
      </c>
      <c r="X483" s="328">
        <f t="shared" ref="X483:X502" si="190">V483*W483</f>
        <v>4.49</v>
      </c>
      <c r="Y483" s="320"/>
      <c r="Z483" s="328">
        <f t="shared" ref="Z483:Z502" si="191">V483*Y483</f>
        <v>0</v>
      </c>
      <c r="AB483" s="458">
        <f t="shared" ref="AB483:AB502" si="192">X483-O483</f>
        <v>0</v>
      </c>
      <c r="AC483" s="348">
        <f t="shared" ref="AC483:AC502" si="193">Z483-S483</f>
        <v>-4.49</v>
      </c>
    </row>
    <row r="484" spans="1:29">
      <c r="A484" s="318"/>
      <c r="B484" s="319"/>
      <c r="C484" s="318"/>
      <c r="D484" s="318"/>
      <c r="E484" s="319"/>
      <c r="F484" s="336"/>
      <c r="G484" s="318" t="s">
        <v>1854</v>
      </c>
      <c r="H484" s="328">
        <v>4.49</v>
      </c>
      <c r="I484" s="318">
        <v>1</v>
      </c>
      <c r="J484" s="318">
        <f t="shared" si="185"/>
        <v>1</v>
      </c>
      <c r="K484" s="328">
        <f t="shared" si="186"/>
        <v>4.49</v>
      </c>
      <c r="L484" s="318">
        <v>1289</v>
      </c>
      <c r="M484" s="318" t="s">
        <v>172</v>
      </c>
      <c r="N484" s="318">
        <v>1</v>
      </c>
      <c r="O484" s="621">
        <f t="shared" si="187"/>
        <v>4.49</v>
      </c>
      <c r="P484" s="755">
        <v>1</v>
      </c>
      <c r="Q484" s="755">
        <f t="shared" si="188"/>
        <v>0</v>
      </c>
      <c r="R484" s="341">
        <v>1</v>
      </c>
      <c r="S484" s="318">
        <f t="shared" ref="S484:S502" si="194">H484*R484</f>
        <v>4.49</v>
      </c>
      <c r="T484" s="319"/>
      <c r="V484" s="328">
        <f>4.49</f>
        <v>4.49</v>
      </c>
      <c r="W484" s="320">
        <v>1</v>
      </c>
      <c r="X484" s="328">
        <f t="shared" si="190"/>
        <v>4.49</v>
      </c>
      <c r="Y484" s="464"/>
      <c r="Z484" s="328">
        <f t="shared" si="191"/>
        <v>0</v>
      </c>
      <c r="AB484" s="458">
        <f t="shared" si="192"/>
        <v>0</v>
      </c>
      <c r="AC484" s="348">
        <f t="shared" si="193"/>
        <v>-4.49</v>
      </c>
    </row>
    <row r="485" spans="1:29">
      <c r="A485" s="318"/>
      <c r="B485" s="319"/>
      <c r="C485" s="318"/>
      <c r="D485" s="318"/>
      <c r="E485" s="319"/>
      <c r="F485" s="319"/>
      <c r="G485" s="318" t="s">
        <v>1855</v>
      </c>
      <c r="H485" s="328">
        <v>4.49</v>
      </c>
      <c r="I485" s="318">
        <v>1</v>
      </c>
      <c r="J485" s="318">
        <f t="shared" si="185"/>
        <v>1</v>
      </c>
      <c r="K485" s="328">
        <f t="shared" si="186"/>
        <v>4.49</v>
      </c>
      <c r="L485" s="318">
        <v>1289</v>
      </c>
      <c r="M485" s="318" t="s">
        <v>172</v>
      </c>
      <c r="N485" s="318">
        <v>1</v>
      </c>
      <c r="O485" s="621">
        <f t="shared" si="187"/>
        <v>4.49</v>
      </c>
      <c r="P485" s="755">
        <v>1</v>
      </c>
      <c r="Q485" s="755">
        <f t="shared" si="188"/>
        <v>0</v>
      </c>
      <c r="R485" s="341">
        <v>1</v>
      </c>
      <c r="S485" s="318">
        <f t="shared" si="194"/>
        <v>4.49</v>
      </c>
      <c r="T485" s="319"/>
      <c r="V485" s="328">
        <f t="shared" ref="V485:V491" si="195">4.49</f>
        <v>4.49</v>
      </c>
      <c r="W485" s="320">
        <v>1</v>
      </c>
      <c r="X485" s="328">
        <f t="shared" si="190"/>
        <v>4.49</v>
      </c>
      <c r="Y485" s="464">
        <v>1</v>
      </c>
      <c r="Z485" s="328">
        <f t="shared" si="191"/>
        <v>4.49</v>
      </c>
      <c r="AB485" s="458">
        <f t="shared" si="192"/>
        <v>0</v>
      </c>
      <c r="AC485" s="348">
        <f t="shared" si="193"/>
        <v>0</v>
      </c>
    </row>
    <row r="486" spans="1:29">
      <c r="A486" s="318"/>
      <c r="B486" s="319"/>
      <c r="C486" s="318"/>
      <c r="D486" s="318"/>
      <c r="E486" s="319"/>
      <c r="F486" s="319"/>
      <c r="G486" s="318" t="s">
        <v>1856</v>
      </c>
      <c r="H486" s="328">
        <v>4.49</v>
      </c>
      <c r="I486" s="318">
        <v>1</v>
      </c>
      <c r="J486" s="318">
        <f t="shared" si="185"/>
        <v>1</v>
      </c>
      <c r="K486" s="328">
        <f t="shared" si="186"/>
        <v>4.49</v>
      </c>
      <c r="L486" s="318">
        <v>1289</v>
      </c>
      <c r="M486" s="318" t="s">
        <v>172</v>
      </c>
      <c r="N486" s="318">
        <v>1</v>
      </c>
      <c r="O486" s="621">
        <f t="shared" si="187"/>
        <v>4.49</v>
      </c>
      <c r="P486" s="755">
        <v>1</v>
      </c>
      <c r="Q486" s="755">
        <f t="shared" si="188"/>
        <v>0</v>
      </c>
      <c r="R486" s="341">
        <v>1</v>
      </c>
      <c r="S486" s="318">
        <f t="shared" si="194"/>
        <v>4.49</v>
      </c>
      <c r="T486" s="319"/>
      <c r="V486" s="328">
        <f t="shared" si="195"/>
        <v>4.49</v>
      </c>
      <c r="W486" s="320">
        <v>1</v>
      </c>
      <c r="X486" s="328">
        <f t="shared" si="190"/>
        <v>4.49</v>
      </c>
      <c r="Y486" s="464">
        <v>1</v>
      </c>
      <c r="Z486" s="328">
        <f t="shared" si="191"/>
        <v>4.49</v>
      </c>
      <c r="AB486" s="458">
        <f t="shared" si="192"/>
        <v>0</v>
      </c>
      <c r="AC486" s="348">
        <f t="shared" si="193"/>
        <v>0</v>
      </c>
    </row>
    <row r="487" spans="1:29">
      <c r="A487" s="318"/>
      <c r="B487" s="319"/>
      <c r="C487" s="318"/>
      <c r="D487" s="318"/>
      <c r="E487" s="319"/>
      <c r="F487" s="319"/>
      <c r="G487" s="318" t="s">
        <v>1857</v>
      </c>
      <c r="H487" s="328">
        <v>4.49</v>
      </c>
      <c r="I487" s="318">
        <v>1</v>
      </c>
      <c r="J487" s="318">
        <f t="shared" si="185"/>
        <v>1</v>
      </c>
      <c r="K487" s="328">
        <f t="shared" si="186"/>
        <v>4.49</v>
      </c>
      <c r="L487" s="318">
        <v>1289</v>
      </c>
      <c r="M487" s="318" t="s">
        <v>172</v>
      </c>
      <c r="N487" s="318">
        <v>1</v>
      </c>
      <c r="O487" s="621">
        <f t="shared" si="187"/>
        <v>4.49</v>
      </c>
      <c r="P487" s="755">
        <v>1</v>
      </c>
      <c r="Q487" s="755">
        <f t="shared" si="188"/>
        <v>0</v>
      </c>
      <c r="R487" s="341">
        <v>1</v>
      </c>
      <c r="S487" s="318">
        <f t="shared" si="194"/>
        <v>4.49</v>
      </c>
      <c r="T487" s="319"/>
      <c r="V487" s="328">
        <f t="shared" si="195"/>
        <v>4.49</v>
      </c>
      <c r="W487" s="320">
        <v>1</v>
      </c>
      <c r="X487" s="328">
        <f t="shared" si="190"/>
        <v>4.49</v>
      </c>
      <c r="Y487" s="464">
        <v>1</v>
      </c>
      <c r="Z487" s="328">
        <f t="shared" si="191"/>
        <v>4.49</v>
      </c>
      <c r="AB487" s="458">
        <f t="shared" si="192"/>
        <v>0</v>
      </c>
      <c r="AC487" s="348">
        <f t="shared" si="193"/>
        <v>0</v>
      </c>
    </row>
    <row r="488" spans="1:29">
      <c r="A488" s="318"/>
      <c r="B488" s="319"/>
      <c r="C488" s="318"/>
      <c r="D488" s="318"/>
      <c r="E488" s="319"/>
      <c r="F488" s="319"/>
      <c r="G488" s="318" t="s">
        <v>1858</v>
      </c>
      <c r="H488" s="328">
        <v>4.49</v>
      </c>
      <c r="I488" s="318">
        <v>1</v>
      </c>
      <c r="J488" s="318">
        <f t="shared" si="185"/>
        <v>1</v>
      </c>
      <c r="K488" s="328">
        <f t="shared" si="186"/>
        <v>4.49</v>
      </c>
      <c r="L488" s="318">
        <v>1289</v>
      </c>
      <c r="M488" s="318" t="s">
        <v>172</v>
      </c>
      <c r="N488" s="318">
        <v>1</v>
      </c>
      <c r="O488" s="621">
        <f t="shared" si="187"/>
        <v>4.49</v>
      </c>
      <c r="P488" s="755">
        <v>1</v>
      </c>
      <c r="Q488" s="755">
        <f t="shared" si="188"/>
        <v>0</v>
      </c>
      <c r="R488" s="341">
        <v>1</v>
      </c>
      <c r="S488" s="318">
        <f t="shared" si="194"/>
        <v>4.49</v>
      </c>
      <c r="T488" s="319"/>
      <c r="V488" s="328">
        <f t="shared" si="195"/>
        <v>4.49</v>
      </c>
      <c r="W488" s="320">
        <v>1</v>
      </c>
      <c r="X488" s="328">
        <f t="shared" si="190"/>
        <v>4.49</v>
      </c>
      <c r="Y488" s="464">
        <v>1</v>
      </c>
      <c r="Z488" s="328">
        <f t="shared" si="191"/>
        <v>4.49</v>
      </c>
      <c r="AB488" s="458">
        <f t="shared" si="192"/>
        <v>0</v>
      </c>
      <c r="AC488" s="348">
        <f t="shared" si="193"/>
        <v>0</v>
      </c>
    </row>
    <row r="489" spans="1:29">
      <c r="A489" s="318"/>
      <c r="B489" s="319"/>
      <c r="C489" s="318"/>
      <c r="D489" s="318"/>
      <c r="E489" s="319"/>
      <c r="F489" s="319"/>
      <c r="G489" s="318" t="s">
        <v>1859</v>
      </c>
      <c r="H489" s="328">
        <v>4.49</v>
      </c>
      <c r="I489" s="318">
        <v>1</v>
      </c>
      <c r="J489" s="318">
        <f t="shared" si="185"/>
        <v>1</v>
      </c>
      <c r="K489" s="328">
        <f t="shared" si="186"/>
        <v>4.49</v>
      </c>
      <c r="L489" s="318">
        <v>1289</v>
      </c>
      <c r="M489" s="318" t="s">
        <v>172</v>
      </c>
      <c r="N489" s="318">
        <v>1</v>
      </c>
      <c r="O489" s="621">
        <f t="shared" si="187"/>
        <v>4.49</v>
      </c>
      <c r="P489" s="755">
        <v>1</v>
      </c>
      <c r="Q489" s="755">
        <f t="shared" si="188"/>
        <v>0</v>
      </c>
      <c r="R489" s="341">
        <v>1</v>
      </c>
      <c r="S489" s="318">
        <f t="shared" si="194"/>
        <v>4.49</v>
      </c>
      <c r="T489" s="319"/>
      <c r="V489" s="328">
        <f t="shared" si="195"/>
        <v>4.49</v>
      </c>
      <c r="W489" s="320">
        <v>1</v>
      </c>
      <c r="X489" s="328">
        <f t="shared" si="190"/>
        <v>4.49</v>
      </c>
      <c r="Y489" s="464">
        <v>1</v>
      </c>
      <c r="Z489" s="328">
        <f t="shared" si="191"/>
        <v>4.49</v>
      </c>
      <c r="AB489" s="458">
        <f t="shared" si="192"/>
        <v>0</v>
      </c>
      <c r="AC489" s="348">
        <f t="shared" si="193"/>
        <v>0</v>
      </c>
    </row>
    <row r="490" spans="1:29">
      <c r="A490" s="318"/>
      <c r="B490" s="319"/>
      <c r="C490" s="318"/>
      <c r="D490" s="318"/>
      <c r="E490" s="319"/>
      <c r="F490" s="319"/>
      <c r="G490" s="318" t="s">
        <v>1860</v>
      </c>
      <c r="H490" s="328">
        <v>4.49</v>
      </c>
      <c r="I490" s="318">
        <v>1</v>
      </c>
      <c r="J490" s="318">
        <f t="shared" si="185"/>
        <v>1</v>
      </c>
      <c r="K490" s="328">
        <f t="shared" si="186"/>
        <v>4.49</v>
      </c>
      <c r="L490" s="318">
        <v>1289</v>
      </c>
      <c r="M490" s="318" t="s">
        <v>172</v>
      </c>
      <c r="N490" s="318">
        <v>1</v>
      </c>
      <c r="O490" s="621">
        <f t="shared" si="187"/>
        <v>4.49</v>
      </c>
      <c r="P490" s="755">
        <v>1</v>
      </c>
      <c r="Q490" s="755">
        <f t="shared" si="188"/>
        <v>0</v>
      </c>
      <c r="R490" s="341">
        <v>1</v>
      </c>
      <c r="S490" s="318">
        <f t="shared" si="194"/>
        <v>4.49</v>
      </c>
      <c r="T490" s="319"/>
      <c r="V490" s="328">
        <f t="shared" si="195"/>
        <v>4.49</v>
      </c>
      <c r="W490" s="320">
        <v>1</v>
      </c>
      <c r="X490" s="328">
        <f t="shared" si="190"/>
        <v>4.49</v>
      </c>
      <c r="Y490" s="464">
        <v>1</v>
      </c>
      <c r="Z490" s="328">
        <f t="shared" si="191"/>
        <v>4.49</v>
      </c>
      <c r="AB490" s="458">
        <f t="shared" si="192"/>
        <v>0</v>
      </c>
      <c r="AC490" s="348">
        <f t="shared" si="193"/>
        <v>0</v>
      </c>
    </row>
    <row r="491" spans="1:29">
      <c r="A491" s="318"/>
      <c r="B491" s="319"/>
      <c r="C491" s="318"/>
      <c r="D491" s="318"/>
      <c r="E491" s="319"/>
      <c r="F491" s="319"/>
      <c r="G491" s="318" t="s">
        <v>1861</v>
      </c>
      <c r="H491" s="328">
        <v>4.49</v>
      </c>
      <c r="I491" s="318">
        <v>1</v>
      </c>
      <c r="J491" s="318">
        <f t="shared" si="185"/>
        <v>1</v>
      </c>
      <c r="K491" s="328">
        <f t="shared" si="186"/>
        <v>4.49</v>
      </c>
      <c r="L491" s="318">
        <v>1294</v>
      </c>
      <c r="M491" s="318" t="s">
        <v>233</v>
      </c>
      <c r="N491" s="318">
        <v>1</v>
      </c>
      <c r="O491" s="621">
        <f t="shared" si="187"/>
        <v>4.49</v>
      </c>
      <c r="P491" s="755">
        <v>1</v>
      </c>
      <c r="Q491" s="755">
        <f t="shared" si="188"/>
        <v>0</v>
      </c>
      <c r="R491" s="341">
        <v>1</v>
      </c>
      <c r="S491" s="318">
        <f t="shared" si="194"/>
        <v>4.49</v>
      </c>
      <c r="T491" s="319"/>
      <c r="V491" s="328">
        <f t="shared" si="195"/>
        <v>4.49</v>
      </c>
      <c r="W491" s="320">
        <v>1</v>
      </c>
      <c r="X491" s="328">
        <f t="shared" si="190"/>
        <v>4.49</v>
      </c>
      <c r="Y491" s="464">
        <v>1</v>
      </c>
      <c r="Z491" s="328">
        <f t="shared" si="191"/>
        <v>4.49</v>
      </c>
      <c r="AB491" s="458">
        <f t="shared" si="192"/>
        <v>0</v>
      </c>
      <c r="AC491" s="348">
        <f t="shared" si="193"/>
        <v>0</v>
      </c>
    </row>
    <row r="492" spans="1:29">
      <c r="A492" s="318"/>
      <c r="B492" s="319"/>
      <c r="C492" s="318"/>
      <c r="D492" s="318"/>
      <c r="E492" s="319"/>
      <c r="F492" s="319"/>
      <c r="G492" s="318" t="s">
        <v>1862</v>
      </c>
      <c r="H492" s="328">
        <v>3.45</v>
      </c>
      <c r="I492" s="318">
        <v>1</v>
      </c>
      <c r="J492" s="318">
        <f t="shared" si="185"/>
        <v>1</v>
      </c>
      <c r="K492" s="328">
        <f t="shared" si="186"/>
        <v>3.45</v>
      </c>
      <c r="L492" s="318">
        <v>1294</v>
      </c>
      <c r="M492" s="318" t="s">
        <v>233</v>
      </c>
      <c r="N492" s="318">
        <v>1</v>
      </c>
      <c r="O492" s="621">
        <f t="shared" si="187"/>
        <v>3.45</v>
      </c>
      <c r="P492" s="755">
        <v>1</v>
      </c>
      <c r="Q492" s="755">
        <f t="shared" si="188"/>
        <v>0</v>
      </c>
      <c r="R492" s="341">
        <v>1</v>
      </c>
      <c r="S492" s="318">
        <f t="shared" si="194"/>
        <v>3.45</v>
      </c>
      <c r="T492" s="319"/>
      <c r="V492" s="328">
        <v>3.44</v>
      </c>
      <c r="W492" s="320">
        <v>1</v>
      </c>
      <c r="X492" s="328">
        <f t="shared" si="190"/>
        <v>3.44</v>
      </c>
      <c r="Y492" s="464">
        <v>1</v>
      </c>
      <c r="Z492" s="328">
        <f t="shared" si="191"/>
        <v>3.44</v>
      </c>
      <c r="AB492" s="458">
        <f t="shared" si="192"/>
        <v>-1.0000000000000231E-2</v>
      </c>
      <c r="AC492" s="348">
        <f t="shared" si="193"/>
        <v>-1.0000000000000231E-2</v>
      </c>
    </row>
    <row r="493" spans="1:29">
      <c r="A493" s="318"/>
      <c r="B493" s="319"/>
      <c r="C493" s="318"/>
      <c r="D493" s="318"/>
      <c r="E493" s="319"/>
      <c r="F493" s="336" t="s">
        <v>1863</v>
      </c>
      <c r="G493" s="318" t="s">
        <v>1864</v>
      </c>
      <c r="H493" s="328">
        <v>3.27</v>
      </c>
      <c r="I493" s="318">
        <v>1</v>
      </c>
      <c r="J493" s="318">
        <f t="shared" si="185"/>
        <v>1</v>
      </c>
      <c r="K493" s="328">
        <f t="shared" si="186"/>
        <v>3.27</v>
      </c>
      <c r="L493" s="350" t="s">
        <v>2726</v>
      </c>
      <c r="M493" s="350" t="s">
        <v>2743</v>
      </c>
      <c r="N493" s="318">
        <v>1</v>
      </c>
      <c r="O493" s="621">
        <f t="shared" si="187"/>
        <v>3.27</v>
      </c>
      <c r="P493" s="755">
        <v>1</v>
      </c>
      <c r="Q493" s="755">
        <f t="shared" si="188"/>
        <v>0</v>
      </c>
      <c r="R493" s="341">
        <v>1</v>
      </c>
      <c r="S493" s="318">
        <f t="shared" si="194"/>
        <v>3.27</v>
      </c>
      <c r="T493" s="319"/>
      <c r="V493" s="328">
        <v>3.2559999999999998</v>
      </c>
      <c r="W493" s="320">
        <v>1</v>
      </c>
      <c r="X493" s="328">
        <f t="shared" si="190"/>
        <v>3.2559999999999998</v>
      </c>
      <c r="Y493" s="464"/>
      <c r="Z493" s="328">
        <f t="shared" si="191"/>
        <v>0</v>
      </c>
      <c r="AB493" s="458">
        <f t="shared" si="192"/>
        <v>-1.4000000000000234E-2</v>
      </c>
      <c r="AC493" s="348">
        <f t="shared" si="193"/>
        <v>-3.27</v>
      </c>
    </row>
    <row r="494" spans="1:29">
      <c r="A494" s="318"/>
      <c r="B494" s="319"/>
      <c r="C494" s="318"/>
      <c r="D494" s="318"/>
      <c r="E494" s="319"/>
      <c r="F494" s="336" t="s">
        <v>1863</v>
      </c>
      <c r="G494" s="318" t="s">
        <v>1865</v>
      </c>
      <c r="H494" s="328">
        <v>3.77</v>
      </c>
      <c r="I494" s="318">
        <v>1</v>
      </c>
      <c r="J494" s="318">
        <f t="shared" si="185"/>
        <v>1</v>
      </c>
      <c r="K494" s="328">
        <f t="shared" si="186"/>
        <v>3.77</v>
      </c>
      <c r="L494" s="350" t="s">
        <v>2724</v>
      </c>
      <c r="M494" s="349">
        <v>126183</v>
      </c>
      <c r="N494" s="318">
        <v>1</v>
      </c>
      <c r="O494" s="621">
        <f t="shared" si="187"/>
        <v>3.77</v>
      </c>
      <c r="P494" s="755">
        <v>1</v>
      </c>
      <c r="Q494" s="755">
        <f t="shared" si="188"/>
        <v>0</v>
      </c>
      <c r="R494" s="341">
        <v>1</v>
      </c>
      <c r="S494" s="318">
        <f t="shared" si="194"/>
        <v>3.77</v>
      </c>
      <c r="T494" s="319"/>
      <c r="V494" s="328">
        <f>3.256+0.499</f>
        <v>3.7549999999999999</v>
      </c>
      <c r="W494" s="320">
        <v>0.5</v>
      </c>
      <c r="X494" s="328">
        <f t="shared" si="190"/>
        <v>1.8774999999999999</v>
      </c>
      <c r="Y494" s="464"/>
      <c r="Z494" s="328">
        <f t="shared" si="191"/>
        <v>0</v>
      </c>
      <c r="AB494" s="458">
        <f t="shared" si="192"/>
        <v>-1.8925000000000001</v>
      </c>
      <c r="AC494" s="348">
        <f t="shared" si="193"/>
        <v>-3.77</v>
      </c>
    </row>
    <row r="495" spans="1:29">
      <c r="A495" s="318"/>
      <c r="B495" s="319"/>
      <c r="C495" s="318"/>
      <c r="D495" s="318"/>
      <c r="E495" s="319"/>
      <c r="F495" s="319"/>
      <c r="G495" s="318" t="s">
        <v>1866</v>
      </c>
      <c r="H495" s="328">
        <v>3.92</v>
      </c>
      <c r="I495" s="318">
        <v>1</v>
      </c>
      <c r="J495" s="318">
        <f t="shared" si="185"/>
        <v>1</v>
      </c>
      <c r="K495" s="328">
        <f t="shared" si="186"/>
        <v>3.92</v>
      </c>
      <c r="L495" s="318">
        <v>1292</v>
      </c>
      <c r="M495" s="318" t="s">
        <v>231</v>
      </c>
      <c r="N495" s="318">
        <v>1</v>
      </c>
      <c r="O495" s="621">
        <f t="shared" si="187"/>
        <v>3.92</v>
      </c>
      <c r="P495" s="755">
        <v>1</v>
      </c>
      <c r="Q495" s="755">
        <f t="shared" si="188"/>
        <v>0</v>
      </c>
      <c r="R495" s="341">
        <v>1</v>
      </c>
      <c r="S495" s="318">
        <f t="shared" si="194"/>
        <v>3.92</v>
      </c>
      <c r="T495" s="319"/>
      <c r="V495" s="328">
        <v>3.91</v>
      </c>
      <c r="W495" s="320">
        <v>1</v>
      </c>
      <c r="X495" s="328">
        <f t="shared" si="190"/>
        <v>3.91</v>
      </c>
      <c r="Y495" s="464"/>
      <c r="Z495" s="328">
        <f t="shared" si="191"/>
        <v>0</v>
      </c>
      <c r="AB495" s="458">
        <f t="shared" si="192"/>
        <v>-9.9999999999997868E-3</v>
      </c>
      <c r="AC495" s="348">
        <f t="shared" si="193"/>
        <v>-3.92</v>
      </c>
    </row>
    <row r="496" spans="1:29">
      <c r="A496" s="318"/>
      <c r="B496" s="319"/>
      <c r="C496" s="318"/>
      <c r="D496" s="318"/>
      <c r="E496" s="319"/>
      <c r="F496" s="319"/>
      <c r="G496" s="318" t="s">
        <v>1867</v>
      </c>
      <c r="H496" s="328">
        <v>3.92</v>
      </c>
      <c r="I496" s="318">
        <v>1</v>
      </c>
      <c r="J496" s="318">
        <f t="shared" si="185"/>
        <v>1</v>
      </c>
      <c r="K496" s="328">
        <f t="shared" si="186"/>
        <v>3.92</v>
      </c>
      <c r="L496" s="318">
        <v>1292</v>
      </c>
      <c r="M496" s="318" t="s">
        <v>231</v>
      </c>
      <c r="N496" s="318">
        <v>1</v>
      </c>
      <c r="O496" s="621">
        <f t="shared" si="187"/>
        <v>3.92</v>
      </c>
      <c r="P496" s="755">
        <v>1</v>
      </c>
      <c r="Q496" s="755">
        <f t="shared" si="188"/>
        <v>0</v>
      </c>
      <c r="R496" s="341">
        <v>1</v>
      </c>
      <c r="S496" s="318">
        <f t="shared" si="194"/>
        <v>3.92</v>
      </c>
      <c r="T496" s="319"/>
      <c r="V496" s="328">
        <v>3.91</v>
      </c>
      <c r="W496" s="320">
        <v>1</v>
      </c>
      <c r="X496" s="328">
        <f t="shared" si="190"/>
        <v>3.91</v>
      </c>
      <c r="Y496" s="464"/>
      <c r="Z496" s="328">
        <f t="shared" si="191"/>
        <v>0</v>
      </c>
      <c r="AB496" s="458">
        <f t="shared" si="192"/>
        <v>-9.9999999999997868E-3</v>
      </c>
      <c r="AC496" s="348">
        <f t="shared" si="193"/>
        <v>-3.92</v>
      </c>
    </row>
    <row r="497" spans="1:29">
      <c r="A497" s="318"/>
      <c r="B497" s="319"/>
      <c r="C497" s="318"/>
      <c r="D497" s="318"/>
      <c r="E497" s="319"/>
      <c r="F497" s="319"/>
      <c r="G497" s="318" t="s">
        <v>1868</v>
      </c>
      <c r="H497" s="328">
        <v>3.92</v>
      </c>
      <c r="I497" s="318">
        <v>1</v>
      </c>
      <c r="J497" s="318">
        <f t="shared" si="185"/>
        <v>1</v>
      </c>
      <c r="K497" s="328">
        <f t="shared" si="186"/>
        <v>3.92</v>
      </c>
      <c r="L497" s="318">
        <v>1292</v>
      </c>
      <c r="M497" s="318" t="s">
        <v>231</v>
      </c>
      <c r="N497" s="318">
        <v>1</v>
      </c>
      <c r="O497" s="621">
        <f t="shared" si="187"/>
        <v>3.92</v>
      </c>
      <c r="P497" s="755">
        <v>1</v>
      </c>
      <c r="Q497" s="755">
        <f t="shared" si="188"/>
        <v>0</v>
      </c>
      <c r="R497" s="341">
        <v>1</v>
      </c>
      <c r="S497" s="318">
        <f t="shared" si="194"/>
        <v>3.92</v>
      </c>
      <c r="T497" s="319"/>
      <c r="V497" s="328">
        <v>3.91</v>
      </c>
      <c r="W497" s="320">
        <v>1</v>
      </c>
      <c r="X497" s="328">
        <f t="shared" si="190"/>
        <v>3.91</v>
      </c>
      <c r="Y497" s="464"/>
      <c r="Z497" s="328">
        <f t="shared" si="191"/>
        <v>0</v>
      </c>
      <c r="AB497" s="458">
        <f t="shared" si="192"/>
        <v>-9.9999999999997868E-3</v>
      </c>
      <c r="AC497" s="348">
        <f t="shared" si="193"/>
        <v>-3.92</v>
      </c>
    </row>
    <row r="498" spans="1:29">
      <c r="A498" s="318"/>
      <c r="B498" s="319"/>
      <c r="C498" s="318"/>
      <c r="D498" s="318"/>
      <c r="E498" s="319"/>
      <c r="F498" s="319"/>
      <c r="G498" s="318" t="s">
        <v>1869</v>
      </c>
      <c r="H498" s="328">
        <v>3.92</v>
      </c>
      <c r="I498" s="318">
        <v>1</v>
      </c>
      <c r="J498" s="318">
        <f t="shared" si="185"/>
        <v>1</v>
      </c>
      <c r="K498" s="328">
        <f t="shared" si="186"/>
        <v>3.92</v>
      </c>
      <c r="L498" s="318">
        <v>1292</v>
      </c>
      <c r="M498" s="318" t="s">
        <v>231</v>
      </c>
      <c r="N498" s="318">
        <v>1</v>
      </c>
      <c r="O498" s="621">
        <f t="shared" si="187"/>
        <v>3.92</v>
      </c>
      <c r="P498" s="755">
        <v>1</v>
      </c>
      <c r="Q498" s="755">
        <f t="shared" si="188"/>
        <v>0</v>
      </c>
      <c r="R498" s="341">
        <v>1</v>
      </c>
      <c r="S498" s="318">
        <f t="shared" si="194"/>
        <v>3.92</v>
      </c>
      <c r="T498" s="319"/>
      <c r="V498" s="328">
        <v>3.91</v>
      </c>
      <c r="W498" s="320">
        <v>1</v>
      </c>
      <c r="X498" s="328">
        <f t="shared" si="190"/>
        <v>3.91</v>
      </c>
      <c r="Y498" s="464"/>
      <c r="Z498" s="328">
        <f t="shared" si="191"/>
        <v>0</v>
      </c>
      <c r="AB498" s="458">
        <f t="shared" si="192"/>
        <v>-9.9999999999997868E-3</v>
      </c>
      <c r="AC498" s="348">
        <f t="shared" si="193"/>
        <v>-3.92</v>
      </c>
    </row>
    <row r="499" spans="1:29" ht="20.399999999999999" collapsed="1">
      <c r="A499" s="318"/>
      <c r="B499" s="319"/>
      <c r="C499" s="318"/>
      <c r="D499" s="318"/>
      <c r="E499" s="319"/>
      <c r="F499" s="336" t="s">
        <v>1863</v>
      </c>
      <c r="G499" s="318" t="s">
        <v>1870</v>
      </c>
      <c r="H499" s="328">
        <v>3.77</v>
      </c>
      <c r="I499" s="318">
        <v>1</v>
      </c>
      <c r="J499" s="318">
        <f t="shared" si="185"/>
        <v>1</v>
      </c>
      <c r="K499" s="328">
        <f t="shared" si="186"/>
        <v>3.77</v>
      </c>
      <c r="L499" s="599" t="s">
        <v>3218</v>
      </c>
      <c r="M499" s="349">
        <v>126183</v>
      </c>
      <c r="N499" s="318">
        <v>1</v>
      </c>
      <c r="O499" s="621">
        <f t="shared" si="187"/>
        <v>3.77</v>
      </c>
      <c r="P499" s="755">
        <v>1</v>
      </c>
      <c r="Q499" s="755">
        <f t="shared" si="188"/>
        <v>0</v>
      </c>
      <c r="R499" s="341">
        <v>1</v>
      </c>
      <c r="S499" s="318">
        <f t="shared" si="194"/>
        <v>3.77</v>
      </c>
      <c r="T499" s="319" t="s">
        <v>3333</v>
      </c>
      <c r="V499" s="328">
        <f>2.673+2.055</f>
        <v>4.7279999999999998</v>
      </c>
      <c r="W499" s="458">
        <f>2/3</f>
        <v>0.66666666666666663</v>
      </c>
      <c r="X499" s="328">
        <f t="shared" si="190"/>
        <v>3.1519999999999997</v>
      </c>
      <c r="Y499" s="464"/>
      <c r="Z499" s="328">
        <f t="shared" si="191"/>
        <v>0</v>
      </c>
      <c r="AB499" s="458">
        <f t="shared" si="192"/>
        <v>-0.61800000000000033</v>
      </c>
      <c r="AC499" s="348">
        <f t="shared" si="193"/>
        <v>-3.77</v>
      </c>
    </row>
    <row r="500" spans="1:29" ht="20.399999999999999">
      <c r="A500" s="318"/>
      <c r="B500" s="319"/>
      <c r="C500" s="318"/>
      <c r="D500" s="318"/>
      <c r="E500" s="319"/>
      <c r="F500" s="336" t="s">
        <v>1863</v>
      </c>
      <c r="G500" s="318" t="s">
        <v>1871</v>
      </c>
      <c r="H500" s="328">
        <v>3.27</v>
      </c>
      <c r="I500" s="318">
        <v>1</v>
      </c>
      <c r="J500" s="318">
        <f t="shared" si="185"/>
        <v>1</v>
      </c>
      <c r="K500" s="328">
        <f t="shared" si="186"/>
        <v>3.27</v>
      </c>
      <c r="L500" s="599" t="s">
        <v>3217</v>
      </c>
      <c r="M500" s="350" t="s">
        <v>2748</v>
      </c>
      <c r="N500" s="318">
        <v>1</v>
      </c>
      <c r="O500" s="621">
        <f t="shared" si="187"/>
        <v>3.27</v>
      </c>
      <c r="P500" s="755">
        <v>1</v>
      </c>
      <c r="Q500" s="755">
        <f t="shared" si="188"/>
        <v>0</v>
      </c>
      <c r="R500" s="341">
        <v>1</v>
      </c>
      <c r="S500" s="318">
        <f t="shared" si="194"/>
        <v>3.27</v>
      </c>
      <c r="T500" s="319" t="s">
        <v>3333</v>
      </c>
      <c r="V500" s="328">
        <f>2.542+2.055</f>
        <v>4.5969999999999995</v>
      </c>
      <c r="W500" s="320"/>
      <c r="X500" s="328">
        <f t="shared" si="190"/>
        <v>0</v>
      </c>
      <c r="Y500" s="464"/>
      <c r="Z500" s="328">
        <f t="shared" si="191"/>
        <v>0</v>
      </c>
      <c r="AB500" s="458">
        <f t="shared" si="192"/>
        <v>-3.27</v>
      </c>
      <c r="AC500" s="348">
        <f t="shared" si="193"/>
        <v>-3.27</v>
      </c>
    </row>
    <row r="501" spans="1:29">
      <c r="A501" s="318"/>
      <c r="B501" s="319"/>
      <c r="C501" s="318"/>
      <c r="D501" s="318"/>
      <c r="E501" s="319"/>
      <c r="F501" s="336"/>
      <c r="G501" s="318" t="s">
        <v>1872</v>
      </c>
      <c r="H501" s="328">
        <v>3.45</v>
      </c>
      <c r="I501" s="318">
        <v>1</v>
      </c>
      <c r="J501" s="318">
        <f t="shared" si="185"/>
        <v>1</v>
      </c>
      <c r="K501" s="328">
        <f t="shared" si="186"/>
        <v>3.45</v>
      </c>
      <c r="L501" s="318">
        <v>1291</v>
      </c>
      <c r="M501" s="318" t="s">
        <v>231</v>
      </c>
      <c r="N501" s="318">
        <v>1</v>
      </c>
      <c r="O501" s="621">
        <f t="shared" si="187"/>
        <v>3.45</v>
      </c>
      <c r="P501" s="755">
        <v>1</v>
      </c>
      <c r="Q501" s="755">
        <f t="shared" si="188"/>
        <v>0</v>
      </c>
      <c r="R501" s="341">
        <v>1</v>
      </c>
      <c r="S501" s="318">
        <f t="shared" si="194"/>
        <v>3.45</v>
      </c>
      <c r="T501" s="319"/>
      <c r="V501" s="328">
        <f>3.44</f>
        <v>3.44</v>
      </c>
      <c r="W501" s="320">
        <v>1</v>
      </c>
      <c r="X501" s="328">
        <f t="shared" si="190"/>
        <v>3.44</v>
      </c>
      <c r="Y501" s="464">
        <v>1</v>
      </c>
      <c r="Z501" s="328">
        <f t="shared" si="191"/>
        <v>3.44</v>
      </c>
      <c r="AB501" s="458">
        <f t="shared" si="192"/>
        <v>-1.0000000000000231E-2</v>
      </c>
      <c r="AC501" s="348">
        <f t="shared" si="193"/>
        <v>-1.0000000000000231E-2</v>
      </c>
    </row>
    <row r="502" spans="1:29">
      <c r="A502" s="318"/>
      <c r="B502" s="319"/>
      <c r="C502" s="318"/>
      <c r="D502" s="318"/>
      <c r="E502" s="319"/>
      <c r="F502" s="336" t="s">
        <v>1863</v>
      </c>
      <c r="G502" s="318" t="s">
        <v>1873</v>
      </c>
      <c r="H502" s="328">
        <v>4.72</v>
      </c>
      <c r="I502" s="318">
        <v>1</v>
      </c>
      <c r="J502" s="318">
        <v>1</v>
      </c>
      <c r="K502" s="328">
        <f t="shared" si="186"/>
        <v>4.72</v>
      </c>
      <c r="L502" s="350" t="s">
        <v>3175</v>
      </c>
      <c r="M502" s="318"/>
      <c r="N502" s="318">
        <v>1</v>
      </c>
      <c r="O502" s="621">
        <f t="shared" si="187"/>
        <v>4.72</v>
      </c>
      <c r="P502" s="755"/>
      <c r="Q502" s="755">
        <f t="shared" si="188"/>
        <v>0</v>
      </c>
      <c r="R502" s="341">
        <v>0</v>
      </c>
      <c r="S502" s="318">
        <f t="shared" si="194"/>
        <v>0</v>
      </c>
      <c r="T502" s="319"/>
      <c r="V502" s="328">
        <f t="shared" ref="V502:V515" si="196">4.49</f>
        <v>4.49</v>
      </c>
      <c r="W502" s="320"/>
      <c r="X502" s="328">
        <f t="shared" si="190"/>
        <v>0</v>
      </c>
      <c r="Y502" s="464"/>
      <c r="Z502" s="328">
        <f t="shared" si="191"/>
        <v>0</v>
      </c>
      <c r="AB502" s="458">
        <f t="shared" si="192"/>
        <v>-4.72</v>
      </c>
      <c r="AC502" s="348">
        <f t="shared" si="193"/>
        <v>0</v>
      </c>
    </row>
    <row r="503" spans="1:29">
      <c r="A503" s="584"/>
      <c r="B503" s="585"/>
      <c r="C503" s="584"/>
      <c r="D503" s="584"/>
      <c r="E503" s="585"/>
      <c r="F503" s="585"/>
      <c r="G503" s="584" t="s">
        <v>422</v>
      </c>
      <c r="H503" s="587"/>
      <c r="I503" s="584"/>
      <c r="J503" s="584"/>
      <c r="K503" s="584"/>
      <c r="L503" s="584"/>
      <c r="M503" s="584"/>
      <c r="N503" s="584"/>
      <c r="O503" s="634" t="s">
        <v>2321</v>
      </c>
      <c r="P503" s="763"/>
      <c r="Q503" s="763"/>
      <c r="R503" s="584"/>
      <c r="S503" s="588" t="s">
        <v>2321</v>
      </c>
      <c r="T503" s="1024" t="s">
        <v>1456</v>
      </c>
      <c r="V503" s="328"/>
      <c r="W503" s="318"/>
      <c r="X503" s="387" t="s">
        <v>2321</v>
      </c>
      <c r="Y503" s="318"/>
      <c r="Z503" s="387" t="s">
        <v>2321</v>
      </c>
      <c r="AB503" s="348"/>
      <c r="AC503" s="384"/>
    </row>
    <row r="504" spans="1:29">
      <c r="A504" s="584"/>
      <c r="B504" s="585"/>
      <c r="C504" s="584"/>
      <c r="D504" s="584"/>
      <c r="E504" s="585"/>
      <c r="F504" s="585"/>
      <c r="G504" s="584" t="s">
        <v>423</v>
      </c>
      <c r="H504" s="587"/>
      <c r="I504" s="584"/>
      <c r="J504" s="584"/>
      <c r="K504" s="584"/>
      <c r="L504" s="584"/>
      <c r="M504" s="584"/>
      <c r="N504" s="584"/>
      <c r="O504" s="634" t="s">
        <v>2321</v>
      </c>
      <c r="P504" s="763"/>
      <c r="Q504" s="763"/>
      <c r="R504" s="584"/>
      <c r="S504" s="588" t="s">
        <v>2321</v>
      </c>
      <c r="T504" s="1025"/>
      <c r="V504" s="328"/>
      <c r="W504" s="318"/>
      <c r="X504" s="387" t="s">
        <v>2321</v>
      </c>
      <c r="Y504" s="318"/>
      <c r="Z504" s="387" t="s">
        <v>2321</v>
      </c>
      <c r="AB504" s="348"/>
      <c r="AC504" s="384"/>
    </row>
    <row r="505" spans="1:29">
      <c r="A505" s="584"/>
      <c r="B505" s="585"/>
      <c r="C505" s="584"/>
      <c r="D505" s="584"/>
      <c r="E505" s="585"/>
      <c r="F505" s="589"/>
      <c r="G505" s="584" t="s">
        <v>424</v>
      </c>
      <c r="H505" s="587"/>
      <c r="I505" s="584"/>
      <c r="J505" s="584"/>
      <c r="K505" s="584"/>
      <c r="L505" s="584"/>
      <c r="M505" s="584"/>
      <c r="N505" s="584"/>
      <c r="O505" s="634" t="s">
        <v>2321</v>
      </c>
      <c r="P505" s="763"/>
      <c r="Q505" s="763"/>
      <c r="R505" s="628"/>
      <c r="S505" s="588" t="s">
        <v>2321</v>
      </c>
      <c r="T505" s="1025"/>
      <c r="V505" s="328"/>
      <c r="W505" s="318"/>
      <c r="X505" s="387" t="s">
        <v>2321</v>
      </c>
      <c r="Y505" s="318"/>
      <c r="Z505" s="387" t="s">
        <v>2321</v>
      </c>
      <c r="AB505" s="348"/>
      <c r="AC505" s="384"/>
    </row>
    <row r="506" spans="1:29" ht="14.4" customHeight="1" collapsed="1" thickBot="1">
      <c r="A506" s="584"/>
      <c r="B506" s="585"/>
      <c r="C506" s="584"/>
      <c r="D506" s="584"/>
      <c r="E506" s="585"/>
      <c r="F506" s="589"/>
      <c r="G506" s="584" t="s">
        <v>425</v>
      </c>
      <c r="H506" s="587"/>
      <c r="I506" s="584"/>
      <c r="J506" s="584"/>
      <c r="K506" s="584"/>
      <c r="L506" s="584"/>
      <c r="M506" s="584"/>
      <c r="N506" s="584"/>
      <c r="O506" s="634" t="s">
        <v>2321</v>
      </c>
      <c r="P506" s="763"/>
      <c r="Q506" s="770"/>
      <c r="R506" s="758"/>
      <c r="S506" s="635" t="s">
        <v>2321</v>
      </c>
      <c r="T506" s="1026"/>
      <c r="V506" s="328"/>
      <c r="W506" s="318"/>
      <c r="X506" s="387" t="s">
        <v>2321</v>
      </c>
      <c r="Y506" s="318"/>
      <c r="Z506" s="387" t="s">
        <v>2321</v>
      </c>
      <c r="AB506" s="348"/>
      <c r="AC506" s="384"/>
    </row>
    <row r="507" spans="1:29" ht="15.6" thickTop="1" thickBot="1">
      <c r="A507" s="318"/>
      <c r="B507" s="319"/>
      <c r="C507" s="318"/>
      <c r="D507" s="318"/>
      <c r="E507" s="319"/>
      <c r="F507" s="336" t="s">
        <v>1863</v>
      </c>
      <c r="G507" s="318" t="s">
        <v>1874</v>
      </c>
      <c r="H507" s="328">
        <v>4.72</v>
      </c>
      <c r="I507" s="318">
        <v>1</v>
      </c>
      <c r="J507" s="318">
        <v>1</v>
      </c>
      <c r="K507" s="328">
        <f t="shared" ref="K507:K516" si="197">H507*J507</f>
        <v>4.72</v>
      </c>
      <c r="L507" s="352" t="s">
        <v>3367</v>
      </c>
      <c r="M507" s="350" t="s">
        <v>3404</v>
      </c>
      <c r="N507" s="318">
        <v>1</v>
      </c>
      <c r="O507" s="621">
        <f t="shared" ref="O507:O516" si="198">H507*N507</f>
        <v>4.72</v>
      </c>
      <c r="P507" s="755"/>
      <c r="Q507" s="764"/>
      <c r="R507" s="627"/>
      <c r="S507" s="328">
        <f>H507*R507</f>
        <v>0</v>
      </c>
      <c r="T507" s="319"/>
      <c r="V507" s="328">
        <f t="shared" si="196"/>
        <v>4.49</v>
      </c>
      <c r="W507" s="320"/>
      <c r="X507" s="328">
        <f t="shared" ref="X507:X516" si="199">V507*W507</f>
        <v>0</v>
      </c>
      <c r="Y507" s="464"/>
      <c r="Z507" s="328">
        <f t="shared" ref="Z507:Z516" si="200">V507*Y507</f>
        <v>0</v>
      </c>
      <c r="AB507" s="458">
        <f t="shared" ref="AB507:AB516" si="201">X507-O507</f>
        <v>-4.72</v>
      </c>
      <c r="AC507" s="348">
        <f t="shared" ref="AC507:AC516" si="202">Z507-S507</f>
        <v>0</v>
      </c>
    </row>
    <row r="508" spans="1:29" ht="15" thickTop="1">
      <c r="A508" s="318"/>
      <c r="B508" s="319"/>
      <c r="C508" s="318"/>
      <c r="D508" s="318"/>
      <c r="E508" s="319"/>
      <c r="F508" s="336"/>
      <c r="G508" s="318" t="s">
        <v>1875</v>
      </c>
      <c r="H508" s="328">
        <v>4.49</v>
      </c>
      <c r="I508" s="318">
        <v>1</v>
      </c>
      <c r="J508" s="318">
        <f t="shared" ref="J508:J516" si="203">IF(N508&gt;0,1,0)</f>
        <v>1</v>
      </c>
      <c r="K508" s="328">
        <f t="shared" si="197"/>
        <v>4.49</v>
      </c>
      <c r="L508" s="318">
        <v>1291</v>
      </c>
      <c r="M508" s="318" t="s">
        <v>231</v>
      </c>
      <c r="N508" s="318">
        <v>1</v>
      </c>
      <c r="O508" s="621">
        <f t="shared" si="198"/>
        <v>4.49</v>
      </c>
      <c r="P508" s="755">
        <v>1</v>
      </c>
      <c r="Q508" s="755">
        <f t="shared" ref="Q508:Q516" si="204">R508-P508</f>
        <v>0</v>
      </c>
      <c r="R508" s="341">
        <v>1</v>
      </c>
      <c r="S508" s="318">
        <f t="shared" ref="S508" si="205">H508*R508</f>
        <v>4.49</v>
      </c>
      <c r="T508" s="319"/>
      <c r="V508" s="328">
        <f t="shared" si="196"/>
        <v>4.49</v>
      </c>
      <c r="W508" s="320">
        <v>1</v>
      </c>
      <c r="X508" s="328">
        <f t="shared" si="199"/>
        <v>4.49</v>
      </c>
      <c r="Y508" s="464">
        <v>1</v>
      </c>
      <c r="Z508" s="328">
        <f t="shared" si="200"/>
        <v>4.49</v>
      </c>
      <c r="AB508" s="458">
        <f t="shared" si="201"/>
        <v>0</v>
      </c>
      <c r="AC508" s="348">
        <f t="shared" si="202"/>
        <v>0</v>
      </c>
    </row>
    <row r="509" spans="1:29">
      <c r="A509" s="318"/>
      <c r="B509" s="319"/>
      <c r="C509" s="318"/>
      <c r="D509" s="318"/>
      <c r="E509" s="319"/>
      <c r="F509" s="319"/>
      <c r="G509" s="318" t="s">
        <v>1876</v>
      </c>
      <c r="H509" s="328">
        <v>4.49</v>
      </c>
      <c r="I509" s="318">
        <v>1</v>
      </c>
      <c r="J509" s="318">
        <f t="shared" si="203"/>
        <v>1</v>
      </c>
      <c r="K509" s="328">
        <f t="shared" si="197"/>
        <v>4.49</v>
      </c>
      <c r="L509" s="318">
        <v>1291</v>
      </c>
      <c r="M509" s="318" t="s">
        <v>231</v>
      </c>
      <c r="N509" s="318">
        <v>1</v>
      </c>
      <c r="O509" s="621">
        <f t="shared" si="198"/>
        <v>4.49</v>
      </c>
      <c r="P509" s="755">
        <v>1</v>
      </c>
      <c r="Q509" s="755">
        <f t="shared" si="204"/>
        <v>0</v>
      </c>
      <c r="R509" s="341">
        <v>1</v>
      </c>
      <c r="S509" s="318">
        <f t="shared" ref="S509:S516" si="206">H509*R509</f>
        <v>4.49</v>
      </c>
      <c r="T509" s="319"/>
      <c r="V509" s="328">
        <f t="shared" si="196"/>
        <v>4.49</v>
      </c>
      <c r="W509" s="320">
        <v>1</v>
      </c>
      <c r="X509" s="328">
        <f t="shared" si="199"/>
        <v>4.49</v>
      </c>
      <c r="Y509" s="464">
        <v>1</v>
      </c>
      <c r="Z509" s="328">
        <f t="shared" si="200"/>
        <v>4.49</v>
      </c>
      <c r="AB509" s="458">
        <f t="shared" si="201"/>
        <v>0</v>
      </c>
      <c r="AC509" s="348">
        <f t="shared" si="202"/>
        <v>0</v>
      </c>
    </row>
    <row r="510" spans="1:29">
      <c r="A510" s="318"/>
      <c r="B510" s="319"/>
      <c r="C510" s="318"/>
      <c r="D510" s="318"/>
      <c r="E510" s="319"/>
      <c r="F510" s="336"/>
      <c r="G510" s="318" t="s">
        <v>1877</v>
      </c>
      <c r="H510" s="328">
        <v>4.49</v>
      </c>
      <c r="I510" s="318">
        <v>1</v>
      </c>
      <c r="J510" s="318">
        <f t="shared" si="203"/>
        <v>1</v>
      </c>
      <c r="K510" s="328">
        <f t="shared" si="197"/>
        <v>4.49</v>
      </c>
      <c r="L510" s="350" t="s">
        <v>2727</v>
      </c>
      <c r="M510" s="350" t="s">
        <v>2744</v>
      </c>
      <c r="N510" s="318">
        <v>1</v>
      </c>
      <c r="O510" s="621">
        <f t="shared" si="198"/>
        <v>4.49</v>
      </c>
      <c r="P510" s="755">
        <v>1</v>
      </c>
      <c r="Q510" s="755">
        <f t="shared" si="204"/>
        <v>0</v>
      </c>
      <c r="R510" s="341">
        <v>1</v>
      </c>
      <c r="S510" s="318">
        <f t="shared" si="206"/>
        <v>4.49</v>
      </c>
      <c r="T510" s="319"/>
      <c r="V510" s="328">
        <f t="shared" si="196"/>
        <v>4.49</v>
      </c>
      <c r="W510" s="320">
        <v>1</v>
      </c>
      <c r="X510" s="328">
        <f t="shared" si="199"/>
        <v>4.49</v>
      </c>
      <c r="Y510" s="464">
        <v>1</v>
      </c>
      <c r="Z510" s="328">
        <f t="shared" si="200"/>
        <v>4.49</v>
      </c>
      <c r="AB510" s="458">
        <f t="shared" si="201"/>
        <v>0</v>
      </c>
      <c r="AC510" s="348">
        <f t="shared" si="202"/>
        <v>0</v>
      </c>
    </row>
    <row r="511" spans="1:29">
      <c r="A511" s="318"/>
      <c r="B511" s="319"/>
      <c r="C511" s="318"/>
      <c r="D511" s="318"/>
      <c r="E511" s="319"/>
      <c r="F511" s="336" t="s">
        <v>1225</v>
      </c>
      <c r="G511" s="318" t="s">
        <v>1878</v>
      </c>
      <c r="H511" s="328">
        <v>4.67</v>
      </c>
      <c r="I511" s="318">
        <v>1</v>
      </c>
      <c r="J511" s="318">
        <f t="shared" si="203"/>
        <v>1</v>
      </c>
      <c r="K511" s="328">
        <f t="shared" si="197"/>
        <v>4.67</v>
      </c>
      <c r="L511" s="318">
        <v>1652</v>
      </c>
      <c r="M511" s="318">
        <v>149</v>
      </c>
      <c r="N511" s="318">
        <v>1</v>
      </c>
      <c r="O511" s="621">
        <f t="shared" si="198"/>
        <v>4.67</v>
      </c>
      <c r="P511" s="755">
        <v>1</v>
      </c>
      <c r="Q511" s="755">
        <f t="shared" si="204"/>
        <v>0</v>
      </c>
      <c r="R511" s="341">
        <v>1</v>
      </c>
      <c r="S511" s="318">
        <f t="shared" si="206"/>
        <v>4.67</v>
      </c>
      <c r="T511" s="319"/>
      <c r="V511" s="328">
        <f>1.8+2.83</f>
        <v>4.63</v>
      </c>
      <c r="W511" s="320">
        <v>1</v>
      </c>
      <c r="X511" s="328">
        <f t="shared" si="199"/>
        <v>4.63</v>
      </c>
      <c r="Y511" s="464">
        <v>1</v>
      </c>
      <c r="Z511" s="328">
        <f t="shared" si="200"/>
        <v>4.63</v>
      </c>
      <c r="AB511" s="458">
        <f t="shared" si="201"/>
        <v>-4.0000000000000036E-2</v>
      </c>
      <c r="AC511" s="348">
        <f t="shared" si="202"/>
        <v>-4.0000000000000036E-2</v>
      </c>
    </row>
    <row r="512" spans="1:29">
      <c r="A512" s="318"/>
      <c r="B512" s="319"/>
      <c r="C512" s="318"/>
      <c r="D512" s="318"/>
      <c r="E512" s="319"/>
      <c r="F512" s="319"/>
      <c r="G512" s="318" t="s">
        <v>1879</v>
      </c>
      <c r="H512" s="328">
        <v>4.49</v>
      </c>
      <c r="I512" s="318">
        <v>1</v>
      </c>
      <c r="J512" s="318">
        <f t="shared" si="203"/>
        <v>1</v>
      </c>
      <c r="K512" s="328">
        <f t="shared" si="197"/>
        <v>4.49</v>
      </c>
      <c r="L512" s="318">
        <v>1291</v>
      </c>
      <c r="M512" s="318" t="s">
        <v>231</v>
      </c>
      <c r="N512" s="318">
        <v>1</v>
      </c>
      <c r="O512" s="621">
        <f t="shared" si="198"/>
        <v>4.49</v>
      </c>
      <c r="P512" s="755">
        <v>1</v>
      </c>
      <c r="Q512" s="755">
        <f t="shared" si="204"/>
        <v>0</v>
      </c>
      <c r="R512" s="341">
        <v>1</v>
      </c>
      <c r="S512" s="318">
        <f t="shared" si="206"/>
        <v>4.49</v>
      </c>
      <c r="T512" s="319"/>
      <c r="V512" s="328">
        <f t="shared" si="196"/>
        <v>4.49</v>
      </c>
      <c r="W512" s="320">
        <v>1</v>
      </c>
      <c r="X512" s="328">
        <f t="shared" si="199"/>
        <v>4.49</v>
      </c>
      <c r="Y512" s="464">
        <v>1</v>
      </c>
      <c r="Z512" s="328">
        <f t="shared" si="200"/>
        <v>4.49</v>
      </c>
      <c r="AB512" s="458">
        <f t="shared" si="201"/>
        <v>0</v>
      </c>
      <c r="AC512" s="348">
        <f t="shared" si="202"/>
        <v>0</v>
      </c>
    </row>
    <row r="513" spans="1:29">
      <c r="A513" s="318"/>
      <c r="B513" s="319"/>
      <c r="C513" s="318"/>
      <c r="D513" s="318"/>
      <c r="E513" s="319"/>
      <c r="F513" s="319"/>
      <c r="G513" s="318" t="s">
        <v>1880</v>
      </c>
      <c r="H513" s="328">
        <v>4.49</v>
      </c>
      <c r="I513" s="318">
        <v>1</v>
      </c>
      <c r="J513" s="318">
        <f t="shared" si="203"/>
        <v>1</v>
      </c>
      <c r="K513" s="328">
        <f t="shared" si="197"/>
        <v>4.49</v>
      </c>
      <c r="L513" s="318">
        <v>1291</v>
      </c>
      <c r="M513" s="318" t="s">
        <v>231</v>
      </c>
      <c r="N513" s="318">
        <v>1</v>
      </c>
      <c r="O513" s="621">
        <f t="shared" si="198"/>
        <v>4.49</v>
      </c>
      <c r="P513" s="755">
        <v>1</v>
      </c>
      <c r="Q513" s="755">
        <f t="shared" si="204"/>
        <v>0</v>
      </c>
      <c r="R513" s="341">
        <v>1</v>
      </c>
      <c r="S513" s="318">
        <f t="shared" si="206"/>
        <v>4.49</v>
      </c>
      <c r="T513" s="319"/>
      <c r="V513" s="328">
        <f t="shared" si="196"/>
        <v>4.49</v>
      </c>
      <c r="W513" s="320">
        <v>1</v>
      </c>
      <c r="X513" s="328">
        <f t="shared" si="199"/>
        <v>4.49</v>
      </c>
      <c r="Y513" s="464">
        <v>1</v>
      </c>
      <c r="Z513" s="328">
        <f t="shared" si="200"/>
        <v>4.49</v>
      </c>
      <c r="AB513" s="458">
        <f t="shared" si="201"/>
        <v>0</v>
      </c>
      <c r="AC513" s="348">
        <f t="shared" si="202"/>
        <v>0</v>
      </c>
    </row>
    <row r="514" spans="1:29">
      <c r="A514" s="318"/>
      <c r="B514" s="319"/>
      <c r="C514" s="318"/>
      <c r="D514" s="318"/>
      <c r="E514" s="319"/>
      <c r="F514" s="319"/>
      <c r="G514" s="318" t="s">
        <v>1881</v>
      </c>
      <c r="H514" s="328">
        <v>4.49</v>
      </c>
      <c r="I514" s="318">
        <v>1</v>
      </c>
      <c r="J514" s="318">
        <f t="shared" si="203"/>
        <v>1</v>
      </c>
      <c r="K514" s="328">
        <f t="shared" si="197"/>
        <v>4.49</v>
      </c>
      <c r="L514" s="318">
        <v>1291</v>
      </c>
      <c r="M514" s="318" t="s">
        <v>231</v>
      </c>
      <c r="N514" s="318">
        <v>1</v>
      </c>
      <c r="O514" s="621">
        <f t="shared" si="198"/>
        <v>4.49</v>
      </c>
      <c r="P514" s="755">
        <v>1</v>
      </c>
      <c r="Q514" s="755">
        <f t="shared" si="204"/>
        <v>0</v>
      </c>
      <c r="R514" s="341">
        <v>1</v>
      </c>
      <c r="S514" s="318">
        <f t="shared" si="206"/>
        <v>4.49</v>
      </c>
      <c r="T514" s="319"/>
      <c r="V514" s="328">
        <f t="shared" si="196"/>
        <v>4.49</v>
      </c>
      <c r="W514" s="320">
        <v>1</v>
      </c>
      <c r="X514" s="328">
        <f t="shared" si="199"/>
        <v>4.49</v>
      </c>
      <c r="Y514" s="464">
        <v>1</v>
      </c>
      <c r="Z514" s="328">
        <f t="shared" si="200"/>
        <v>4.49</v>
      </c>
      <c r="AB514" s="458">
        <f t="shared" si="201"/>
        <v>0</v>
      </c>
      <c r="AC514" s="348">
        <f t="shared" si="202"/>
        <v>0</v>
      </c>
    </row>
    <row r="515" spans="1:29">
      <c r="A515" s="318"/>
      <c r="B515" s="319"/>
      <c r="C515" s="318"/>
      <c r="D515" s="318"/>
      <c r="E515" s="319"/>
      <c r="F515" s="336"/>
      <c r="G515" s="318" t="s">
        <v>1882</v>
      </c>
      <c r="H515" s="328">
        <v>4.49</v>
      </c>
      <c r="I515" s="318">
        <v>1</v>
      </c>
      <c r="J515" s="318">
        <f t="shared" si="203"/>
        <v>1</v>
      </c>
      <c r="K515" s="328">
        <f t="shared" si="197"/>
        <v>4.49</v>
      </c>
      <c r="L515" s="350" t="s">
        <v>2789</v>
      </c>
      <c r="M515" s="350" t="s">
        <v>2862</v>
      </c>
      <c r="N515" s="318">
        <v>1</v>
      </c>
      <c r="O515" s="621">
        <f t="shared" si="198"/>
        <v>4.49</v>
      </c>
      <c r="P515" s="755">
        <v>1</v>
      </c>
      <c r="Q515" s="755">
        <f t="shared" si="204"/>
        <v>0</v>
      </c>
      <c r="R515" s="341">
        <v>1</v>
      </c>
      <c r="S515" s="318">
        <f t="shared" si="206"/>
        <v>4.49</v>
      </c>
      <c r="T515" s="319" t="s">
        <v>3332</v>
      </c>
      <c r="V515" s="328">
        <f t="shared" si="196"/>
        <v>4.49</v>
      </c>
      <c r="W515" s="320"/>
      <c r="X515" s="328">
        <f t="shared" si="199"/>
        <v>0</v>
      </c>
      <c r="Y515" s="320"/>
      <c r="Z515" s="328">
        <f t="shared" si="200"/>
        <v>0</v>
      </c>
      <c r="AB515" s="458">
        <f t="shared" si="201"/>
        <v>-4.49</v>
      </c>
      <c r="AC515" s="348">
        <f t="shared" si="202"/>
        <v>-4.49</v>
      </c>
    </row>
    <row r="516" spans="1:29">
      <c r="A516" s="318"/>
      <c r="B516" s="319"/>
      <c r="C516" s="318"/>
      <c r="D516" s="318"/>
      <c r="E516" s="319"/>
      <c r="F516" s="336" t="s">
        <v>1225</v>
      </c>
      <c r="G516" s="318" t="s">
        <v>1883</v>
      </c>
      <c r="H516" s="328">
        <v>4.67</v>
      </c>
      <c r="I516" s="318">
        <v>1</v>
      </c>
      <c r="J516" s="318">
        <f t="shared" si="203"/>
        <v>1</v>
      </c>
      <c r="K516" s="328">
        <f t="shared" si="197"/>
        <v>4.67</v>
      </c>
      <c r="L516" s="350" t="s">
        <v>2728</v>
      </c>
      <c r="M516" s="350" t="s">
        <v>2745</v>
      </c>
      <c r="N516" s="318">
        <v>1</v>
      </c>
      <c r="O516" s="621">
        <f t="shared" si="198"/>
        <v>4.67</v>
      </c>
      <c r="P516" s="755">
        <v>1</v>
      </c>
      <c r="Q516" s="755">
        <f t="shared" si="204"/>
        <v>0</v>
      </c>
      <c r="R516" s="341">
        <v>1</v>
      </c>
      <c r="S516" s="318">
        <f t="shared" si="206"/>
        <v>4.67</v>
      </c>
      <c r="T516" s="319"/>
      <c r="V516" s="328">
        <f>1.8+3.495</f>
        <v>5.2949999999999999</v>
      </c>
      <c r="W516" s="320">
        <v>1</v>
      </c>
      <c r="X516" s="328">
        <f t="shared" si="199"/>
        <v>5.2949999999999999</v>
      </c>
      <c r="Y516" s="320"/>
      <c r="Z516" s="328">
        <f t="shared" si="200"/>
        <v>0</v>
      </c>
      <c r="AB516" s="458">
        <f t="shared" si="201"/>
        <v>0.625</v>
      </c>
      <c r="AC516" s="348">
        <f t="shared" si="202"/>
        <v>-4.67</v>
      </c>
    </row>
    <row r="517" spans="1:29">
      <c r="A517" s="318"/>
      <c r="B517" s="319"/>
      <c r="C517" s="318"/>
      <c r="D517" s="318"/>
      <c r="E517" s="319"/>
      <c r="F517" s="319"/>
      <c r="G517" s="318"/>
      <c r="H517" s="318"/>
      <c r="I517" s="318"/>
      <c r="J517" s="382" t="s">
        <v>389</v>
      </c>
      <c r="K517" s="338">
        <f>SUM(K483:K516)</f>
        <v>127.27999999999999</v>
      </c>
      <c r="L517" s="318"/>
      <c r="M517" s="318"/>
      <c r="N517" s="382" t="s">
        <v>389</v>
      </c>
      <c r="O517" s="759">
        <f>SUM(O483:O516)</f>
        <v>127.27999999999999</v>
      </c>
      <c r="P517" s="751" t="s">
        <v>389</v>
      </c>
      <c r="Q517" s="751"/>
      <c r="R517" s="382"/>
      <c r="S517" s="338">
        <f>SUM(S483:S516)</f>
        <v>117.83999999999999</v>
      </c>
      <c r="T517" s="319"/>
      <c r="V517" s="318"/>
      <c r="W517" s="321" t="s">
        <v>389</v>
      </c>
      <c r="X517" s="338">
        <f>SUM(X483:X516)</f>
        <v>108.08049999999996</v>
      </c>
      <c r="Y517" s="321" t="s">
        <v>389</v>
      </c>
      <c r="Z517" s="338">
        <f>SUM(Z483:Z516)</f>
        <v>69.88000000000001</v>
      </c>
      <c r="AB517" s="338"/>
      <c r="AC517" s="338"/>
    </row>
    <row r="518" spans="1:29" ht="6.75" customHeight="1">
      <c r="A518" s="316"/>
      <c r="B518" s="317"/>
      <c r="C518" s="316"/>
      <c r="D518" s="316"/>
      <c r="E518" s="317"/>
      <c r="F518" s="317"/>
      <c r="G518" s="316"/>
      <c r="H518" s="316"/>
      <c r="I518" s="316"/>
      <c r="J518" s="316"/>
      <c r="K518" s="316"/>
      <c r="L518" s="316"/>
      <c r="M518" s="316"/>
      <c r="N518" s="316"/>
      <c r="O518" s="749"/>
      <c r="P518" s="752"/>
      <c r="Q518" s="752"/>
      <c r="R518" s="316"/>
      <c r="S518" s="316"/>
      <c r="T518" s="317"/>
      <c r="V518" s="316"/>
      <c r="W518" s="316"/>
      <c r="X518" s="316"/>
      <c r="Y518" s="316"/>
      <c r="Z518" s="316"/>
      <c r="AB518" s="339"/>
      <c r="AC518" s="339"/>
    </row>
    <row r="519" spans="1:29">
      <c r="A519" s="318">
        <v>13</v>
      </c>
      <c r="B519" s="319" t="s">
        <v>383</v>
      </c>
      <c r="C519" s="318">
        <v>600</v>
      </c>
      <c r="D519" s="318">
        <v>19</v>
      </c>
      <c r="E519" s="319">
        <v>1</v>
      </c>
      <c r="F519" s="336" t="s">
        <v>1225</v>
      </c>
      <c r="G519" s="318" t="s">
        <v>1884</v>
      </c>
      <c r="H519" s="328">
        <v>2.58</v>
      </c>
      <c r="I519" s="318">
        <v>1</v>
      </c>
      <c r="J519" s="318">
        <f t="shared" ref="J519:J536" si="207">IF(N519&gt;0,1,0)</f>
        <v>1</v>
      </c>
      <c r="K519" s="328">
        <f t="shared" ref="K519:K537" si="208">H519*J519</f>
        <v>2.58</v>
      </c>
      <c r="L519" s="318">
        <v>1734</v>
      </c>
      <c r="M519" s="318">
        <v>160</v>
      </c>
      <c r="N519" s="318">
        <v>1</v>
      </c>
      <c r="O519" s="621">
        <f t="shared" ref="O519:O537" si="209">H519*N519</f>
        <v>2.58</v>
      </c>
      <c r="P519" s="755">
        <v>1</v>
      </c>
      <c r="Q519" s="755">
        <f t="shared" ref="Q519:Q537" si="210">R519-P519</f>
        <v>0</v>
      </c>
      <c r="R519" s="341">
        <v>1</v>
      </c>
      <c r="S519" s="318">
        <f t="shared" ref="S519" si="211">H519*R519</f>
        <v>2.58</v>
      </c>
      <c r="T519" s="597" t="s">
        <v>3211</v>
      </c>
      <c r="V519" s="328">
        <f>2.055-0.6+1.15</f>
        <v>2.605</v>
      </c>
      <c r="W519" s="320">
        <v>0.5</v>
      </c>
      <c r="X519" s="328">
        <f t="shared" ref="X519:X537" si="212">V519*W519</f>
        <v>1.3025</v>
      </c>
      <c r="Y519" s="320"/>
      <c r="Z519" s="328">
        <f t="shared" ref="Z519:Z537" si="213">V519*Y519</f>
        <v>0</v>
      </c>
      <c r="AB519" s="458">
        <f t="shared" ref="AB519:AB537" si="214">X519-O519</f>
        <v>-1.2775000000000001</v>
      </c>
      <c r="AC519" s="348">
        <f t="shared" ref="AC519:AC537" si="215">Z519-S519</f>
        <v>-2.58</v>
      </c>
    </row>
    <row r="520" spans="1:29">
      <c r="A520" s="318"/>
      <c r="B520" s="319"/>
      <c r="C520" s="318"/>
      <c r="D520" s="318"/>
      <c r="E520" s="319"/>
      <c r="F520" s="336"/>
      <c r="G520" s="318" t="s">
        <v>1885</v>
      </c>
      <c r="H520" s="328">
        <v>4.49</v>
      </c>
      <c r="I520" s="318">
        <v>1</v>
      </c>
      <c r="J520" s="318">
        <f t="shared" si="207"/>
        <v>1</v>
      </c>
      <c r="K520" s="328">
        <f t="shared" si="208"/>
        <v>4.49</v>
      </c>
      <c r="L520" s="318">
        <v>1296</v>
      </c>
      <c r="M520" s="318" t="s">
        <v>233</v>
      </c>
      <c r="N520" s="318">
        <v>1</v>
      </c>
      <c r="O520" s="621">
        <f t="shared" si="209"/>
        <v>4.49</v>
      </c>
      <c r="P520" s="755">
        <v>1</v>
      </c>
      <c r="Q520" s="755">
        <f t="shared" si="210"/>
        <v>0</v>
      </c>
      <c r="R520" s="341">
        <v>1</v>
      </c>
      <c r="S520" s="318">
        <f t="shared" ref="S520:S537" si="216">H520*R520</f>
        <v>4.49</v>
      </c>
      <c r="T520" s="319"/>
      <c r="V520" s="328">
        <f>4.49</f>
        <v>4.49</v>
      </c>
      <c r="W520" s="320">
        <v>1</v>
      </c>
      <c r="X520" s="328">
        <f t="shared" si="212"/>
        <v>4.49</v>
      </c>
      <c r="Y520" s="464"/>
      <c r="Z520" s="328">
        <f t="shared" si="213"/>
        <v>0</v>
      </c>
      <c r="AB520" s="458">
        <f t="shared" si="214"/>
        <v>0</v>
      </c>
      <c r="AC520" s="348">
        <f t="shared" si="215"/>
        <v>-4.49</v>
      </c>
    </row>
    <row r="521" spans="1:29">
      <c r="A521" s="318"/>
      <c r="B521" s="319"/>
      <c r="C521" s="318"/>
      <c r="D521" s="318"/>
      <c r="E521" s="319"/>
      <c r="F521" s="319"/>
      <c r="G521" s="318" t="s">
        <v>1886</v>
      </c>
      <c r="H521" s="328">
        <v>4.49</v>
      </c>
      <c r="I521" s="318">
        <v>1</v>
      </c>
      <c r="J521" s="318">
        <f t="shared" si="207"/>
        <v>1</v>
      </c>
      <c r="K521" s="328">
        <f t="shared" si="208"/>
        <v>4.49</v>
      </c>
      <c r="L521" s="318">
        <v>1296</v>
      </c>
      <c r="M521" s="318" t="s">
        <v>233</v>
      </c>
      <c r="N521" s="318">
        <v>1</v>
      </c>
      <c r="O521" s="621">
        <f t="shared" si="209"/>
        <v>4.49</v>
      </c>
      <c r="P521" s="755">
        <v>1</v>
      </c>
      <c r="Q521" s="755">
        <f t="shared" si="210"/>
        <v>0</v>
      </c>
      <c r="R521" s="341">
        <v>1</v>
      </c>
      <c r="S521" s="318">
        <f t="shared" si="216"/>
        <v>4.49</v>
      </c>
      <c r="T521" s="319"/>
      <c r="V521" s="328">
        <f t="shared" ref="V521:V526" si="217">4.49</f>
        <v>4.49</v>
      </c>
      <c r="W521" s="320">
        <v>1</v>
      </c>
      <c r="X521" s="328">
        <f t="shared" si="212"/>
        <v>4.49</v>
      </c>
      <c r="Y521" s="464"/>
      <c r="Z521" s="328">
        <f t="shared" si="213"/>
        <v>0</v>
      </c>
      <c r="AB521" s="458">
        <f t="shared" si="214"/>
        <v>0</v>
      </c>
      <c r="AC521" s="348">
        <f t="shared" si="215"/>
        <v>-4.49</v>
      </c>
    </row>
    <row r="522" spans="1:29">
      <c r="A522" s="318"/>
      <c r="B522" s="319"/>
      <c r="C522" s="318"/>
      <c r="D522" s="318"/>
      <c r="E522" s="319"/>
      <c r="F522" s="319"/>
      <c r="G522" s="318" t="s">
        <v>1887</v>
      </c>
      <c r="H522" s="328">
        <v>4.49</v>
      </c>
      <c r="I522" s="318">
        <v>1</v>
      </c>
      <c r="J522" s="318">
        <f t="shared" si="207"/>
        <v>1</v>
      </c>
      <c r="K522" s="328">
        <f t="shared" si="208"/>
        <v>4.49</v>
      </c>
      <c r="L522" s="318">
        <v>1296</v>
      </c>
      <c r="M522" s="318" t="s">
        <v>233</v>
      </c>
      <c r="N522" s="318">
        <v>1</v>
      </c>
      <c r="O522" s="621">
        <f t="shared" si="209"/>
        <v>4.49</v>
      </c>
      <c r="P522" s="755">
        <v>1</v>
      </c>
      <c r="Q522" s="755">
        <f t="shared" si="210"/>
        <v>0</v>
      </c>
      <c r="R522" s="341">
        <v>1</v>
      </c>
      <c r="S522" s="318">
        <f t="shared" si="216"/>
        <v>4.49</v>
      </c>
      <c r="T522" s="319"/>
      <c r="V522" s="328">
        <f t="shared" si="217"/>
        <v>4.49</v>
      </c>
      <c r="W522" s="320">
        <v>1</v>
      </c>
      <c r="X522" s="328">
        <f t="shared" si="212"/>
        <v>4.49</v>
      </c>
      <c r="Y522" s="464"/>
      <c r="Z522" s="328">
        <f t="shared" si="213"/>
        <v>0</v>
      </c>
      <c r="AB522" s="458">
        <f t="shared" si="214"/>
        <v>0</v>
      </c>
      <c r="AC522" s="348">
        <f t="shared" si="215"/>
        <v>-4.49</v>
      </c>
    </row>
    <row r="523" spans="1:29">
      <c r="A523" s="318"/>
      <c r="B523" s="319"/>
      <c r="C523" s="318"/>
      <c r="D523" s="318"/>
      <c r="E523" s="319"/>
      <c r="F523" s="319"/>
      <c r="G523" s="318" t="s">
        <v>1888</v>
      </c>
      <c r="H523" s="328">
        <v>4.49</v>
      </c>
      <c r="I523" s="318">
        <v>1</v>
      </c>
      <c r="J523" s="318">
        <f t="shared" si="207"/>
        <v>1</v>
      </c>
      <c r="K523" s="328">
        <f t="shared" si="208"/>
        <v>4.49</v>
      </c>
      <c r="L523" s="318">
        <v>1296</v>
      </c>
      <c r="M523" s="318" t="s">
        <v>233</v>
      </c>
      <c r="N523" s="318">
        <v>1</v>
      </c>
      <c r="O523" s="621">
        <f t="shared" si="209"/>
        <v>4.49</v>
      </c>
      <c r="P523" s="755">
        <v>1</v>
      </c>
      <c r="Q523" s="755">
        <f t="shared" si="210"/>
        <v>0</v>
      </c>
      <c r="R523" s="341">
        <v>1</v>
      </c>
      <c r="S523" s="318">
        <f t="shared" si="216"/>
        <v>4.49</v>
      </c>
      <c r="T523" s="319"/>
      <c r="V523" s="328">
        <f t="shared" si="217"/>
        <v>4.49</v>
      </c>
      <c r="W523" s="320">
        <v>1</v>
      </c>
      <c r="X523" s="328">
        <f t="shared" si="212"/>
        <v>4.49</v>
      </c>
      <c r="Y523" s="464"/>
      <c r="Z523" s="328">
        <f t="shared" si="213"/>
        <v>0</v>
      </c>
      <c r="AB523" s="458">
        <f t="shared" si="214"/>
        <v>0</v>
      </c>
      <c r="AC523" s="348">
        <f t="shared" si="215"/>
        <v>-4.49</v>
      </c>
    </row>
    <row r="524" spans="1:29">
      <c r="A524" s="318"/>
      <c r="B524" s="319"/>
      <c r="C524" s="318"/>
      <c r="D524" s="318"/>
      <c r="E524" s="319"/>
      <c r="F524" s="319"/>
      <c r="G524" s="318" t="s">
        <v>1889</v>
      </c>
      <c r="H524" s="328">
        <v>4.49</v>
      </c>
      <c r="I524" s="318">
        <v>1</v>
      </c>
      <c r="J524" s="318">
        <f t="shared" si="207"/>
        <v>1</v>
      </c>
      <c r="K524" s="328">
        <f t="shared" si="208"/>
        <v>4.49</v>
      </c>
      <c r="L524" s="318">
        <v>1295</v>
      </c>
      <c r="M524" s="318" t="s">
        <v>233</v>
      </c>
      <c r="N524" s="318">
        <v>1</v>
      </c>
      <c r="O524" s="621">
        <f t="shared" si="209"/>
        <v>4.49</v>
      </c>
      <c r="P524" s="755">
        <v>1</v>
      </c>
      <c r="Q524" s="755">
        <f t="shared" si="210"/>
        <v>0</v>
      </c>
      <c r="R524" s="341">
        <v>1</v>
      </c>
      <c r="S524" s="318">
        <f t="shared" si="216"/>
        <v>4.49</v>
      </c>
      <c r="T524" s="319"/>
      <c r="V524" s="328">
        <f t="shared" si="217"/>
        <v>4.49</v>
      </c>
      <c r="W524" s="320">
        <v>1</v>
      </c>
      <c r="X524" s="328">
        <f t="shared" si="212"/>
        <v>4.49</v>
      </c>
      <c r="Y524" s="464"/>
      <c r="Z524" s="328">
        <f t="shared" si="213"/>
        <v>0</v>
      </c>
      <c r="AB524" s="458">
        <f t="shared" si="214"/>
        <v>0</v>
      </c>
      <c r="AC524" s="348">
        <f t="shared" si="215"/>
        <v>-4.49</v>
      </c>
    </row>
    <row r="525" spans="1:29">
      <c r="A525" s="318"/>
      <c r="B525" s="319"/>
      <c r="C525" s="318"/>
      <c r="D525" s="318"/>
      <c r="E525" s="319"/>
      <c r="F525" s="319"/>
      <c r="G525" s="318" t="s">
        <v>1890</v>
      </c>
      <c r="H525" s="328">
        <v>4.49</v>
      </c>
      <c r="I525" s="318">
        <v>1</v>
      </c>
      <c r="J525" s="318">
        <f t="shared" si="207"/>
        <v>1</v>
      </c>
      <c r="K525" s="328">
        <f t="shared" si="208"/>
        <v>4.49</v>
      </c>
      <c r="L525" s="318">
        <v>1295</v>
      </c>
      <c r="M525" s="318" t="s">
        <v>233</v>
      </c>
      <c r="N525" s="318">
        <v>1</v>
      </c>
      <c r="O525" s="621">
        <f t="shared" si="209"/>
        <v>4.49</v>
      </c>
      <c r="P525" s="755">
        <v>1</v>
      </c>
      <c r="Q525" s="755">
        <f t="shared" si="210"/>
        <v>0</v>
      </c>
      <c r="R525" s="341">
        <v>1</v>
      </c>
      <c r="S525" s="318">
        <f t="shared" si="216"/>
        <v>4.49</v>
      </c>
      <c r="T525" s="319"/>
      <c r="V525" s="328">
        <f t="shared" si="217"/>
        <v>4.49</v>
      </c>
      <c r="W525" s="320">
        <v>1</v>
      </c>
      <c r="X525" s="328">
        <f t="shared" si="212"/>
        <v>4.49</v>
      </c>
      <c r="Y525" s="464"/>
      <c r="Z525" s="328">
        <f t="shared" si="213"/>
        <v>0</v>
      </c>
      <c r="AB525" s="458">
        <f t="shared" si="214"/>
        <v>0</v>
      </c>
      <c r="AC525" s="348">
        <f t="shared" si="215"/>
        <v>-4.49</v>
      </c>
    </row>
    <row r="526" spans="1:29">
      <c r="A526" s="318"/>
      <c r="B526" s="319"/>
      <c r="C526" s="318"/>
      <c r="D526" s="318"/>
      <c r="E526" s="319"/>
      <c r="F526" s="319"/>
      <c r="G526" s="318" t="s">
        <v>1891</v>
      </c>
      <c r="H526" s="328">
        <v>4.49</v>
      </c>
      <c r="I526" s="318">
        <v>1</v>
      </c>
      <c r="J526" s="318">
        <f t="shared" si="207"/>
        <v>1</v>
      </c>
      <c r="K526" s="328">
        <f t="shared" si="208"/>
        <v>4.49</v>
      </c>
      <c r="L526" s="318">
        <v>1567</v>
      </c>
      <c r="M526" s="318">
        <v>133</v>
      </c>
      <c r="N526" s="318">
        <v>1</v>
      </c>
      <c r="O526" s="621">
        <f t="shared" si="209"/>
        <v>4.49</v>
      </c>
      <c r="P526" s="755">
        <v>1</v>
      </c>
      <c r="Q526" s="755">
        <f t="shared" si="210"/>
        <v>0</v>
      </c>
      <c r="R526" s="341">
        <v>1</v>
      </c>
      <c r="S526" s="318">
        <f t="shared" si="216"/>
        <v>4.49</v>
      </c>
      <c r="T526" s="319"/>
      <c r="V526" s="328">
        <f t="shared" si="217"/>
        <v>4.49</v>
      </c>
      <c r="W526" s="320"/>
      <c r="X526" s="328">
        <f t="shared" si="212"/>
        <v>0</v>
      </c>
      <c r="Y526" s="464"/>
      <c r="Z526" s="328">
        <f t="shared" si="213"/>
        <v>0</v>
      </c>
      <c r="AB526" s="458">
        <f t="shared" si="214"/>
        <v>-4.49</v>
      </c>
      <c r="AC526" s="348">
        <f t="shared" si="215"/>
        <v>-4.49</v>
      </c>
    </row>
    <row r="527" spans="1:29">
      <c r="A527" s="318"/>
      <c r="B527" s="319"/>
      <c r="C527" s="318"/>
      <c r="D527" s="318"/>
      <c r="E527" s="319"/>
      <c r="F527" s="319"/>
      <c r="G527" s="318" t="s">
        <v>1892</v>
      </c>
      <c r="H527" s="328">
        <v>3.45</v>
      </c>
      <c r="I527" s="318">
        <v>1</v>
      </c>
      <c r="J527" s="318">
        <f t="shared" si="207"/>
        <v>1</v>
      </c>
      <c r="K527" s="328">
        <f t="shared" si="208"/>
        <v>3.45</v>
      </c>
      <c r="L527" s="318"/>
      <c r="M527" s="318"/>
      <c r="N527" s="318">
        <v>1</v>
      </c>
      <c r="O527" s="621">
        <f t="shared" si="209"/>
        <v>3.45</v>
      </c>
      <c r="P527" s="755">
        <v>1</v>
      </c>
      <c r="Q527" s="755">
        <f t="shared" si="210"/>
        <v>0</v>
      </c>
      <c r="R527" s="341">
        <v>1</v>
      </c>
      <c r="S527" s="318">
        <f t="shared" si="216"/>
        <v>3.45</v>
      </c>
      <c r="T527" s="319"/>
      <c r="V527" s="328">
        <v>3.44</v>
      </c>
      <c r="W527" s="320">
        <v>0.5</v>
      </c>
      <c r="X527" s="328">
        <f t="shared" si="212"/>
        <v>1.72</v>
      </c>
      <c r="Y527" s="464"/>
      <c r="Z527" s="328">
        <f t="shared" si="213"/>
        <v>0</v>
      </c>
      <c r="AB527" s="458">
        <f t="shared" si="214"/>
        <v>-1.7300000000000002</v>
      </c>
      <c r="AC527" s="348">
        <f t="shared" si="215"/>
        <v>-3.45</v>
      </c>
    </row>
    <row r="528" spans="1:29">
      <c r="A528" s="318"/>
      <c r="B528" s="319"/>
      <c r="C528" s="318"/>
      <c r="D528" s="318"/>
      <c r="E528" s="319"/>
      <c r="F528" s="319"/>
      <c r="G528" s="318" t="s">
        <v>1893</v>
      </c>
      <c r="H528" s="328">
        <v>3.27</v>
      </c>
      <c r="I528" s="318">
        <v>1</v>
      </c>
      <c r="J528" s="318">
        <f t="shared" si="207"/>
        <v>1</v>
      </c>
      <c r="K528" s="328">
        <f t="shared" si="208"/>
        <v>3.27</v>
      </c>
      <c r="L528" s="350" t="s">
        <v>2697</v>
      </c>
      <c r="M528" s="349">
        <v>133173</v>
      </c>
      <c r="N528" s="318">
        <v>1</v>
      </c>
      <c r="O528" s="621">
        <f t="shared" si="209"/>
        <v>3.27</v>
      </c>
      <c r="P528" s="755">
        <v>1</v>
      </c>
      <c r="Q528" s="755">
        <f t="shared" si="210"/>
        <v>0</v>
      </c>
      <c r="R528" s="341">
        <v>1</v>
      </c>
      <c r="S528" s="318">
        <f t="shared" si="216"/>
        <v>3.27</v>
      </c>
      <c r="T528" s="319" t="s">
        <v>3352</v>
      </c>
      <c r="V528" s="328">
        <v>3.2559999999999998</v>
      </c>
      <c r="W528" s="320"/>
      <c r="X528" s="328">
        <f t="shared" si="212"/>
        <v>0</v>
      </c>
      <c r="Y528" s="464"/>
      <c r="Z528" s="328">
        <f t="shared" si="213"/>
        <v>0</v>
      </c>
      <c r="AB528" s="458">
        <f t="shared" si="214"/>
        <v>-3.27</v>
      </c>
      <c r="AC528" s="348">
        <f t="shared" si="215"/>
        <v>-3.27</v>
      </c>
    </row>
    <row r="529" spans="1:29">
      <c r="A529" s="318"/>
      <c r="B529" s="319"/>
      <c r="C529" s="318"/>
      <c r="D529" s="318"/>
      <c r="E529" s="319"/>
      <c r="F529" s="336"/>
      <c r="G529" s="318" t="s">
        <v>1894</v>
      </c>
      <c r="H529" s="328">
        <v>3.77</v>
      </c>
      <c r="I529" s="318">
        <v>1</v>
      </c>
      <c r="J529" s="318">
        <f t="shared" si="207"/>
        <v>1</v>
      </c>
      <c r="K529" s="328">
        <f t="shared" si="208"/>
        <v>3.77</v>
      </c>
      <c r="L529" s="350" t="s">
        <v>2697</v>
      </c>
      <c r="M529" s="349">
        <v>133173</v>
      </c>
      <c r="N529" s="318">
        <v>1</v>
      </c>
      <c r="O529" s="621">
        <f t="shared" si="209"/>
        <v>3.77</v>
      </c>
      <c r="P529" s="755">
        <v>1</v>
      </c>
      <c r="Q529" s="755">
        <f t="shared" si="210"/>
        <v>0</v>
      </c>
      <c r="R529" s="341">
        <v>1</v>
      </c>
      <c r="S529" s="318">
        <f t="shared" si="216"/>
        <v>3.77</v>
      </c>
      <c r="T529" s="319" t="s">
        <v>3352</v>
      </c>
      <c r="V529" s="328">
        <f>3.256+0.499</f>
        <v>3.7549999999999999</v>
      </c>
      <c r="W529" s="320"/>
      <c r="X529" s="328">
        <f t="shared" si="212"/>
        <v>0</v>
      </c>
      <c r="Y529" s="464"/>
      <c r="Z529" s="328">
        <f t="shared" si="213"/>
        <v>0</v>
      </c>
      <c r="AB529" s="458">
        <f t="shared" si="214"/>
        <v>-3.77</v>
      </c>
      <c r="AC529" s="348">
        <f t="shared" si="215"/>
        <v>-3.77</v>
      </c>
    </row>
    <row r="530" spans="1:29">
      <c r="A530" s="318"/>
      <c r="B530" s="319"/>
      <c r="C530" s="318"/>
      <c r="D530" s="318"/>
      <c r="E530" s="319"/>
      <c r="F530" s="336"/>
      <c r="G530" s="318" t="s">
        <v>1895</v>
      </c>
      <c r="H530" s="328">
        <v>3.92</v>
      </c>
      <c r="I530" s="318">
        <v>1</v>
      </c>
      <c r="J530" s="318">
        <f t="shared" si="207"/>
        <v>1</v>
      </c>
      <c r="K530" s="328">
        <f t="shared" si="208"/>
        <v>3.92</v>
      </c>
      <c r="L530" s="318">
        <v>1567</v>
      </c>
      <c r="M530" s="318">
        <v>133</v>
      </c>
      <c r="N530" s="318">
        <v>1</v>
      </c>
      <c r="O530" s="621">
        <f t="shared" si="209"/>
        <v>3.92</v>
      </c>
      <c r="P530" s="755">
        <v>1</v>
      </c>
      <c r="Q530" s="755">
        <f t="shared" si="210"/>
        <v>0</v>
      </c>
      <c r="R530" s="341">
        <v>1</v>
      </c>
      <c r="S530" s="318">
        <f t="shared" si="216"/>
        <v>3.92</v>
      </c>
      <c r="T530" s="319"/>
      <c r="V530" s="328">
        <v>3.91</v>
      </c>
      <c r="W530" s="320">
        <v>1</v>
      </c>
      <c r="X530" s="328">
        <f t="shared" si="212"/>
        <v>3.91</v>
      </c>
      <c r="Y530" s="464">
        <v>1</v>
      </c>
      <c r="Z530" s="328">
        <f t="shared" si="213"/>
        <v>3.91</v>
      </c>
      <c r="AB530" s="458">
        <f t="shared" si="214"/>
        <v>-9.9999999999997868E-3</v>
      </c>
      <c r="AC530" s="348">
        <f t="shared" si="215"/>
        <v>-9.9999999999997868E-3</v>
      </c>
    </row>
    <row r="531" spans="1:29">
      <c r="A531" s="318"/>
      <c r="B531" s="319"/>
      <c r="C531" s="318"/>
      <c r="D531" s="318"/>
      <c r="E531" s="319"/>
      <c r="F531" s="319"/>
      <c r="G531" s="318" t="s">
        <v>1896</v>
      </c>
      <c r="H531" s="328">
        <v>3.92</v>
      </c>
      <c r="I531" s="318">
        <v>1</v>
      </c>
      <c r="J531" s="318">
        <f t="shared" si="207"/>
        <v>1</v>
      </c>
      <c r="K531" s="328">
        <f t="shared" si="208"/>
        <v>3.92</v>
      </c>
      <c r="L531" s="318">
        <v>1567</v>
      </c>
      <c r="M531" s="318">
        <v>133</v>
      </c>
      <c r="N531" s="318">
        <v>1</v>
      </c>
      <c r="O531" s="621">
        <f t="shared" si="209"/>
        <v>3.92</v>
      </c>
      <c r="P531" s="755">
        <v>1</v>
      </c>
      <c r="Q531" s="755">
        <f t="shared" si="210"/>
        <v>0</v>
      </c>
      <c r="R531" s="341">
        <v>1</v>
      </c>
      <c r="S531" s="318">
        <f t="shared" si="216"/>
        <v>3.92</v>
      </c>
      <c r="T531" s="319"/>
      <c r="V531" s="328">
        <v>3.91</v>
      </c>
      <c r="W531" s="320">
        <v>1</v>
      </c>
      <c r="X531" s="328">
        <f t="shared" si="212"/>
        <v>3.91</v>
      </c>
      <c r="Y531" s="464">
        <v>1</v>
      </c>
      <c r="Z531" s="328">
        <f t="shared" si="213"/>
        <v>3.91</v>
      </c>
      <c r="AB531" s="458">
        <f t="shared" si="214"/>
        <v>-9.9999999999997868E-3</v>
      </c>
      <c r="AC531" s="348">
        <f t="shared" si="215"/>
        <v>-9.9999999999997868E-3</v>
      </c>
    </row>
    <row r="532" spans="1:29">
      <c r="A532" s="318"/>
      <c r="B532" s="319"/>
      <c r="C532" s="318"/>
      <c r="D532" s="318"/>
      <c r="E532" s="319"/>
      <c r="F532" s="319"/>
      <c r="G532" s="318" t="s">
        <v>1897</v>
      </c>
      <c r="H532" s="328">
        <v>3.92</v>
      </c>
      <c r="I532" s="318">
        <v>1</v>
      </c>
      <c r="J532" s="318">
        <f t="shared" si="207"/>
        <v>1</v>
      </c>
      <c r="K532" s="328">
        <f t="shared" si="208"/>
        <v>3.92</v>
      </c>
      <c r="L532" s="318">
        <v>1567</v>
      </c>
      <c r="M532" s="318">
        <v>133</v>
      </c>
      <c r="N532" s="318">
        <v>1</v>
      </c>
      <c r="O532" s="621">
        <f t="shared" si="209"/>
        <v>3.92</v>
      </c>
      <c r="P532" s="755">
        <v>1</v>
      </c>
      <c r="Q532" s="755">
        <f t="shared" si="210"/>
        <v>0</v>
      </c>
      <c r="R532" s="341">
        <v>1</v>
      </c>
      <c r="S532" s="318">
        <f t="shared" si="216"/>
        <v>3.92</v>
      </c>
      <c r="T532" s="319"/>
      <c r="V532" s="328">
        <v>3.91</v>
      </c>
      <c r="W532" s="320">
        <v>1</v>
      </c>
      <c r="X532" s="328">
        <f t="shared" si="212"/>
        <v>3.91</v>
      </c>
      <c r="Y532" s="464">
        <v>1</v>
      </c>
      <c r="Z532" s="328">
        <f t="shared" si="213"/>
        <v>3.91</v>
      </c>
      <c r="AB532" s="458">
        <f t="shared" si="214"/>
        <v>-9.9999999999997868E-3</v>
      </c>
      <c r="AC532" s="348">
        <f t="shared" si="215"/>
        <v>-9.9999999999997868E-3</v>
      </c>
    </row>
    <row r="533" spans="1:29">
      <c r="A533" s="318"/>
      <c r="B533" s="319"/>
      <c r="C533" s="318"/>
      <c r="D533" s="318"/>
      <c r="E533" s="319"/>
      <c r="F533" s="319"/>
      <c r="G533" s="318" t="s">
        <v>1898</v>
      </c>
      <c r="H533" s="328">
        <v>3.92</v>
      </c>
      <c r="I533" s="318">
        <v>1</v>
      </c>
      <c r="J533" s="318">
        <f t="shared" si="207"/>
        <v>1</v>
      </c>
      <c r="K533" s="328">
        <f t="shared" si="208"/>
        <v>3.92</v>
      </c>
      <c r="L533" s="318">
        <v>1567</v>
      </c>
      <c r="M533" s="318">
        <v>133</v>
      </c>
      <c r="N533" s="318">
        <v>1</v>
      </c>
      <c r="O533" s="621">
        <f t="shared" si="209"/>
        <v>3.92</v>
      </c>
      <c r="P533" s="755">
        <v>1</v>
      </c>
      <c r="Q533" s="755">
        <f t="shared" si="210"/>
        <v>0</v>
      </c>
      <c r="R533" s="341">
        <v>1</v>
      </c>
      <c r="S533" s="318">
        <f t="shared" si="216"/>
        <v>3.92</v>
      </c>
      <c r="T533" s="319"/>
      <c r="V533" s="328">
        <v>3.91</v>
      </c>
      <c r="W533" s="320">
        <v>1</v>
      </c>
      <c r="X533" s="328">
        <f t="shared" si="212"/>
        <v>3.91</v>
      </c>
      <c r="Y533" s="464">
        <v>1</v>
      </c>
      <c r="Z533" s="328">
        <f t="shared" si="213"/>
        <v>3.91</v>
      </c>
      <c r="AB533" s="458">
        <f t="shared" si="214"/>
        <v>-9.9999999999997868E-3</v>
      </c>
      <c r="AC533" s="348">
        <f t="shared" si="215"/>
        <v>-9.9999999999997868E-3</v>
      </c>
    </row>
    <row r="534" spans="1:29">
      <c r="A534" s="318"/>
      <c r="B534" s="319"/>
      <c r="C534" s="318"/>
      <c r="D534" s="318"/>
      <c r="E534" s="319"/>
      <c r="F534" s="319"/>
      <c r="G534" s="318" t="s">
        <v>1899</v>
      </c>
      <c r="H534" s="328">
        <v>3.77</v>
      </c>
      <c r="I534" s="318">
        <v>1</v>
      </c>
      <c r="J534" s="318">
        <f t="shared" si="207"/>
        <v>1</v>
      </c>
      <c r="K534" s="328">
        <f t="shared" si="208"/>
        <v>3.77</v>
      </c>
      <c r="L534" s="350" t="s">
        <v>2697</v>
      </c>
      <c r="M534" s="349">
        <v>133173</v>
      </c>
      <c r="N534" s="318">
        <v>1</v>
      </c>
      <c r="O534" s="621">
        <f t="shared" si="209"/>
        <v>3.77</v>
      </c>
      <c r="P534" s="755">
        <v>1</v>
      </c>
      <c r="Q534" s="755">
        <f t="shared" si="210"/>
        <v>0</v>
      </c>
      <c r="R534" s="341">
        <v>1</v>
      </c>
      <c r="S534" s="318">
        <f t="shared" si="216"/>
        <v>3.77</v>
      </c>
      <c r="T534" s="319"/>
      <c r="V534" s="328">
        <f>3.256+0.499</f>
        <v>3.7549999999999999</v>
      </c>
      <c r="W534" s="320"/>
      <c r="X534" s="328">
        <f t="shared" si="212"/>
        <v>0</v>
      </c>
      <c r="Y534" s="464"/>
      <c r="Z534" s="328">
        <f t="shared" si="213"/>
        <v>0</v>
      </c>
      <c r="AB534" s="458">
        <f t="shared" si="214"/>
        <v>-3.77</v>
      </c>
      <c r="AC534" s="348">
        <f t="shared" si="215"/>
        <v>-3.77</v>
      </c>
    </row>
    <row r="535" spans="1:29" collapsed="1">
      <c r="A535" s="318"/>
      <c r="B535" s="319"/>
      <c r="C535" s="318"/>
      <c r="D535" s="318"/>
      <c r="E535" s="319"/>
      <c r="F535" s="336"/>
      <c r="G535" s="318" t="s">
        <v>1900</v>
      </c>
      <c r="H535" s="328">
        <v>3.27</v>
      </c>
      <c r="I535" s="318">
        <v>1</v>
      </c>
      <c r="J535" s="318">
        <f t="shared" si="207"/>
        <v>1</v>
      </c>
      <c r="K535" s="328">
        <f t="shared" si="208"/>
        <v>3.27</v>
      </c>
      <c r="L535" s="350" t="s">
        <v>2731</v>
      </c>
      <c r="M535" s="350" t="s">
        <v>2749</v>
      </c>
      <c r="N535" s="318">
        <v>1</v>
      </c>
      <c r="O535" s="621">
        <f t="shared" si="209"/>
        <v>3.27</v>
      </c>
      <c r="P535" s="755">
        <v>1</v>
      </c>
      <c r="Q535" s="755">
        <f t="shared" si="210"/>
        <v>0</v>
      </c>
      <c r="R535" s="341">
        <v>1</v>
      </c>
      <c r="S535" s="318">
        <f t="shared" si="216"/>
        <v>3.27</v>
      </c>
      <c r="T535" s="319" t="s">
        <v>3352</v>
      </c>
      <c r="V535" s="328">
        <v>3.2559999999999998</v>
      </c>
      <c r="W535" s="320">
        <v>0.5</v>
      </c>
      <c r="X535" s="328">
        <f t="shared" si="212"/>
        <v>1.6279999999999999</v>
      </c>
      <c r="Y535" s="464"/>
      <c r="Z535" s="328">
        <f t="shared" si="213"/>
        <v>0</v>
      </c>
      <c r="AB535" s="458">
        <f t="shared" si="214"/>
        <v>-1.6420000000000001</v>
      </c>
      <c r="AC535" s="348">
        <f t="shared" si="215"/>
        <v>-3.27</v>
      </c>
    </row>
    <row r="536" spans="1:29">
      <c r="A536" s="318"/>
      <c r="B536" s="319"/>
      <c r="C536" s="318"/>
      <c r="D536" s="318"/>
      <c r="E536" s="319"/>
      <c r="F536" s="336"/>
      <c r="G536" s="318" t="s">
        <v>1901</v>
      </c>
      <c r="H536" s="328">
        <v>3.45</v>
      </c>
      <c r="I536" s="318">
        <v>1</v>
      </c>
      <c r="J536" s="318">
        <f t="shared" si="207"/>
        <v>1</v>
      </c>
      <c r="K536" s="328">
        <f t="shared" si="208"/>
        <v>3.45</v>
      </c>
      <c r="L536" s="318">
        <v>1567</v>
      </c>
      <c r="M536" s="318">
        <v>133</v>
      </c>
      <c r="N536" s="318">
        <v>1</v>
      </c>
      <c r="O536" s="621">
        <f t="shared" si="209"/>
        <v>3.45</v>
      </c>
      <c r="P536" s="755">
        <v>1</v>
      </c>
      <c r="Q536" s="755">
        <f t="shared" si="210"/>
        <v>0</v>
      </c>
      <c r="R536" s="341">
        <v>1</v>
      </c>
      <c r="S536" s="318">
        <f t="shared" si="216"/>
        <v>3.45</v>
      </c>
      <c r="T536" s="319" t="s">
        <v>3352</v>
      </c>
      <c r="V536" s="328">
        <v>3.44</v>
      </c>
      <c r="W536" s="320">
        <v>0.5</v>
      </c>
      <c r="X536" s="328">
        <f t="shared" si="212"/>
        <v>1.72</v>
      </c>
      <c r="Y536" s="464"/>
      <c r="Z536" s="328">
        <f t="shared" si="213"/>
        <v>0</v>
      </c>
      <c r="AB536" s="458">
        <f t="shared" si="214"/>
        <v>-1.7300000000000002</v>
      </c>
      <c r="AC536" s="348">
        <f t="shared" si="215"/>
        <v>-3.45</v>
      </c>
    </row>
    <row r="537" spans="1:29">
      <c r="A537" s="318"/>
      <c r="B537" s="319"/>
      <c r="C537" s="318"/>
      <c r="D537" s="318"/>
      <c r="E537" s="319"/>
      <c r="F537" s="336" t="s">
        <v>1863</v>
      </c>
      <c r="G537" s="318" t="s">
        <v>1902</v>
      </c>
      <c r="H537" s="328">
        <v>4.7699999999999996</v>
      </c>
      <c r="I537" s="318">
        <v>1</v>
      </c>
      <c r="J537" s="318">
        <v>1</v>
      </c>
      <c r="K537" s="328">
        <f t="shared" si="208"/>
        <v>4.7699999999999996</v>
      </c>
      <c r="L537" s="350" t="s">
        <v>3179</v>
      </c>
      <c r="M537" s="318"/>
      <c r="N537" s="318">
        <v>1</v>
      </c>
      <c r="O537" s="621">
        <f t="shared" si="209"/>
        <v>4.7699999999999996</v>
      </c>
      <c r="P537" s="755">
        <v>1</v>
      </c>
      <c r="Q537" s="755">
        <f t="shared" si="210"/>
        <v>0</v>
      </c>
      <c r="R537" s="341">
        <v>1</v>
      </c>
      <c r="S537" s="318">
        <f t="shared" si="216"/>
        <v>4.7699999999999996</v>
      </c>
      <c r="T537" s="319" t="s">
        <v>3393</v>
      </c>
      <c r="V537" s="328">
        <f t="shared" ref="V537:V543" si="218">4.49</f>
        <v>4.49</v>
      </c>
      <c r="W537" s="320"/>
      <c r="X537" s="328">
        <f t="shared" si="212"/>
        <v>0</v>
      </c>
      <c r="Y537" s="320"/>
      <c r="Z537" s="328">
        <f t="shared" si="213"/>
        <v>0</v>
      </c>
      <c r="AB537" s="458">
        <f t="shared" si="214"/>
        <v>-4.7699999999999996</v>
      </c>
      <c r="AC537" s="348">
        <f t="shared" si="215"/>
        <v>-4.7699999999999996</v>
      </c>
    </row>
    <row r="538" spans="1:29">
      <c r="A538" s="584"/>
      <c r="B538" s="585"/>
      <c r="C538" s="584"/>
      <c r="D538" s="584"/>
      <c r="E538" s="585"/>
      <c r="F538" s="589"/>
      <c r="G538" s="584" t="s">
        <v>426</v>
      </c>
      <c r="H538" s="587"/>
      <c r="I538" s="584"/>
      <c r="J538" s="584"/>
      <c r="K538" s="584"/>
      <c r="L538" s="586"/>
      <c r="M538" s="584"/>
      <c r="N538" s="584"/>
      <c r="O538" s="634" t="s">
        <v>2321</v>
      </c>
      <c r="P538" s="766"/>
      <c r="Q538" s="766"/>
      <c r="R538" s="590"/>
      <c r="S538" s="588" t="s">
        <v>2321</v>
      </c>
      <c r="T538" s="1035" t="s">
        <v>1456</v>
      </c>
      <c r="V538" s="328"/>
      <c r="W538" s="318"/>
      <c r="X538" s="387" t="s">
        <v>2321</v>
      </c>
      <c r="Y538" s="341"/>
      <c r="Z538" s="387" t="s">
        <v>2321</v>
      </c>
      <c r="AB538" s="348"/>
      <c r="AC538" s="384"/>
    </row>
    <row r="539" spans="1:29">
      <c r="A539" s="584"/>
      <c r="B539" s="585"/>
      <c r="C539" s="584"/>
      <c r="D539" s="584"/>
      <c r="E539" s="585"/>
      <c r="F539" s="585"/>
      <c r="G539" s="584" t="s">
        <v>427</v>
      </c>
      <c r="H539" s="587"/>
      <c r="I539" s="584"/>
      <c r="J539" s="584"/>
      <c r="K539" s="584"/>
      <c r="L539" s="586"/>
      <c r="M539" s="584"/>
      <c r="N539" s="584"/>
      <c r="O539" s="634" t="s">
        <v>2321</v>
      </c>
      <c r="P539" s="766"/>
      <c r="Q539" s="766"/>
      <c r="R539" s="590"/>
      <c r="S539" s="588" t="s">
        <v>2321</v>
      </c>
      <c r="T539" s="1035"/>
      <c r="V539" s="328"/>
      <c r="W539" s="318"/>
      <c r="X539" s="387" t="s">
        <v>2321</v>
      </c>
      <c r="Y539" s="341"/>
      <c r="Z539" s="387" t="s">
        <v>2321</v>
      </c>
      <c r="AB539" s="348"/>
      <c r="AC539" s="384"/>
    </row>
    <row r="540" spans="1:29">
      <c r="A540" s="584"/>
      <c r="B540" s="585"/>
      <c r="C540" s="584"/>
      <c r="D540" s="584"/>
      <c r="E540" s="585"/>
      <c r="F540" s="585"/>
      <c r="G540" s="584" t="s">
        <v>428</v>
      </c>
      <c r="H540" s="587"/>
      <c r="I540" s="584"/>
      <c r="J540" s="584"/>
      <c r="K540" s="584"/>
      <c r="L540" s="586"/>
      <c r="M540" s="584"/>
      <c r="N540" s="584"/>
      <c r="O540" s="634" t="s">
        <v>2321</v>
      </c>
      <c r="P540" s="766"/>
      <c r="Q540" s="766"/>
      <c r="R540" s="590"/>
      <c r="S540" s="588" t="s">
        <v>2321</v>
      </c>
      <c r="T540" s="1035"/>
      <c r="V540" s="328"/>
      <c r="W540" s="318"/>
      <c r="X540" s="387" t="s">
        <v>2321</v>
      </c>
      <c r="Y540" s="341"/>
      <c r="Z540" s="387" t="s">
        <v>2321</v>
      </c>
      <c r="AB540" s="348"/>
      <c r="AC540" s="384"/>
    </row>
    <row r="541" spans="1:29">
      <c r="A541" s="584"/>
      <c r="B541" s="585"/>
      <c r="C541" s="584"/>
      <c r="D541" s="584"/>
      <c r="E541" s="585"/>
      <c r="F541" s="589"/>
      <c r="G541" s="584" t="s">
        <v>429</v>
      </c>
      <c r="H541" s="587"/>
      <c r="I541" s="584"/>
      <c r="J541" s="584"/>
      <c r="K541" s="584"/>
      <c r="L541" s="584"/>
      <c r="M541" s="584"/>
      <c r="N541" s="584"/>
      <c r="O541" s="634" t="s">
        <v>2321</v>
      </c>
      <c r="P541" s="766"/>
      <c r="Q541" s="766"/>
      <c r="R541" s="629"/>
      <c r="S541" s="588" t="s">
        <v>2321</v>
      </c>
      <c r="T541" s="1035"/>
      <c r="V541" s="328"/>
      <c r="W541" s="318"/>
      <c r="X541" s="387" t="s">
        <v>2321</v>
      </c>
      <c r="Y541" s="341"/>
      <c r="Z541" s="387" t="s">
        <v>2321</v>
      </c>
      <c r="AB541" s="348"/>
      <c r="AC541" s="384"/>
    </row>
    <row r="542" spans="1:29" ht="14.4" customHeight="1" collapsed="1">
      <c r="A542" s="318"/>
      <c r="B542" s="319"/>
      <c r="C542" s="318"/>
      <c r="D542" s="318"/>
      <c r="E542" s="319"/>
      <c r="F542" s="336" t="s">
        <v>1863</v>
      </c>
      <c r="G542" s="318" t="s">
        <v>1903</v>
      </c>
      <c r="H542" s="328">
        <v>4.7699999999999996</v>
      </c>
      <c r="I542" s="318">
        <v>1</v>
      </c>
      <c r="J542" s="318">
        <v>1</v>
      </c>
      <c r="K542" s="328">
        <f>H542*J542</f>
        <v>4.7699999999999996</v>
      </c>
      <c r="L542" s="350" t="s">
        <v>3181</v>
      </c>
      <c r="M542" s="318"/>
      <c r="N542" s="318">
        <v>1</v>
      </c>
      <c r="O542" s="621">
        <f>H542*N542</f>
        <v>4.7699999999999996</v>
      </c>
      <c r="P542" s="755">
        <v>1</v>
      </c>
      <c r="Q542" s="755">
        <f t="shared" ref="Q542:Q544" si="219">R542-P542</f>
        <v>0</v>
      </c>
      <c r="R542" s="341">
        <v>1</v>
      </c>
      <c r="S542" s="318">
        <f t="shared" ref="S542" si="220">H542*R542</f>
        <v>4.7699999999999996</v>
      </c>
      <c r="T542" s="319" t="s">
        <v>3393</v>
      </c>
      <c r="V542" s="328">
        <f t="shared" si="218"/>
        <v>4.49</v>
      </c>
      <c r="W542" s="320"/>
      <c r="X542" s="328">
        <f>V542*W542</f>
        <v>0</v>
      </c>
      <c r="Y542" s="464"/>
      <c r="Z542" s="328">
        <f>V542*Y542</f>
        <v>0</v>
      </c>
      <c r="AB542" s="458">
        <f>X542-O542</f>
        <v>-4.7699999999999996</v>
      </c>
      <c r="AC542" s="348">
        <f>Z542-S542</f>
        <v>-4.7699999999999996</v>
      </c>
    </row>
    <row r="543" spans="1:29">
      <c r="A543" s="318"/>
      <c r="B543" s="319"/>
      <c r="C543" s="318"/>
      <c r="D543" s="318"/>
      <c r="E543" s="319"/>
      <c r="F543" s="336"/>
      <c r="G543" s="318" t="s">
        <v>1904</v>
      </c>
      <c r="H543" s="328">
        <v>4.49</v>
      </c>
      <c r="I543" s="318">
        <v>1</v>
      </c>
      <c r="J543" s="318">
        <f>IF(N543&gt;0,1,0)</f>
        <v>1</v>
      </c>
      <c r="K543" s="328">
        <f>H543*J543</f>
        <v>4.49</v>
      </c>
      <c r="L543" s="318">
        <v>1296</v>
      </c>
      <c r="M543" s="318" t="s">
        <v>233</v>
      </c>
      <c r="N543" s="318">
        <v>1</v>
      </c>
      <c r="O543" s="621">
        <f>H543*N543</f>
        <v>4.49</v>
      </c>
      <c r="P543" s="755">
        <v>1</v>
      </c>
      <c r="Q543" s="755">
        <f t="shared" si="219"/>
        <v>0</v>
      </c>
      <c r="R543" s="341">
        <v>1</v>
      </c>
      <c r="S543" s="318">
        <f t="shared" ref="S543:S544" si="221">H543*R543</f>
        <v>4.49</v>
      </c>
      <c r="T543" s="319"/>
      <c r="V543" s="328">
        <f t="shared" si="218"/>
        <v>4.49</v>
      </c>
      <c r="W543" s="320">
        <v>1</v>
      </c>
      <c r="X543" s="328">
        <f>V543*W543</f>
        <v>4.49</v>
      </c>
      <c r="Y543" s="464"/>
      <c r="Z543" s="328">
        <f>V543*Y543</f>
        <v>0</v>
      </c>
      <c r="AB543" s="458">
        <f>X543-O543</f>
        <v>0</v>
      </c>
      <c r="AC543" s="348">
        <f>Z543-S543</f>
        <v>-4.49</v>
      </c>
    </row>
    <row r="544" spans="1:29">
      <c r="A544" s="318"/>
      <c r="B544" s="319"/>
      <c r="C544" s="318"/>
      <c r="D544" s="318"/>
      <c r="E544" s="319"/>
      <c r="F544" s="336" t="s">
        <v>1225</v>
      </c>
      <c r="G544" s="318" t="s">
        <v>1905</v>
      </c>
      <c r="H544" s="328">
        <v>2.58</v>
      </c>
      <c r="I544" s="318">
        <v>1</v>
      </c>
      <c r="J544" s="318">
        <f>IF(N544&gt;0,1,0)</f>
        <v>1</v>
      </c>
      <c r="K544" s="328">
        <f>H544*J544</f>
        <v>2.58</v>
      </c>
      <c r="L544" s="350" t="s">
        <v>2696</v>
      </c>
      <c r="M544" s="318">
        <v>173</v>
      </c>
      <c r="N544" s="318">
        <v>1</v>
      </c>
      <c r="O544" s="621">
        <f>H544*N544</f>
        <v>2.58</v>
      </c>
      <c r="P544" s="755">
        <v>1</v>
      </c>
      <c r="Q544" s="755">
        <f t="shared" si="219"/>
        <v>0</v>
      </c>
      <c r="R544" s="341">
        <v>1</v>
      </c>
      <c r="S544" s="318">
        <f t="shared" si="221"/>
        <v>2.58</v>
      </c>
      <c r="T544" s="597" t="s">
        <v>3211</v>
      </c>
      <c r="V544" s="328">
        <f>1.15-0.6+2.055</f>
        <v>2.605</v>
      </c>
      <c r="W544" s="320"/>
      <c r="X544" s="328">
        <f>V544*W544</f>
        <v>0</v>
      </c>
      <c r="Y544" s="464"/>
      <c r="Z544" s="328">
        <f>V544*Y544</f>
        <v>0</v>
      </c>
      <c r="AB544" s="458">
        <f>X544-O544</f>
        <v>-2.58</v>
      </c>
      <c r="AC544" s="348">
        <f>Z544-S544</f>
        <v>-2.58</v>
      </c>
    </row>
    <row r="545" spans="1:29">
      <c r="A545" s="318"/>
      <c r="B545" s="319"/>
      <c r="C545" s="318"/>
      <c r="D545" s="318"/>
      <c r="E545" s="319"/>
      <c r="F545" s="319"/>
      <c r="G545" s="318"/>
      <c r="H545" s="318"/>
      <c r="I545" s="318"/>
      <c r="J545" s="382" t="s">
        <v>389</v>
      </c>
      <c r="K545" s="338">
        <f>SUM(K519:K544)</f>
        <v>87.280000000000015</v>
      </c>
      <c r="L545" s="318"/>
      <c r="M545" s="318"/>
      <c r="N545" s="382" t="s">
        <v>389</v>
      </c>
      <c r="O545" s="759">
        <f>SUM(O519:O544)</f>
        <v>87.280000000000015</v>
      </c>
      <c r="P545" s="751" t="s">
        <v>389</v>
      </c>
      <c r="Q545" s="751"/>
      <c r="R545" s="382"/>
      <c r="S545" s="338">
        <f>SUM(S519:S544)</f>
        <v>87.280000000000015</v>
      </c>
      <c r="T545" s="323"/>
      <c r="V545" s="318"/>
      <c r="W545" s="321" t="s">
        <v>389</v>
      </c>
      <c r="X545" s="338">
        <f>SUM(X519:X544)</f>
        <v>53.440499999999993</v>
      </c>
      <c r="Y545" s="321" t="s">
        <v>389</v>
      </c>
      <c r="Z545" s="338">
        <f>SUM(Z519:Z544)</f>
        <v>15.64</v>
      </c>
      <c r="AB545" s="338"/>
      <c r="AC545" s="338"/>
    </row>
    <row r="546" spans="1:29" ht="6.75" customHeight="1">
      <c r="A546" s="316"/>
      <c r="B546" s="317"/>
      <c r="C546" s="316"/>
      <c r="D546" s="316"/>
      <c r="E546" s="317"/>
      <c r="F546" s="317"/>
      <c r="G546" s="316"/>
      <c r="H546" s="316"/>
      <c r="I546" s="316"/>
      <c r="J546" s="316"/>
      <c r="K546" s="316"/>
      <c r="L546" s="316"/>
      <c r="M546" s="316"/>
      <c r="N546" s="316"/>
      <c r="O546" s="749"/>
      <c r="P546" s="752"/>
      <c r="Q546" s="752"/>
      <c r="R546" s="316"/>
      <c r="S546" s="316"/>
      <c r="T546" s="317"/>
      <c r="V546" s="316"/>
      <c r="W546" s="316"/>
      <c r="X546" s="316"/>
      <c r="Y546" s="316"/>
      <c r="Z546" s="316"/>
      <c r="AB546" s="339"/>
      <c r="AC546" s="339"/>
    </row>
    <row r="547" spans="1:29">
      <c r="A547" s="318">
        <v>13</v>
      </c>
      <c r="B547" s="319" t="s">
        <v>383</v>
      </c>
      <c r="C547" s="318">
        <v>600</v>
      </c>
      <c r="D547" s="318">
        <v>20</v>
      </c>
      <c r="E547" s="319">
        <v>1</v>
      </c>
      <c r="F547" s="336"/>
      <c r="G547" s="318" t="s">
        <v>1906</v>
      </c>
      <c r="H547" s="328">
        <v>4.49</v>
      </c>
      <c r="I547" s="318">
        <v>1</v>
      </c>
      <c r="J547" s="318">
        <f t="shared" ref="J547:J566" si="222">IF(N547&gt;0,1,0)</f>
        <v>1</v>
      </c>
      <c r="K547" s="328">
        <f t="shared" ref="K547:K566" si="223">H547*J547</f>
        <v>4.49</v>
      </c>
      <c r="L547" s="318">
        <v>1645</v>
      </c>
      <c r="M547" s="318">
        <v>148</v>
      </c>
      <c r="N547" s="318">
        <v>1</v>
      </c>
      <c r="O547" s="621">
        <f t="shared" ref="O547:O566" si="224">H547*N547</f>
        <v>4.49</v>
      </c>
      <c r="P547" s="755">
        <v>1</v>
      </c>
      <c r="Q547" s="755">
        <f t="shared" ref="Q547:Q566" si="225">R547-P547</f>
        <v>0</v>
      </c>
      <c r="R547" s="341">
        <v>1</v>
      </c>
      <c r="S547" s="318">
        <f t="shared" ref="S547" si="226">H547*R547</f>
        <v>4.49</v>
      </c>
      <c r="T547" s="319"/>
      <c r="V547" s="328">
        <f>4.49</f>
        <v>4.49</v>
      </c>
      <c r="W547" s="320">
        <v>1</v>
      </c>
      <c r="X547" s="328">
        <f t="shared" ref="X547:X566" si="227">V547*W547</f>
        <v>4.49</v>
      </c>
      <c r="Y547" s="320"/>
      <c r="Z547" s="328">
        <f t="shared" ref="Z547:Z566" si="228">V547*Y547</f>
        <v>0</v>
      </c>
      <c r="AB547" s="458">
        <f t="shared" ref="AB547:AB566" si="229">X547-O547</f>
        <v>0</v>
      </c>
      <c r="AC547" s="348">
        <f t="shared" ref="AC547:AC566" si="230">Z547-S547</f>
        <v>-4.49</v>
      </c>
    </row>
    <row r="548" spans="1:29">
      <c r="A548" s="318"/>
      <c r="B548" s="319"/>
      <c r="C548" s="318"/>
      <c r="D548" s="318"/>
      <c r="E548" s="319"/>
      <c r="F548" s="336"/>
      <c r="G548" s="318" t="s">
        <v>1907</v>
      </c>
      <c r="H548" s="328">
        <v>4.49</v>
      </c>
      <c r="I548" s="318">
        <v>1</v>
      </c>
      <c r="J548" s="318">
        <f t="shared" si="222"/>
        <v>1</v>
      </c>
      <c r="K548" s="328">
        <f t="shared" si="223"/>
        <v>4.49</v>
      </c>
      <c r="L548" s="318">
        <v>1295</v>
      </c>
      <c r="M548" s="318" t="s">
        <v>233</v>
      </c>
      <c r="N548" s="318">
        <v>1</v>
      </c>
      <c r="O548" s="621">
        <f t="shared" si="224"/>
        <v>4.49</v>
      </c>
      <c r="P548" s="755">
        <v>1</v>
      </c>
      <c r="Q548" s="755">
        <f t="shared" si="225"/>
        <v>0</v>
      </c>
      <c r="R548" s="341">
        <v>1</v>
      </c>
      <c r="S548" s="318">
        <f t="shared" ref="S548:S566" si="231">H548*R548</f>
        <v>4.49</v>
      </c>
      <c r="T548" s="319"/>
      <c r="V548" s="328">
        <f>4.49</f>
        <v>4.49</v>
      </c>
      <c r="W548" s="320">
        <v>1</v>
      </c>
      <c r="X548" s="328">
        <f t="shared" si="227"/>
        <v>4.49</v>
      </c>
      <c r="Y548" s="464"/>
      <c r="Z548" s="328">
        <f t="shared" si="228"/>
        <v>0</v>
      </c>
      <c r="AB548" s="458">
        <f t="shared" si="229"/>
        <v>0</v>
      </c>
      <c r="AC548" s="348">
        <f t="shared" si="230"/>
        <v>-4.49</v>
      </c>
    </row>
    <row r="549" spans="1:29">
      <c r="A549" s="318"/>
      <c r="B549" s="319"/>
      <c r="C549" s="318"/>
      <c r="D549" s="318"/>
      <c r="E549" s="319"/>
      <c r="F549" s="319"/>
      <c r="G549" s="318" t="s">
        <v>1908</v>
      </c>
      <c r="H549" s="328">
        <v>4.49</v>
      </c>
      <c r="I549" s="318">
        <v>1</v>
      </c>
      <c r="J549" s="318">
        <f t="shared" si="222"/>
        <v>1</v>
      </c>
      <c r="K549" s="328">
        <f t="shared" si="223"/>
        <v>4.49</v>
      </c>
      <c r="L549" s="318" t="s">
        <v>234</v>
      </c>
      <c r="M549" s="318" t="s">
        <v>233</v>
      </c>
      <c r="N549" s="318">
        <v>1</v>
      </c>
      <c r="O549" s="621">
        <f t="shared" si="224"/>
        <v>4.49</v>
      </c>
      <c r="P549" s="755">
        <v>1</v>
      </c>
      <c r="Q549" s="755">
        <f t="shared" si="225"/>
        <v>0</v>
      </c>
      <c r="R549" s="341">
        <v>1</v>
      </c>
      <c r="S549" s="318">
        <f t="shared" si="231"/>
        <v>4.49</v>
      </c>
      <c r="T549" s="319"/>
      <c r="V549" s="328">
        <f t="shared" ref="V549:V555" si="232">4.49</f>
        <v>4.49</v>
      </c>
      <c r="W549" s="320">
        <v>1</v>
      </c>
      <c r="X549" s="328">
        <f t="shared" si="227"/>
        <v>4.49</v>
      </c>
      <c r="Y549" s="464">
        <v>1</v>
      </c>
      <c r="Z549" s="328">
        <f t="shared" si="228"/>
        <v>4.49</v>
      </c>
      <c r="AB549" s="458">
        <f t="shared" si="229"/>
        <v>0</v>
      </c>
      <c r="AC549" s="348">
        <f t="shared" si="230"/>
        <v>0</v>
      </c>
    </row>
    <row r="550" spans="1:29">
      <c r="A550" s="318"/>
      <c r="B550" s="319"/>
      <c r="C550" s="318"/>
      <c r="D550" s="318"/>
      <c r="E550" s="319"/>
      <c r="F550" s="319"/>
      <c r="G550" s="318" t="s">
        <v>1909</v>
      </c>
      <c r="H550" s="328">
        <v>4.49</v>
      </c>
      <c r="I550" s="318">
        <v>1</v>
      </c>
      <c r="J550" s="318">
        <f t="shared" si="222"/>
        <v>1</v>
      </c>
      <c r="K550" s="328">
        <f t="shared" si="223"/>
        <v>4.49</v>
      </c>
      <c r="L550" s="318">
        <v>1295</v>
      </c>
      <c r="M550" s="318" t="s">
        <v>233</v>
      </c>
      <c r="N550" s="318">
        <v>1</v>
      </c>
      <c r="O550" s="621">
        <f t="shared" si="224"/>
        <v>4.49</v>
      </c>
      <c r="P550" s="755">
        <v>1</v>
      </c>
      <c r="Q550" s="755">
        <f t="shared" si="225"/>
        <v>0</v>
      </c>
      <c r="R550" s="341">
        <v>1</v>
      </c>
      <c r="S550" s="318">
        <f t="shared" si="231"/>
        <v>4.49</v>
      </c>
      <c r="T550" s="319"/>
      <c r="V550" s="328">
        <f t="shared" si="232"/>
        <v>4.49</v>
      </c>
      <c r="W550" s="320">
        <v>1</v>
      </c>
      <c r="X550" s="328">
        <f t="shared" si="227"/>
        <v>4.49</v>
      </c>
      <c r="Y550" s="464">
        <v>1</v>
      </c>
      <c r="Z550" s="328">
        <f t="shared" si="228"/>
        <v>4.49</v>
      </c>
      <c r="AB550" s="458">
        <f t="shared" si="229"/>
        <v>0</v>
      </c>
      <c r="AC550" s="348">
        <f t="shared" si="230"/>
        <v>0</v>
      </c>
    </row>
    <row r="551" spans="1:29">
      <c r="A551" s="318"/>
      <c r="B551" s="319"/>
      <c r="C551" s="318"/>
      <c r="D551" s="318"/>
      <c r="E551" s="319"/>
      <c r="F551" s="319"/>
      <c r="G551" s="318" t="s">
        <v>1910</v>
      </c>
      <c r="H551" s="328">
        <v>4.49</v>
      </c>
      <c r="I551" s="318">
        <v>1</v>
      </c>
      <c r="J551" s="318">
        <f t="shared" si="222"/>
        <v>1</v>
      </c>
      <c r="K551" s="328">
        <f t="shared" si="223"/>
        <v>4.49</v>
      </c>
      <c r="L551" s="318">
        <v>1295</v>
      </c>
      <c r="M551" s="318" t="s">
        <v>233</v>
      </c>
      <c r="N551" s="318">
        <v>1</v>
      </c>
      <c r="O551" s="621">
        <f t="shared" si="224"/>
        <v>4.49</v>
      </c>
      <c r="P551" s="755">
        <v>1</v>
      </c>
      <c r="Q551" s="755">
        <f t="shared" si="225"/>
        <v>0</v>
      </c>
      <c r="R551" s="341">
        <v>1</v>
      </c>
      <c r="S551" s="318">
        <f t="shared" si="231"/>
        <v>4.49</v>
      </c>
      <c r="T551" s="319"/>
      <c r="V551" s="328">
        <f t="shared" si="232"/>
        <v>4.49</v>
      </c>
      <c r="W551" s="320">
        <v>1</v>
      </c>
      <c r="X551" s="328">
        <f t="shared" si="227"/>
        <v>4.49</v>
      </c>
      <c r="Y551" s="464">
        <v>1</v>
      </c>
      <c r="Z551" s="328">
        <f t="shared" si="228"/>
        <v>4.49</v>
      </c>
      <c r="AB551" s="458">
        <f t="shared" si="229"/>
        <v>0</v>
      </c>
      <c r="AC551" s="348">
        <f t="shared" si="230"/>
        <v>0</v>
      </c>
    </row>
    <row r="552" spans="1:29">
      <c r="A552" s="318"/>
      <c r="B552" s="319"/>
      <c r="C552" s="318"/>
      <c r="D552" s="318"/>
      <c r="E552" s="319"/>
      <c r="F552" s="319"/>
      <c r="G552" s="318" t="s">
        <v>1911</v>
      </c>
      <c r="H552" s="328">
        <v>4.49</v>
      </c>
      <c r="I552" s="318">
        <v>1</v>
      </c>
      <c r="J552" s="318">
        <f t="shared" si="222"/>
        <v>1</v>
      </c>
      <c r="K552" s="328">
        <f t="shared" si="223"/>
        <v>4.49</v>
      </c>
      <c r="L552" s="318" t="s">
        <v>234</v>
      </c>
      <c r="M552" s="318" t="s">
        <v>233</v>
      </c>
      <c r="N552" s="318">
        <v>1</v>
      </c>
      <c r="O552" s="621">
        <f t="shared" si="224"/>
        <v>4.49</v>
      </c>
      <c r="P552" s="755">
        <v>1</v>
      </c>
      <c r="Q552" s="755">
        <f t="shared" si="225"/>
        <v>0</v>
      </c>
      <c r="R552" s="341">
        <v>1</v>
      </c>
      <c r="S552" s="318">
        <f t="shared" si="231"/>
        <v>4.49</v>
      </c>
      <c r="T552" s="319"/>
      <c r="V552" s="328">
        <f t="shared" si="232"/>
        <v>4.49</v>
      </c>
      <c r="W552" s="320">
        <v>1</v>
      </c>
      <c r="X552" s="328">
        <f t="shared" si="227"/>
        <v>4.49</v>
      </c>
      <c r="Y552" s="464">
        <v>1</v>
      </c>
      <c r="Z552" s="328">
        <f t="shared" si="228"/>
        <v>4.49</v>
      </c>
      <c r="AB552" s="458">
        <f t="shared" si="229"/>
        <v>0</v>
      </c>
      <c r="AC552" s="348">
        <f t="shared" si="230"/>
        <v>0</v>
      </c>
    </row>
    <row r="553" spans="1:29">
      <c r="A553" s="318"/>
      <c r="B553" s="319"/>
      <c r="C553" s="318"/>
      <c r="D553" s="318"/>
      <c r="E553" s="319"/>
      <c r="F553" s="319"/>
      <c r="G553" s="318" t="s">
        <v>1912</v>
      </c>
      <c r="H553" s="328">
        <v>4.49</v>
      </c>
      <c r="I553" s="318">
        <v>1</v>
      </c>
      <c r="J553" s="318">
        <f t="shared" si="222"/>
        <v>1</v>
      </c>
      <c r="K553" s="328">
        <f t="shared" si="223"/>
        <v>4.49</v>
      </c>
      <c r="L553" s="318" t="s">
        <v>234</v>
      </c>
      <c r="M553" s="318" t="s">
        <v>233</v>
      </c>
      <c r="N553" s="318">
        <v>1</v>
      </c>
      <c r="O553" s="621">
        <f t="shared" si="224"/>
        <v>4.49</v>
      </c>
      <c r="P553" s="755">
        <v>1</v>
      </c>
      <c r="Q553" s="755">
        <f t="shared" si="225"/>
        <v>0</v>
      </c>
      <c r="R553" s="341">
        <v>1</v>
      </c>
      <c r="S553" s="318">
        <f t="shared" si="231"/>
        <v>4.49</v>
      </c>
      <c r="T553" s="319"/>
      <c r="V553" s="328">
        <f t="shared" si="232"/>
        <v>4.49</v>
      </c>
      <c r="W553" s="320">
        <v>1</v>
      </c>
      <c r="X553" s="328">
        <f t="shared" si="227"/>
        <v>4.49</v>
      </c>
      <c r="Y553" s="464">
        <v>1</v>
      </c>
      <c r="Z553" s="328">
        <f t="shared" si="228"/>
        <v>4.49</v>
      </c>
      <c r="AB553" s="458">
        <f t="shared" si="229"/>
        <v>0</v>
      </c>
      <c r="AC553" s="348">
        <f t="shared" si="230"/>
        <v>0</v>
      </c>
    </row>
    <row r="554" spans="1:29">
      <c r="A554" s="318"/>
      <c r="B554" s="319"/>
      <c r="C554" s="318"/>
      <c r="D554" s="318"/>
      <c r="E554" s="319"/>
      <c r="F554" s="319"/>
      <c r="G554" s="318" t="s">
        <v>1913</v>
      </c>
      <c r="H554" s="328">
        <v>4.49</v>
      </c>
      <c r="I554" s="318">
        <v>1</v>
      </c>
      <c r="J554" s="318">
        <f t="shared" si="222"/>
        <v>1</v>
      </c>
      <c r="K554" s="328">
        <f t="shared" si="223"/>
        <v>4.49</v>
      </c>
      <c r="L554" s="318">
        <v>1304</v>
      </c>
      <c r="M554" s="318" t="s">
        <v>172</v>
      </c>
      <c r="N554" s="318">
        <v>1</v>
      </c>
      <c r="O554" s="621">
        <f t="shared" si="224"/>
        <v>4.49</v>
      </c>
      <c r="P554" s="755">
        <v>1</v>
      </c>
      <c r="Q554" s="755">
        <f t="shared" si="225"/>
        <v>0</v>
      </c>
      <c r="R554" s="341">
        <v>1</v>
      </c>
      <c r="S554" s="318">
        <f t="shared" si="231"/>
        <v>4.49</v>
      </c>
      <c r="T554" s="319"/>
      <c r="V554" s="328">
        <f t="shared" si="232"/>
        <v>4.49</v>
      </c>
      <c r="W554" s="320">
        <v>1</v>
      </c>
      <c r="X554" s="328">
        <f t="shared" si="227"/>
        <v>4.49</v>
      </c>
      <c r="Y554" s="464">
        <v>1</v>
      </c>
      <c r="Z554" s="328">
        <f t="shared" si="228"/>
        <v>4.49</v>
      </c>
      <c r="AB554" s="458">
        <f t="shared" si="229"/>
        <v>0</v>
      </c>
      <c r="AC554" s="348">
        <f t="shared" si="230"/>
        <v>0</v>
      </c>
    </row>
    <row r="555" spans="1:29">
      <c r="A555" s="318"/>
      <c r="B555" s="319"/>
      <c r="C555" s="318"/>
      <c r="D555" s="318"/>
      <c r="E555" s="319"/>
      <c r="F555" s="319"/>
      <c r="G555" s="318" t="s">
        <v>1914</v>
      </c>
      <c r="H555" s="328">
        <v>4.49</v>
      </c>
      <c r="I555" s="318">
        <v>1</v>
      </c>
      <c r="J555" s="318">
        <f t="shared" si="222"/>
        <v>1</v>
      </c>
      <c r="K555" s="328">
        <f t="shared" si="223"/>
        <v>4.49</v>
      </c>
      <c r="L555" s="318" t="s">
        <v>234</v>
      </c>
      <c r="M555" s="318" t="s">
        <v>233</v>
      </c>
      <c r="N555" s="318">
        <v>1</v>
      </c>
      <c r="O555" s="621">
        <f t="shared" si="224"/>
        <v>4.49</v>
      </c>
      <c r="P555" s="755">
        <v>1</v>
      </c>
      <c r="Q555" s="755">
        <f t="shared" si="225"/>
        <v>0</v>
      </c>
      <c r="R555" s="341">
        <v>1</v>
      </c>
      <c r="S555" s="318">
        <f t="shared" si="231"/>
        <v>4.49</v>
      </c>
      <c r="T555" s="319"/>
      <c r="V555" s="328">
        <f t="shared" si="232"/>
        <v>4.49</v>
      </c>
      <c r="W555" s="320">
        <v>1</v>
      </c>
      <c r="X555" s="328">
        <f t="shared" si="227"/>
        <v>4.49</v>
      </c>
      <c r="Y555" s="464">
        <v>1</v>
      </c>
      <c r="Z555" s="328">
        <f t="shared" si="228"/>
        <v>4.49</v>
      </c>
      <c r="AB555" s="458">
        <f t="shared" si="229"/>
        <v>0</v>
      </c>
      <c r="AC555" s="348">
        <f t="shared" si="230"/>
        <v>0</v>
      </c>
    </row>
    <row r="556" spans="1:29">
      <c r="A556" s="318"/>
      <c r="B556" s="319"/>
      <c r="C556" s="318"/>
      <c r="D556" s="318"/>
      <c r="E556" s="319"/>
      <c r="F556" s="319"/>
      <c r="G556" s="318" t="s">
        <v>1915</v>
      </c>
      <c r="H556" s="328">
        <v>3.45</v>
      </c>
      <c r="I556" s="318">
        <v>1</v>
      </c>
      <c r="J556" s="318">
        <f t="shared" si="222"/>
        <v>1</v>
      </c>
      <c r="K556" s="328">
        <f t="shared" si="223"/>
        <v>3.45</v>
      </c>
      <c r="L556" s="318">
        <v>1645</v>
      </c>
      <c r="M556" s="318">
        <v>148</v>
      </c>
      <c r="N556" s="318">
        <v>1</v>
      </c>
      <c r="O556" s="621">
        <f t="shared" si="224"/>
        <v>3.45</v>
      </c>
      <c r="P556" s="755">
        <v>1</v>
      </c>
      <c r="Q556" s="755">
        <f t="shared" si="225"/>
        <v>0</v>
      </c>
      <c r="R556" s="341">
        <v>1</v>
      </c>
      <c r="S556" s="318">
        <f t="shared" si="231"/>
        <v>3.45</v>
      </c>
      <c r="T556" s="319"/>
      <c r="V556" s="328">
        <v>3.44</v>
      </c>
      <c r="W556" s="320"/>
      <c r="X556" s="457">
        <f t="shared" si="227"/>
        <v>0</v>
      </c>
      <c r="Y556" s="464"/>
      <c r="Z556" s="457">
        <f t="shared" si="228"/>
        <v>0</v>
      </c>
      <c r="AB556" s="458">
        <f t="shared" si="229"/>
        <v>-3.45</v>
      </c>
      <c r="AC556" s="455">
        <f t="shared" si="230"/>
        <v>-3.45</v>
      </c>
    </row>
    <row r="557" spans="1:29">
      <c r="A557" s="318"/>
      <c r="B557" s="319"/>
      <c r="C557" s="318"/>
      <c r="D557" s="318"/>
      <c r="E557" s="319"/>
      <c r="F557" s="336" t="s">
        <v>1863</v>
      </c>
      <c r="G557" s="318" t="s">
        <v>1916</v>
      </c>
      <c r="H557" s="328">
        <v>3.27</v>
      </c>
      <c r="I557" s="318">
        <v>1</v>
      </c>
      <c r="J557" s="318">
        <f t="shared" si="222"/>
        <v>1</v>
      </c>
      <c r="K557" s="328">
        <f t="shared" si="223"/>
        <v>3.27</v>
      </c>
      <c r="L557" s="350" t="s">
        <v>2588</v>
      </c>
      <c r="M557" s="350" t="s">
        <v>2589</v>
      </c>
      <c r="N557" s="318">
        <v>1</v>
      </c>
      <c r="O557" s="621">
        <f t="shared" si="224"/>
        <v>3.27</v>
      </c>
      <c r="P557" s="755">
        <v>1</v>
      </c>
      <c r="Q557" s="755">
        <f t="shared" si="225"/>
        <v>0</v>
      </c>
      <c r="R557" s="341">
        <v>1</v>
      </c>
      <c r="S557" s="318">
        <f t="shared" si="231"/>
        <v>3.27</v>
      </c>
      <c r="T557" s="319" t="s">
        <v>3449</v>
      </c>
      <c r="V557" s="328">
        <v>3.2559999999999998</v>
      </c>
      <c r="W557" s="320">
        <v>1</v>
      </c>
      <c r="X557" s="328">
        <f t="shared" si="227"/>
        <v>3.2559999999999998</v>
      </c>
      <c r="Y557" s="464">
        <v>1</v>
      </c>
      <c r="Z557" s="328">
        <f t="shared" si="228"/>
        <v>3.2559999999999998</v>
      </c>
      <c r="AB557" s="458">
        <f t="shared" si="229"/>
        <v>-1.4000000000000234E-2</v>
      </c>
      <c r="AC557" s="348">
        <f t="shared" si="230"/>
        <v>-1.4000000000000234E-2</v>
      </c>
    </row>
    <row r="558" spans="1:29">
      <c r="A558" s="318"/>
      <c r="B558" s="319"/>
      <c r="C558" s="318"/>
      <c r="D558" s="318"/>
      <c r="E558" s="319"/>
      <c r="F558" s="336" t="s">
        <v>1863</v>
      </c>
      <c r="G558" s="318" t="s">
        <v>1917</v>
      </c>
      <c r="H558" s="328">
        <v>3.2770000000000001</v>
      </c>
      <c r="I558" s="318">
        <v>1</v>
      </c>
      <c r="J558" s="318">
        <f t="shared" si="222"/>
        <v>1</v>
      </c>
      <c r="K558" s="328">
        <f t="shared" si="223"/>
        <v>3.2770000000000001</v>
      </c>
      <c r="L558" s="350" t="s">
        <v>2590</v>
      </c>
      <c r="M558" s="350" t="s">
        <v>2591</v>
      </c>
      <c r="N558" s="318">
        <v>1</v>
      </c>
      <c r="O558" s="621">
        <f t="shared" si="224"/>
        <v>3.2770000000000001</v>
      </c>
      <c r="P558" s="755">
        <v>1</v>
      </c>
      <c r="Q558" s="755">
        <f t="shared" si="225"/>
        <v>0</v>
      </c>
      <c r="R558" s="341">
        <v>1</v>
      </c>
      <c r="S558" s="318">
        <f t="shared" si="231"/>
        <v>3.2770000000000001</v>
      </c>
      <c r="T558" s="319" t="s">
        <v>3449</v>
      </c>
      <c r="V558" s="328">
        <f>3.256+0.499</f>
        <v>3.7549999999999999</v>
      </c>
      <c r="W558" s="320">
        <v>1</v>
      </c>
      <c r="X558" s="328">
        <f t="shared" si="227"/>
        <v>3.7549999999999999</v>
      </c>
      <c r="Y558" s="464">
        <v>1</v>
      </c>
      <c r="Z558" s="328">
        <f t="shared" si="228"/>
        <v>3.7549999999999999</v>
      </c>
      <c r="AB558" s="458">
        <f t="shared" si="229"/>
        <v>0.47799999999999976</v>
      </c>
      <c r="AC558" s="348">
        <f t="shared" si="230"/>
        <v>0.47799999999999976</v>
      </c>
    </row>
    <row r="559" spans="1:29">
      <c r="A559" s="318"/>
      <c r="B559" s="319"/>
      <c r="C559" s="318"/>
      <c r="D559" s="318"/>
      <c r="E559" s="319"/>
      <c r="F559" s="319"/>
      <c r="G559" s="318" t="s">
        <v>1918</v>
      </c>
      <c r="H559" s="328">
        <v>3.92</v>
      </c>
      <c r="I559" s="318">
        <v>1</v>
      </c>
      <c r="J559" s="318">
        <f t="shared" si="222"/>
        <v>1</v>
      </c>
      <c r="K559" s="328">
        <f t="shared" si="223"/>
        <v>3.92</v>
      </c>
      <c r="L559" s="318" t="s">
        <v>238</v>
      </c>
      <c r="M559" s="318" t="s">
        <v>239</v>
      </c>
      <c r="N559" s="318">
        <v>1</v>
      </c>
      <c r="O559" s="621">
        <f t="shared" si="224"/>
        <v>3.92</v>
      </c>
      <c r="P559" s="755">
        <v>1</v>
      </c>
      <c r="Q559" s="755">
        <f t="shared" si="225"/>
        <v>0</v>
      </c>
      <c r="R559" s="341">
        <v>1</v>
      </c>
      <c r="S559" s="318">
        <f t="shared" si="231"/>
        <v>3.92</v>
      </c>
      <c r="T559" s="319"/>
      <c r="V559" s="328">
        <v>3.91</v>
      </c>
      <c r="W559" s="320">
        <v>1</v>
      </c>
      <c r="X559" s="328">
        <f t="shared" si="227"/>
        <v>3.91</v>
      </c>
      <c r="Y559" s="464">
        <v>1</v>
      </c>
      <c r="Z559" s="328">
        <f t="shared" si="228"/>
        <v>3.91</v>
      </c>
      <c r="AB559" s="458">
        <f t="shared" si="229"/>
        <v>-9.9999999999997868E-3</v>
      </c>
      <c r="AC559" s="348">
        <f t="shared" si="230"/>
        <v>-9.9999999999997868E-3</v>
      </c>
    </row>
    <row r="560" spans="1:29">
      <c r="A560" s="318"/>
      <c r="B560" s="319"/>
      <c r="C560" s="318"/>
      <c r="D560" s="318"/>
      <c r="E560" s="319"/>
      <c r="F560" s="319"/>
      <c r="G560" s="318" t="s">
        <v>1919</v>
      </c>
      <c r="H560" s="328">
        <v>3.92</v>
      </c>
      <c r="I560" s="318">
        <v>1</v>
      </c>
      <c r="J560" s="318">
        <f t="shared" si="222"/>
        <v>1</v>
      </c>
      <c r="K560" s="328">
        <f t="shared" si="223"/>
        <v>3.92</v>
      </c>
      <c r="L560" s="318">
        <v>1315</v>
      </c>
      <c r="M560" s="318" t="s">
        <v>240</v>
      </c>
      <c r="N560" s="318">
        <v>1</v>
      </c>
      <c r="O560" s="621">
        <f t="shared" si="224"/>
        <v>3.92</v>
      </c>
      <c r="P560" s="755">
        <v>1</v>
      </c>
      <c r="Q560" s="755">
        <f t="shared" si="225"/>
        <v>0</v>
      </c>
      <c r="R560" s="341">
        <v>1</v>
      </c>
      <c r="S560" s="318">
        <f t="shared" si="231"/>
        <v>3.92</v>
      </c>
      <c r="T560" s="319"/>
      <c r="V560" s="328">
        <v>3.91</v>
      </c>
      <c r="W560" s="320">
        <v>1</v>
      </c>
      <c r="X560" s="328">
        <f t="shared" si="227"/>
        <v>3.91</v>
      </c>
      <c r="Y560" s="464">
        <v>1</v>
      </c>
      <c r="Z560" s="328">
        <f t="shared" si="228"/>
        <v>3.91</v>
      </c>
      <c r="AB560" s="458">
        <f t="shared" si="229"/>
        <v>-9.9999999999997868E-3</v>
      </c>
      <c r="AC560" s="348">
        <f t="shared" si="230"/>
        <v>-9.9999999999997868E-3</v>
      </c>
    </row>
    <row r="561" spans="1:29">
      <c r="A561" s="318"/>
      <c r="B561" s="319"/>
      <c r="C561" s="318"/>
      <c r="D561" s="318"/>
      <c r="E561" s="319"/>
      <c r="F561" s="319"/>
      <c r="G561" s="318" t="s">
        <v>1920</v>
      </c>
      <c r="H561" s="328">
        <v>3.92</v>
      </c>
      <c r="I561" s="318">
        <v>1</v>
      </c>
      <c r="J561" s="318">
        <f t="shared" si="222"/>
        <v>1</v>
      </c>
      <c r="K561" s="328">
        <f t="shared" si="223"/>
        <v>3.92</v>
      </c>
      <c r="L561" s="318">
        <v>1315</v>
      </c>
      <c r="M561" s="318" t="s">
        <v>240</v>
      </c>
      <c r="N561" s="318">
        <v>1</v>
      </c>
      <c r="O561" s="621">
        <f t="shared" si="224"/>
        <v>3.92</v>
      </c>
      <c r="P561" s="755">
        <v>1</v>
      </c>
      <c r="Q561" s="755">
        <f t="shared" si="225"/>
        <v>0</v>
      </c>
      <c r="R561" s="341">
        <v>1</v>
      </c>
      <c r="S561" s="318">
        <f t="shared" si="231"/>
        <v>3.92</v>
      </c>
      <c r="T561" s="319"/>
      <c r="V561" s="328">
        <v>3.91</v>
      </c>
      <c r="W561" s="320">
        <v>1</v>
      </c>
      <c r="X561" s="328">
        <f t="shared" si="227"/>
        <v>3.91</v>
      </c>
      <c r="Y561" s="464">
        <v>1</v>
      </c>
      <c r="Z561" s="328">
        <f t="shared" si="228"/>
        <v>3.91</v>
      </c>
      <c r="AB561" s="458">
        <f t="shared" si="229"/>
        <v>-9.9999999999997868E-3</v>
      </c>
      <c r="AC561" s="348">
        <f t="shared" si="230"/>
        <v>-9.9999999999997868E-3</v>
      </c>
    </row>
    <row r="562" spans="1:29">
      <c r="A562" s="318"/>
      <c r="B562" s="319"/>
      <c r="C562" s="318"/>
      <c r="D562" s="318"/>
      <c r="E562" s="319"/>
      <c r="F562" s="319"/>
      <c r="G562" s="318" t="s">
        <v>1921</v>
      </c>
      <c r="H562" s="328">
        <v>3.92</v>
      </c>
      <c r="I562" s="318">
        <v>1</v>
      </c>
      <c r="J562" s="318">
        <f t="shared" si="222"/>
        <v>1</v>
      </c>
      <c r="K562" s="328">
        <f t="shared" si="223"/>
        <v>3.92</v>
      </c>
      <c r="L562" s="318">
        <v>1315</v>
      </c>
      <c r="M562" s="318" t="s">
        <v>240</v>
      </c>
      <c r="N562" s="318">
        <v>1</v>
      </c>
      <c r="O562" s="621">
        <f t="shared" si="224"/>
        <v>3.92</v>
      </c>
      <c r="P562" s="755">
        <v>1</v>
      </c>
      <c r="Q562" s="755">
        <f t="shared" si="225"/>
        <v>0</v>
      </c>
      <c r="R562" s="341">
        <v>1</v>
      </c>
      <c r="S562" s="318">
        <f t="shared" si="231"/>
        <v>3.92</v>
      </c>
      <c r="T562" s="319"/>
      <c r="V562" s="328">
        <v>3.91</v>
      </c>
      <c r="W562" s="320">
        <v>1</v>
      </c>
      <c r="X562" s="328">
        <f t="shared" si="227"/>
        <v>3.91</v>
      </c>
      <c r="Y562" s="464">
        <v>1</v>
      </c>
      <c r="Z562" s="328">
        <f t="shared" si="228"/>
        <v>3.91</v>
      </c>
      <c r="AB562" s="458">
        <f t="shared" si="229"/>
        <v>-9.9999999999997868E-3</v>
      </c>
      <c r="AC562" s="348">
        <f t="shared" si="230"/>
        <v>-9.9999999999997868E-3</v>
      </c>
    </row>
    <row r="563" spans="1:29">
      <c r="A563" s="318"/>
      <c r="B563" s="319"/>
      <c r="C563" s="318"/>
      <c r="D563" s="318"/>
      <c r="E563" s="319"/>
      <c r="F563" s="336" t="s">
        <v>1863</v>
      </c>
      <c r="G563" s="318" t="s">
        <v>1922</v>
      </c>
      <c r="H563" s="328">
        <v>3.77</v>
      </c>
      <c r="I563" s="318">
        <v>1</v>
      </c>
      <c r="J563" s="318">
        <f t="shared" si="222"/>
        <v>1</v>
      </c>
      <c r="K563" s="328">
        <f t="shared" si="223"/>
        <v>3.77</v>
      </c>
      <c r="L563" s="318">
        <v>1650</v>
      </c>
      <c r="M563" s="318">
        <v>149</v>
      </c>
      <c r="N563" s="318">
        <v>1</v>
      </c>
      <c r="O563" s="621">
        <f t="shared" si="224"/>
        <v>3.77</v>
      </c>
      <c r="P563" s="755">
        <v>1</v>
      </c>
      <c r="Q563" s="755">
        <f t="shared" si="225"/>
        <v>0</v>
      </c>
      <c r="R563" s="341">
        <v>1</v>
      </c>
      <c r="S563" s="318">
        <f t="shared" si="231"/>
        <v>3.77</v>
      </c>
      <c r="T563" s="319" t="s">
        <v>3449</v>
      </c>
      <c r="V563" s="328">
        <f>3.256+0.499</f>
        <v>3.7549999999999999</v>
      </c>
      <c r="W563" s="320">
        <v>1</v>
      </c>
      <c r="X563" s="328">
        <f t="shared" si="227"/>
        <v>3.7549999999999999</v>
      </c>
      <c r="Y563" s="464">
        <v>1</v>
      </c>
      <c r="Z563" s="328">
        <f t="shared" si="228"/>
        <v>3.7549999999999999</v>
      </c>
      <c r="AB563" s="458">
        <f t="shared" si="229"/>
        <v>-1.5000000000000124E-2</v>
      </c>
      <c r="AC563" s="348">
        <f t="shared" si="230"/>
        <v>-1.5000000000000124E-2</v>
      </c>
    </row>
    <row r="564" spans="1:29">
      <c r="A564" s="318"/>
      <c r="B564" s="319"/>
      <c r="C564" s="318"/>
      <c r="D564" s="318"/>
      <c r="E564" s="319"/>
      <c r="F564" s="336" t="s">
        <v>1863</v>
      </c>
      <c r="G564" s="318" t="s">
        <v>1923</v>
      </c>
      <c r="H564" s="328">
        <v>3.27</v>
      </c>
      <c r="I564" s="318">
        <v>1</v>
      </c>
      <c r="J564" s="318">
        <f t="shared" si="222"/>
        <v>1</v>
      </c>
      <c r="K564" s="328">
        <f t="shared" si="223"/>
        <v>3.27</v>
      </c>
      <c r="L564" s="318">
        <v>1650</v>
      </c>
      <c r="M564" s="318">
        <v>149</v>
      </c>
      <c r="N564" s="318">
        <v>1</v>
      </c>
      <c r="O564" s="621">
        <f t="shared" si="224"/>
        <v>3.27</v>
      </c>
      <c r="P564" s="755">
        <v>1</v>
      </c>
      <c r="Q564" s="755">
        <f t="shared" si="225"/>
        <v>0</v>
      </c>
      <c r="R564" s="341">
        <v>1</v>
      </c>
      <c r="S564" s="318">
        <f t="shared" si="231"/>
        <v>3.27</v>
      </c>
      <c r="T564" s="319" t="s">
        <v>3449</v>
      </c>
      <c r="V564" s="328">
        <v>3.2559999999999998</v>
      </c>
      <c r="W564" s="320">
        <v>1</v>
      </c>
      <c r="X564" s="328">
        <f t="shared" si="227"/>
        <v>3.2559999999999998</v>
      </c>
      <c r="Y564" s="464">
        <v>1</v>
      </c>
      <c r="Z564" s="328">
        <f t="shared" si="228"/>
        <v>3.2559999999999998</v>
      </c>
      <c r="AB564" s="458">
        <f t="shared" si="229"/>
        <v>-1.4000000000000234E-2</v>
      </c>
      <c r="AC564" s="348">
        <f t="shared" si="230"/>
        <v>-1.4000000000000234E-2</v>
      </c>
    </row>
    <row r="565" spans="1:29">
      <c r="A565" s="318"/>
      <c r="B565" s="319"/>
      <c r="C565" s="318"/>
      <c r="D565" s="318"/>
      <c r="E565" s="319"/>
      <c r="F565" s="336"/>
      <c r="G565" s="318" t="s">
        <v>1924</v>
      </c>
      <c r="H565" s="328">
        <v>3.45</v>
      </c>
      <c r="I565" s="318">
        <v>1</v>
      </c>
      <c r="J565" s="318">
        <f t="shared" si="222"/>
        <v>1</v>
      </c>
      <c r="K565" s="328">
        <f t="shared" si="223"/>
        <v>3.45</v>
      </c>
      <c r="L565" s="318" t="s">
        <v>344</v>
      </c>
      <c r="M565" s="318" t="s">
        <v>365</v>
      </c>
      <c r="N565" s="318">
        <v>1</v>
      </c>
      <c r="O565" s="621">
        <f t="shared" si="224"/>
        <v>3.45</v>
      </c>
      <c r="P565" s="755">
        <v>1</v>
      </c>
      <c r="Q565" s="755">
        <f t="shared" si="225"/>
        <v>0</v>
      </c>
      <c r="R565" s="341">
        <v>1</v>
      </c>
      <c r="S565" s="318">
        <f t="shared" si="231"/>
        <v>3.45</v>
      </c>
      <c r="T565" s="319"/>
      <c r="V565" s="328">
        <f>3.44</f>
        <v>3.44</v>
      </c>
      <c r="W565" s="320">
        <v>1</v>
      </c>
      <c r="X565" s="328">
        <f t="shared" si="227"/>
        <v>3.44</v>
      </c>
      <c r="Y565" s="464">
        <v>1</v>
      </c>
      <c r="Z565" s="328">
        <f t="shared" si="228"/>
        <v>3.44</v>
      </c>
      <c r="AB565" s="458">
        <f t="shared" si="229"/>
        <v>-1.0000000000000231E-2</v>
      </c>
      <c r="AC565" s="348">
        <f t="shared" si="230"/>
        <v>-1.0000000000000231E-2</v>
      </c>
    </row>
    <row r="566" spans="1:29">
      <c r="A566" s="318"/>
      <c r="B566" s="319"/>
      <c r="C566" s="318"/>
      <c r="D566" s="318"/>
      <c r="E566" s="319"/>
      <c r="F566" s="336" t="s">
        <v>1863</v>
      </c>
      <c r="G566" s="318" t="s">
        <v>1925</v>
      </c>
      <c r="H566" s="328">
        <v>4.72</v>
      </c>
      <c r="I566" s="318">
        <v>1</v>
      </c>
      <c r="J566" s="318">
        <f t="shared" si="222"/>
        <v>1</v>
      </c>
      <c r="K566" s="328">
        <f t="shared" si="223"/>
        <v>4.72</v>
      </c>
      <c r="L566" s="350" t="s">
        <v>3189</v>
      </c>
      <c r="M566" s="318">
        <v>249</v>
      </c>
      <c r="N566" s="318">
        <v>1</v>
      </c>
      <c r="O566" s="621">
        <f t="shared" si="224"/>
        <v>4.72</v>
      </c>
      <c r="P566" s="755">
        <v>1</v>
      </c>
      <c r="Q566" s="755">
        <f t="shared" si="225"/>
        <v>0</v>
      </c>
      <c r="R566" s="341">
        <v>1</v>
      </c>
      <c r="S566" s="318">
        <f t="shared" si="231"/>
        <v>4.72</v>
      </c>
      <c r="T566" s="319" t="s">
        <v>3450</v>
      </c>
      <c r="V566" s="328">
        <f t="shared" ref="V566:V579" si="233">4.49</f>
        <v>4.49</v>
      </c>
      <c r="W566" s="320"/>
      <c r="X566" s="328">
        <f t="shared" si="227"/>
        <v>0</v>
      </c>
      <c r="Y566" s="464"/>
      <c r="Z566" s="328">
        <f t="shared" si="228"/>
        <v>0</v>
      </c>
      <c r="AB566" s="458">
        <f t="shared" si="229"/>
        <v>-4.72</v>
      </c>
      <c r="AC566" s="348">
        <f t="shared" si="230"/>
        <v>-4.72</v>
      </c>
    </row>
    <row r="567" spans="1:29" collapsed="1">
      <c r="A567" s="584"/>
      <c r="B567" s="585"/>
      <c r="C567" s="584"/>
      <c r="D567" s="584"/>
      <c r="E567" s="585"/>
      <c r="F567" s="585"/>
      <c r="G567" s="584" t="s">
        <v>430</v>
      </c>
      <c r="H567" s="587"/>
      <c r="I567" s="584"/>
      <c r="J567" s="584"/>
      <c r="K567" s="584"/>
      <c r="L567" s="584"/>
      <c r="M567" s="584"/>
      <c r="N567" s="584"/>
      <c r="O567" s="634" t="s">
        <v>2321</v>
      </c>
      <c r="P567" s="766"/>
      <c r="Q567" s="766"/>
      <c r="R567" s="590"/>
      <c r="S567" s="588" t="s">
        <v>2321</v>
      </c>
      <c r="T567" s="1024" t="s">
        <v>1456</v>
      </c>
      <c r="V567" s="328"/>
      <c r="W567" s="318"/>
      <c r="X567" s="387" t="s">
        <v>2321</v>
      </c>
      <c r="Y567" s="341"/>
      <c r="Z567" s="387" t="s">
        <v>2321</v>
      </c>
      <c r="AB567" s="348"/>
      <c r="AC567" s="384"/>
    </row>
    <row r="568" spans="1:29">
      <c r="A568" s="584"/>
      <c r="B568" s="585"/>
      <c r="C568" s="584"/>
      <c r="D568" s="584"/>
      <c r="E568" s="585"/>
      <c r="F568" s="585"/>
      <c r="G568" s="584" t="s">
        <v>431</v>
      </c>
      <c r="H568" s="587"/>
      <c r="I568" s="584"/>
      <c r="J568" s="584"/>
      <c r="K568" s="584"/>
      <c r="L568" s="584"/>
      <c r="M568" s="584"/>
      <c r="N568" s="584"/>
      <c r="O568" s="634" t="s">
        <v>2321</v>
      </c>
      <c r="P568" s="766"/>
      <c r="Q568" s="766"/>
      <c r="R568" s="590"/>
      <c r="S568" s="588" t="s">
        <v>2321</v>
      </c>
      <c r="T568" s="1025"/>
      <c r="V568" s="328"/>
      <c r="W568" s="318"/>
      <c r="X568" s="387" t="s">
        <v>2321</v>
      </c>
      <c r="Y568" s="341"/>
      <c r="Z568" s="387" t="s">
        <v>2321</v>
      </c>
      <c r="AB568" s="348"/>
      <c r="AC568" s="384"/>
    </row>
    <row r="569" spans="1:29">
      <c r="A569" s="584"/>
      <c r="B569" s="585"/>
      <c r="C569" s="584"/>
      <c r="D569" s="584"/>
      <c r="E569" s="585"/>
      <c r="F569" s="589"/>
      <c r="G569" s="584" t="s">
        <v>432</v>
      </c>
      <c r="H569" s="587"/>
      <c r="I569" s="584"/>
      <c r="J569" s="584"/>
      <c r="K569" s="584"/>
      <c r="L569" s="584"/>
      <c r="M569" s="584"/>
      <c r="N569" s="584"/>
      <c r="O569" s="634" t="s">
        <v>2321</v>
      </c>
      <c r="P569" s="766"/>
      <c r="Q569" s="766"/>
      <c r="R569" s="590"/>
      <c r="S569" s="588" t="s">
        <v>2321</v>
      </c>
      <c r="T569" s="1025"/>
      <c r="V569" s="328"/>
      <c r="W569" s="318"/>
      <c r="X569" s="387" t="s">
        <v>2321</v>
      </c>
      <c r="Y569" s="341"/>
      <c r="Z569" s="387" t="s">
        <v>2321</v>
      </c>
      <c r="AB569" s="348"/>
      <c r="AC569" s="384"/>
    </row>
    <row r="570" spans="1:29" ht="14.4" customHeight="1">
      <c r="A570" s="584"/>
      <c r="B570" s="585"/>
      <c r="C570" s="584"/>
      <c r="D570" s="584"/>
      <c r="E570" s="585"/>
      <c r="F570" s="589"/>
      <c r="G570" s="584" t="s">
        <v>433</v>
      </c>
      <c r="H570" s="587"/>
      <c r="I570" s="584"/>
      <c r="J570" s="584"/>
      <c r="K570" s="584"/>
      <c r="L570" s="584"/>
      <c r="M570" s="584"/>
      <c r="N570" s="584"/>
      <c r="O570" s="634" t="s">
        <v>2321</v>
      </c>
      <c r="P570" s="766"/>
      <c r="Q570" s="766"/>
      <c r="R570" s="590"/>
      <c r="S570" s="588" t="s">
        <v>2321</v>
      </c>
      <c r="T570" s="1026"/>
      <c r="V570" s="328"/>
      <c r="W570" s="318"/>
      <c r="X570" s="387" t="s">
        <v>2321</v>
      </c>
      <c r="Y570" s="341"/>
      <c r="Z570" s="387" t="s">
        <v>2321</v>
      </c>
      <c r="AB570" s="348"/>
      <c r="AC570" s="384"/>
    </row>
    <row r="571" spans="1:29">
      <c r="A571" s="318"/>
      <c r="B571" s="319"/>
      <c r="C571" s="318"/>
      <c r="D571" s="318"/>
      <c r="E571" s="319"/>
      <c r="F571" s="336" t="s">
        <v>1863</v>
      </c>
      <c r="G571" s="318" t="s">
        <v>1926</v>
      </c>
      <c r="H571" s="328">
        <v>4.72</v>
      </c>
      <c r="I571" s="318">
        <v>1</v>
      </c>
      <c r="J571" s="318">
        <f t="shared" ref="J571:J580" si="234">IF(N571&gt;0,1,0)</f>
        <v>1</v>
      </c>
      <c r="K571" s="328">
        <f t="shared" ref="K571:K580" si="235">H571*J571</f>
        <v>4.72</v>
      </c>
      <c r="L571" s="350" t="s">
        <v>3264</v>
      </c>
      <c r="M571" s="350" t="s">
        <v>3247</v>
      </c>
      <c r="N571" s="318">
        <v>1</v>
      </c>
      <c r="O571" s="621">
        <f t="shared" ref="O571:O580" si="236">H571*N571</f>
        <v>4.72</v>
      </c>
      <c r="P571" s="755">
        <v>1</v>
      </c>
      <c r="Q571" s="755">
        <f t="shared" ref="Q571:Q580" si="237">R571-P571</f>
        <v>0</v>
      </c>
      <c r="R571" s="341">
        <v>1</v>
      </c>
      <c r="S571" s="318">
        <f t="shared" ref="S571" si="238">H571*R571</f>
        <v>4.72</v>
      </c>
      <c r="T571" s="319" t="s">
        <v>3450</v>
      </c>
      <c r="V571" s="328">
        <f t="shared" si="233"/>
        <v>4.49</v>
      </c>
      <c r="W571" s="320"/>
      <c r="X571" s="328">
        <f t="shared" ref="X571:X580" si="239">V571*W571</f>
        <v>0</v>
      </c>
      <c r="Y571" s="464"/>
      <c r="Z571" s="328">
        <f t="shared" ref="Z571:Z580" si="240">V571*Y571</f>
        <v>0</v>
      </c>
      <c r="AB571" s="458">
        <f t="shared" ref="AB571:AB580" si="241">X571-O571</f>
        <v>-4.72</v>
      </c>
      <c r="AC571" s="348">
        <f t="shared" ref="AC571:AC580" si="242">Z571-S571</f>
        <v>-4.72</v>
      </c>
    </row>
    <row r="572" spans="1:29">
      <c r="A572" s="318"/>
      <c r="B572" s="319"/>
      <c r="C572" s="318"/>
      <c r="D572" s="318"/>
      <c r="E572" s="319"/>
      <c r="F572" s="336"/>
      <c r="G572" s="318" t="s">
        <v>1927</v>
      </c>
      <c r="H572" s="328">
        <v>4.49</v>
      </c>
      <c r="I572" s="318">
        <v>1</v>
      </c>
      <c r="J572" s="318">
        <f t="shared" si="234"/>
        <v>1</v>
      </c>
      <c r="K572" s="328">
        <f t="shared" si="235"/>
        <v>4.49</v>
      </c>
      <c r="L572" s="318" t="s">
        <v>234</v>
      </c>
      <c r="M572" s="318" t="s">
        <v>233</v>
      </c>
      <c r="N572" s="318">
        <v>1</v>
      </c>
      <c r="O572" s="621">
        <f t="shared" si="236"/>
        <v>4.49</v>
      </c>
      <c r="P572" s="755">
        <v>1</v>
      </c>
      <c r="Q572" s="755">
        <f t="shared" si="237"/>
        <v>0</v>
      </c>
      <c r="R572" s="341">
        <v>1</v>
      </c>
      <c r="S572" s="318">
        <f t="shared" ref="S572:S580" si="243">H572*R572</f>
        <v>4.49</v>
      </c>
      <c r="T572" s="319"/>
      <c r="V572" s="328">
        <f t="shared" si="233"/>
        <v>4.49</v>
      </c>
      <c r="W572" s="320">
        <v>1</v>
      </c>
      <c r="X572" s="328">
        <f t="shared" si="239"/>
        <v>4.49</v>
      </c>
      <c r="Y572" s="464"/>
      <c r="Z572" s="328">
        <f t="shared" si="240"/>
        <v>0</v>
      </c>
      <c r="AB572" s="458">
        <f t="shared" si="241"/>
        <v>0</v>
      </c>
      <c r="AC572" s="348">
        <f t="shared" si="242"/>
        <v>-4.49</v>
      </c>
    </row>
    <row r="573" spans="1:29">
      <c r="A573" s="318"/>
      <c r="B573" s="319"/>
      <c r="C573" s="318"/>
      <c r="D573" s="318"/>
      <c r="E573" s="319"/>
      <c r="F573" s="319"/>
      <c r="G573" s="318" t="s">
        <v>1928</v>
      </c>
      <c r="H573" s="328">
        <v>4.49</v>
      </c>
      <c r="I573" s="318">
        <v>1</v>
      </c>
      <c r="J573" s="318">
        <f t="shared" si="234"/>
        <v>1</v>
      </c>
      <c r="K573" s="328">
        <f t="shared" si="235"/>
        <v>4.49</v>
      </c>
      <c r="L573" s="318" t="s">
        <v>234</v>
      </c>
      <c r="M573" s="318" t="s">
        <v>233</v>
      </c>
      <c r="N573" s="318">
        <v>1</v>
      </c>
      <c r="O573" s="621">
        <f t="shared" si="236"/>
        <v>4.49</v>
      </c>
      <c r="P573" s="755">
        <v>1</v>
      </c>
      <c r="Q573" s="755">
        <f t="shared" si="237"/>
        <v>0</v>
      </c>
      <c r="R573" s="341">
        <v>1</v>
      </c>
      <c r="S573" s="318">
        <f t="shared" si="243"/>
        <v>4.49</v>
      </c>
      <c r="T573" s="319"/>
      <c r="V573" s="328">
        <f t="shared" si="233"/>
        <v>4.49</v>
      </c>
      <c r="W573" s="320">
        <v>1</v>
      </c>
      <c r="X573" s="328">
        <f t="shared" si="239"/>
        <v>4.49</v>
      </c>
      <c r="Y573" s="464"/>
      <c r="Z573" s="328">
        <f t="shared" si="240"/>
        <v>0</v>
      </c>
      <c r="AB573" s="458">
        <f t="shared" si="241"/>
        <v>0</v>
      </c>
      <c r="AC573" s="348">
        <f t="shared" si="242"/>
        <v>-4.49</v>
      </c>
    </row>
    <row r="574" spans="1:29">
      <c r="A574" s="318"/>
      <c r="B574" s="319"/>
      <c r="C574" s="318"/>
      <c r="D574" s="318"/>
      <c r="E574" s="319"/>
      <c r="F574" s="336"/>
      <c r="G574" s="318" t="s">
        <v>1929</v>
      </c>
      <c r="H574" s="328">
        <v>4.49</v>
      </c>
      <c r="I574" s="318">
        <v>1</v>
      </c>
      <c r="J574" s="318">
        <f t="shared" si="234"/>
        <v>1</v>
      </c>
      <c r="K574" s="328">
        <f t="shared" si="235"/>
        <v>4.49</v>
      </c>
      <c r="L574" s="350" t="s">
        <v>2798</v>
      </c>
      <c r="M574" s="318">
        <v>187</v>
      </c>
      <c r="N574" s="318">
        <v>1</v>
      </c>
      <c r="O574" s="621">
        <f t="shared" si="236"/>
        <v>4.49</v>
      </c>
      <c r="P574" s="755">
        <v>1</v>
      </c>
      <c r="Q574" s="755">
        <f t="shared" si="237"/>
        <v>0</v>
      </c>
      <c r="R574" s="341">
        <v>1</v>
      </c>
      <c r="S574" s="318">
        <f t="shared" si="243"/>
        <v>4.49</v>
      </c>
      <c r="T574" s="474"/>
      <c r="V574" s="328">
        <f t="shared" si="233"/>
        <v>4.49</v>
      </c>
      <c r="W574" s="458"/>
      <c r="X574" s="457">
        <f t="shared" si="239"/>
        <v>0</v>
      </c>
      <c r="Y574" s="320"/>
      <c r="Z574" s="457">
        <f t="shared" si="240"/>
        <v>0</v>
      </c>
      <c r="AB574" s="458">
        <f t="shared" si="241"/>
        <v>-4.49</v>
      </c>
      <c r="AC574" s="455">
        <f t="shared" si="242"/>
        <v>-4.49</v>
      </c>
    </row>
    <row r="575" spans="1:29">
      <c r="A575" s="318"/>
      <c r="B575" s="319"/>
      <c r="C575" s="318"/>
      <c r="D575" s="318"/>
      <c r="E575" s="319"/>
      <c r="F575" s="336" t="s">
        <v>1225</v>
      </c>
      <c r="G575" s="318" t="s">
        <v>1930</v>
      </c>
      <c r="H575" s="328">
        <v>4.67</v>
      </c>
      <c r="I575" s="318">
        <v>1</v>
      </c>
      <c r="J575" s="318">
        <f t="shared" si="234"/>
        <v>1</v>
      </c>
      <c r="K575" s="328">
        <f t="shared" si="235"/>
        <v>4.67</v>
      </c>
      <c r="L575" s="318">
        <v>2026</v>
      </c>
      <c r="M575" s="318">
        <v>187</v>
      </c>
      <c r="N575" s="318">
        <v>1</v>
      </c>
      <c r="O575" s="621">
        <f t="shared" si="236"/>
        <v>4.67</v>
      </c>
      <c r="P575" s="755">
        <v>1</v>
      </c>
      <c r="Q575" s="755">
        <f t="shared" si="237"/>
        <v>0</v>
      </c>
      <c r="R575" s="341">
        <v>1</v>
      </c>
      <c r="S575" s="318">
        <f t="shared" si="243"/>
        <v>4.67</v>
      </c>
      <c r="T575" s="319"/>
      <c r="V575" s="328">
        <f>1.8+2.83</f>
        <v>4.63</v>
      </c>
      <c r="W575" s="458"/>
      <c r="X575" s="328">
        <f t="shared" si="239"/>
        <v>0</v>
      </c>
      <c r="Y575" s="320"/>
      <c r="Z575" s="328">
        <f t="shared" si="240"/>
        <v>0</v>
      </c>
      <c r="AB575" s="458">
        <f t="shared" si="241"/>
        <v>-4.67</v>
      </c>
      <c r="AC575" s="348">
        <f t="shared" si="242"/>
        <v>-4.67</v>
      </c>
    </row>
    <row r="576" spans="1:29">
      <c r="A576" s="318"/>
      <c r="B576" s="319"/>
      <c r="C576" s="318"/>
      <c r="D576" s="318"/>
      <c r="E576" s="319"/>
      <c r="F576" s="319"/>
      <c r="G576" s="318" t="s">
        <v>1931</v>
      </c>
      <c r="H576" s="328">
        <v>4.49</v>
      </c>
      <c r="I576" s="318">
        <v>1</v>
      </c>
      <c r="J576" s="318">
        <f t="shared" si="234"/>
        <v>1</v>
      </c>
      <c r="K576" s="328">
        <f t="shared" si="235"/>
        <v>4.49</v>
      </c>
      <c r="L576" s="318"/>
      <c r="M576" s="318"/>
      <c r="N576" s="318">
        <v>1</v>
      </c>
      <c r="O576" s="621">
        <f t="shared" si="236"/>
        <v>4.49</v>
      </c>
      <c r="P576" s="755">
        <v>1</v>
      </c>
      <c r="Q576" s="755">
        <f t="shared" si="237"/>
        <v>0</v>
      </c>
      <c r="R576" s="341">
        <v>1</v>
      </c>
      <c r="S576" s="318">
        <f t="shared" si="243"/>
        <v>4.49</v>
      </c>
      <c r="T576" s="319"/>
      <c r="V576" s="328">
        <f t="shared" si="233"/>
        <v>4.49</v>
      </c>
      <c r="W576" s="320">
        <v>1</v>
      </c>
      <c r="X576" s="328">
        <f t="shared" si="239"/>
        <v>4.49</v>
      </c>
      <c r="Y576" s="320"/>
      <c r="Z576" s="328">
        <f t="shared" si="240"/>
        <v>0</v>
      </c>
      <c r="AB576" s="458">
        <f t="shared" si="241"/>
        <v>0</v>
      </c>
      <c r="AC576" s="348">
        <f t="shared" si="242"/>
        <v>-4.49</v>
      </c>
    </row>
    <row r="577" spans="1:29">
      <c r="A577" s="318"/>
      <c r="B577" s="319"/>
      <c r="C577" s="318"/>
      <c r="D577" s="318"/>
      <c r="E577" s="319"/>
      <c r="F577" s="319"/>
      <c r="G577" s="318" t="s">
        <v>1932</v>
      </c>
      <c r="H577" s="328">
        <v>4.49</v>
      </c>
      <c r="I577" s="318">
        <v>1</v>
      </c>
      <c r="J577" s="318">
        <f t="shared" si="234"/>
        <v>1</v>
      </c>
      <c r="K577" s="328">
        <f t="shared" si="235"/>
        <v>4.49</v>
      </c>
      <c r="L577" s="318"/>
      <c r="M577" s="318"/>
      <c r="N577" s="318">
        <v>1</v>
      </c>
      <c r="O577" s="621">
        <f t="shared" si="236"/>
        <v>4.49</v>
      </c>
      <c r="P577" s="755">
        <v>1</v>
      </c>
      <c r="Q577" s="755">
        <f t="shared" si="237"/>
        <v>0</v>
      </c>
      <c r="R577" s="341">
        <v>1</v>
      </c>
      <c r="S577" s="318">
        <f t="shared" si="243"/>
        <v>4.49</v>
      </c>
      <c r="T577" s="319"/>
      <c r="V577" s="328">
        <f t="shared" si="233"/>
        <v>4.49</v>
      </c>
      <c r="W577" s="320">
        <v>1</v>
      </c>
      <c r="X577" s="328">
        <f t="shared" si="239"/>
        <v>4.49</v>
      </c>
      <c r="Y577" s="320"/>
      <c r="Z577" s="328">
        <f t="shared" si="240"/>
        <v>0</v>
      </c>
      <c r="AB577" s="458">
        <f t="shared" si="241"/>
        <v>0</v>
      </c>
      <c r="AC577" s="348">
        <f t="shared" si="242"/>
        <v>-4.49</v>
      </c>
    </row>
    <row r="578" spans="1:29">
      <c r="A578" s="318"/>
      <c r="B578" s="319"/>
      <c r="C578" s="318"/>
      <c r="D578" s="318"/>
      <c r="E578" s="319"/>
      <c r="F578" s="319"/>
      <c r="G578" s="318" t="s">
        <v>1933</v>
      </c>
      <c r="H578" s="328">
        <v>4.49</v>
      </c>
      <c r="I578" s="318">
        <v>1</v>
      </c>
      <c r="J578" s="318">
        <f t="shared" si="234"/>
        <v>1</v>
      </c>
      <c r="K578" s="328">
        <f t="shared" si="235"/>
        <v>4.49</v>
      </c>
      <c r="L578" s="318">
        <v>1296</v>
      </c>
      <c r="M578" s="318" t="s">
        <v>233</v>
      </c>
      <c r="N578" s="318">
        <v>1</v>
      </c>
      <c r="O578" s="621">
        <f t="shared" si="236"/>
        <v>4.49</v>
      </c>
      <c r="P578" s="755">
        <v>1</v>
      </c>
      <c r="Q578" s="755">
        <f t="shared" si="237"/>
        <v>0</v>
      </c>
      <c r="R578" s="341">
        <v>1</v>
      </c>
      <c r="S578" s="318">
        <f t="shared" si="243"/>
        <v>4.49</v>
      </c>
      <c r="T578" s="319"/>
      <c r="V578" s="328">
        <f t="shared" si="233"/>
        <v>4.49</v>
      </c>
      <c r="W578" s="320">
        <v>1</v>
      </c>
      <c r="X578" s="328">
        <f t="shared" si="239"/>
        <v>4.49</v>
      </c>
      <c r="Y578" s="320"/>
      <c r="Z578" s="328">
        <f t="shared" si="240"/>
        <v>0</v>
      </c>
      <c r="AB578" s="458">
        <f t="shared" si="241"/>
        <v>0</v>
      </c>
      <c r="AC578" s="348">
        <f t="shared" si="242"/>
        <v>-4.49</v>
      </c>
    </row>
    <row r="579" spans="1:29">
      <c r="A579" s="318"/>
      <c r="B579" s="319"/>
      <c r="C579" s="318"/>
      <c r="D579" s="318"/>
      <c r="E579" s="319"/>
      <c r="F579" s="336"/>
      <c r="G579" s="318" t="s">
        <v>1934</v>
      </c>
      <c r="H579" s="328">
        <v>4.49</v>
      </c>
      <c r="I579" s="318">
        <v>1</v>
      </c>
      <c r="J579" s="318">
        <f t="shared" si="234"/>
        <v>1</v>
      </c>
      <c r="K579" s="328">
        <f t="shared" si="235"/>
        <v>4.49</v>
      </c>
      <c r="L579" s="318">
        <v>1304</v>
      </c>
      <c r="M579" s="318" t="s">
        <v>172</v>
      </c>
      <c r="N579" s="318">
        <v>1</v>
      </c>
      <c r="O579" s="621">
        <f t="shared" si="236"/>
        <v>4.49</v>
      </c>
      <c r="P579" s="755">
        <v>1</v>
      </c>
      <c r="Q579" s="755">
        <f t="shared" si="237"/>
        <v>0</v>
      </c>
      <c r="R579" s="341">
        <v>1</v>
      </c>
      <c r="S579" s="318">
        <f t="shared" si="243"/>
        <v>4.49</v>
      </c>
      <c r="T579" s="319"/>
      <c r="V579" s="328">
        <f t="shared" si="233"/>
        <v>4.49</v>
      </c>
      <c r="W579" s="320">
        <v>1</v>
      </c>
      <c r="X579" s="328">
        <f t="shared" si="239"/>
        <v>4.49</v>
      </c>
      <c r="Y579" s="320"/>
      <c r="Z579" s="328">
        <f t="shared" si="240"/>
        <v>0</v>
      </c>
      <c r="AB579" s="458">
        <f t="shared" si="241"/>
        <v>0</v>
      </c>
      <c r="AC579" s="348">
        <f t="shared" si="242"/>
        <v>-4.49</v>
      </c>
    </row>
    <row r="580" spans="1:29">
      <c r="A580" s="318"/>
      <c r="B580" s="319"/>
      <c r="C580" s="318"/>
      <c r="D580" s="318"/>
      <c r="E580" s="319"/>
      <c r="F580" s="336" t="s">
        <v>1225</v>
      </c>
      <c r="G580" s="318" t="s">
        <v>1935</v>
      </c>
      <c r="H580" s="328">
        <v>4.67</v>
      </c>
      <c r="I580" s="318">
        <v>1</v>
      </c>
      <c r="J580" s="318">
        <f t="shared" si="234"/>
        <v>1</v>
      </c>
      <c r="K580" s="328">
        <f t="shared" si="235"/>
        <v>4.67</v>
      </c>
      <c r="L580" s="318">
        <v>2031</v>
      </c>
      <c r="M580" s="318">
        <v>187</v>
      </c>
      <c r="N580" s="318">
        <v>1</v>
      </c>
      <c r="O580" s="621">
        <f t="shared" si="236"/>
        <v>4.67</v>
      </c>
      <c r="P580" s="755">
        <v>1</v>
      </c>
      <c r="Q580" s="755">
        <f t="shared" si="237"/>
        <v>0</v>
      </c>
      <c r="R580" s="341">
        <v>1</v>
      </c>
      <c r="S580" s="318">
        <f t="shared" si="243"/>
        <v>4.67</v>
      </c>
      <c r="T580" s="319"/>
      <c r="V580" s="328">
        <f>1.8+3.495</f>
        <v>5.2949999999999999</v>
      </c>
      <c r="W580" s="320"/>
      <c r="X580" s="328">
        <f t="shared" si="239"/>
        <v>0</v>
      </c>
      <c r="Y580" s="320"/>
      <c r="Z580" s="328">
        <f t="shared" si="240"/>
        <v>0</v>
      </c>
      <c r="AB580" s="458">
        <f t="shared" si="241"/>
        <v>-4.67</v>
      </c>
      <c r="AC580" s="348">
        <f t="shared" si="242"/>
        <v>-4.67</v>
      </c>
    </row>
    <row r="581" spans="1:29">
      <c r="A581" s="318"/>
      <c r="B581" s="319"/>
      <c r="C581" s="318"/>
      <c r="D581" s="318"/>
      <c r="E581" s="319"/>
      <c r="F581" s="319"/>
      <c r="G581" s="318"/>
      <c r="H581" s="318"/>
      <c r="I581" s="318"/>
      <c r="J581" s="382" t="s">
        <v>389</v>
      </c>
      <c r="K581" s="338">
        <f>SUM(K547:K580)</f>
        <v>126.78699999999998</v>
      </c>
      <c r="L581" s="318"/>
      <c r="M581" s="318"/>
      <c r="N581" s="382" t="s">
        <v>389</v>
      </c>
      <c r="O581" s="759">
        <f>SUM(O547:O580)</f>
        <v>126.78699999999998</v>
      </c>
      <c r="P581" s="751" t="s">
        <v>389</v>
      </c>
      <c r="Q581" s="751"/>
      <c r="R581" s="382"/>
      <c r="S581" s="338">
        <f>SUM(S547:S580)</f>
        <v>126.78699999999998</v>
      </c>
      <c r="T581" s="319"/>
      <c r="V581" s="318"/>
      <c r="W581" s="321" t="s">
        <v>389</v>
      </c>
      <c r="X581" s="338">
        <f>SUM(X547:X580)</f>
        <v>100.45199999999997</v>
      </c>
      <c r="Y581" s="321" t="s">
        <v>389</v>
      </c>
      <c r="Z581" s="338">
        <f>SUM(Z547:Z580)</f>
        <v>64.532000000000011</v>
      </c>
      <c r="AB581" s="338"/>
      <c r="AC581" s="338"/>
    </row>
    <row r="582" spans="1:29" ht="6.75" customHeight="1">
      <c r="A582" s="316"/>
      <c r="B582" s="317"/>
      <c r="C582" s="316"/>
      <c r="D582" s="316"/>
      <c r="E582" s="317"/>
      <c r="F582" s="317"/>
      <c r="G582" s="316"/>
      <c r="H582" s="316"/>
      <c r="I582" s="316"/>
      <c r="J582" s="316"/>
      <c r="K582" s="316"/>
      <c r="L582" s="316"/>
      <c r="M582" s="316"/>
      <c r="N582" s="316"/>
      <c r="O582" s="749"/>
      <c r="P582" s="752"/>
      <c r="Q582" s="752"/>
      <c r="R582" s="316"/>
      <c r="S582" s="316"/>
      <c r="T582" s="317"/>
      <c r="V582" s="316"/>
      <c r="W582" s="316"/>
      <c r="X582" s="316"/>
      <c r="Y582" s="316"/>
      <c r="Z582" s="316"/>
      <c r="AB582" s="339"/>
      <c r="AC582" s="339"/>
    </row>
    <row r="583" spans="1:29">
      <c r="A583" s="318">
        <v>14</v>
      </c>
      <c r="B583" s="319" t="s">
        <v>383</v>
      </c>
      <c r="C583" s="318">
        <v>600</v>
      </c>
      <c r="D583" s="318">
        <v>21</v>
      </c>
      <c r="E583" s="319">
        <v>1</v>
      </c>
      <c r="F583" s="336" t="s">
        <v>1225</v>
      </c>
      <c r="G583" s="318" t="s">
        <v>1936</v>
      </c>
      <c r="H583" s="328">
        <v>2.58</v>
      </c>
      <c r="I583" s="318">
        <v>1</v>
      </c>
      <c r="J583" s="318">
        <f t="shared" ref="J583:J600" si="244">IF(N583&gt;0,1,0)</f>
        <v>1</v>
      </c>
      <c r="K583" s="328">
        <f t="shared" ref="K583:K601" si="245">H583*J583</f>
        <v>2.58</v>
      </c>
      <c r="L583" s="349">
        <v>17951787</v>
      </c>
      <c r="M583" s="318">
        <v>164</v>
      </c>
      <c r="N583" s="318">
        <v>1</v>
      </c>
      <c r="O583" s="621">
        <f t="shared" ref="O583:O601" si="246">H583*N583</f>
        <v>2.58</v>
      </c>
      <c r="P583" s="755">
        <v>1</v>
      </c>
      <c r="Q583" s="755">
        <f t="shared" ref="Q583:Q601" si="247">R583-P583</f>
        <v>0</v>
      </c>
      <c r="R583" s="341">
        <v>1</v>
      </c>
      <c r="S583" s="318">
        <f t="shared" ref="S583" si="248">H583*R583</f>
        <v>2.58</v>
      </c>
      <c r="T583" s="609" t="s">
        <v>3392</v>
      </c>
      <c r="V583" s="328">
        <f>2.055-0.6+1.15</f>
        <v>2.605</v>
      </c>
      <c r="W583" s="320">
        <v>1</v>
      </c>
      <c r="X583" s="328">
        <f t="shared" ref="X583:X601" si="249">V583*W583</f>
        <v>2.605</v>
      </c>
      <c r="Y583" s="320"/>
      <c r="Z583" s="328">
        <f t="shared" ref="Z583:Z601" si="250">V583*Y583</f>
        <v>0</v>
      </c>
      <c r="AB583" s="458">
        <f t="shared" ref="AB583:AB601" si="251">X583-O583</f>
        <v>2.4999999999999911E-2</v>
      </c>
      <c r="AC583" s="348">
        <f t="shared" ref="AC583:AC601" si="252">Z583-S583</f>
        <v>-2.58</v>
      </c>
    </row>
    <row r="584" spans="1:29">
      <c r="A584" s="318"/>
      <c r="B584" s="319"/>
      <c r="C584" s="318"/>
      <c r="D584" s="318"/>
      <c r="E584" s="319"/>
      <c r="F584" s="336"/>
      <c r="G584" s="318" t="s">
        <v>1937</v>
      </c>
      <c r="H584" s="328">
        <v>4.49</v>
      </c>
      <c r="I584" s="318">
        <v>1</v>
      </c>
      <c r="J584" s="318">
        <f t="shared" si="244"/>
        <v>1</v>
      </c>
      <c r="K584" s="328">
        <f t="shared" si="245"/>
        <v>4.49</v>
      </c>
      <c r="L584" s="318">
        <v>1391</v>
      </c>
      <c r="M584" s="318" t="s">
        <v>251</v>
      </c>
      <c r="N584" s="318">
        <v>1</v>
      </c>
      <c r="O584" s="621">
        <f t="shared" si="246"/>
        <v>4.49</v>
      </c>
      <c r="P584" s="755">
        <v>1</v>
      </c>
      <c r="Q584" s="755">
        <f t="shared" si="247"/>
        <v>0</v>
      </c>
      <c r="R584" s="341">
        <v>1</v>
      </c>
      <c r="S584" s="318">
        <f t="shared" ref="S584:S601" si="253">H584*R584</f>
        <v>4.49</v>
      </c>
      <c r="T584" s="609" t="s">
        <v>3391</v>
      </c>
      <c r="V584" s="328">
        <f>4.49</f>
        <v>4.49</v>
      </c>
      <c r="W584" s="320">
        <v>1</v>
      </c>
      <c r="X584" s="328">
        <f t="shared" si="249"/>
        <v>4.49</v>
      </c>
      <c r="Y584" s="464">
        <v>1</v>
      </c>
      <c r="Z584" s="328">
        <f t="shared" si="250"/>
        <v>4.49</v>
      </c>
      <c r="AB584" s="458">
        <f t="shared" si="251"/>
        <v>0</v>
      </c>
      <c r="AC584" s="348">
        <f t="shared" si="252"/>
        <v>0</v>
      </c>
    </row>
    <row r="585" spans="1:29">
      <c r="A585" s="318"/>
      <c r="B585" s="319"/>
      <c r="C585" s="318"/>
      <c r="D585" s="318"/>
      <c r="E585" s="319"/>
      <c r="F585" s="319"/>
      <c r="G585" s="318" t="s">
        <v>1938</v>
      </c>
      <c r="H585" s="328">
        <v>4.49</v>
      </c>
      <c r="I585" s="318">
        <v>1</v>
      </c>
      <c r="J585" s="318">
        <f t="shared" si="244"/>
        <v>1</v>
      </c>
      <c r="K585" s="328">
        <f t="shared" si="245"/>
        <v>4.49</v>
      </c>
      <c r="L585" s="318">
        <v>1391</v>
      </c>
      <c r="M585" s="318" t="s">
        <v>251</v>
      </c>
      <c r="N585" s="318">
        <v>1</v>
      </c>
      <c r="O585" s="621">
        <f t="shared" si="246"/>
        <v>4.49</v>
      </c>
      <c r="P585" s="755">
        <v>1</v>
      </c>
      <c r="Q585" s="755">
        <f t="shared" si="247"/>
        <v>0</v>
      </c>
      <c r="R585" s="341">
        <v>1</v>
      </c>
      <c r="S585" s="318">
        <f t="shared" si="253"/>
        <v>4.49</v>
      </c>
      <c r="T585" s="319"/>
      <c r="V585" s="328">
        <f t="shared" ref="V585:V590" si="254">4.49</f>
        <v>4.49</v>
      </c>
      <c r="W585" s="320">
        <v>1</v>
      </c>
      <c r="X585" s="328">
        <f t="shared" si="249"/>
        <v>4.49</v>
      </c>
      <c r="Y585" s="464">
        <v>1</v>
      </c>
      <c r="Z585" s="328">
        <f t="shared" si="250"/>
        <v>4.49</v>
      </c>
      <c r="AB585" s="458">
        <f t="shared" si="251"/>
        <v>0</v>
      </c>
      <c r="AC585" s="348">
        <f t="shared" si="252"/>
        <v>0</v>
      </c>
    </row>
    <row r="586" spans="1:29">
      <c r="A586" s="318"/>
      <c r="B586" s="319"/>
      <c r="C586" s="318"/>
      <c r="D586" s="318"/>
      <c r="E586" s="319"/>
      <c r="F586" s="319"/>
      <c r="G586" s="318" t="s">
        <v>1939</v>
      </c>
      <c r="H586" s="328">
        <v>4.49</v>
      </c>
      <c r="I586" s="318">
        <v>1</v>
      </c>
      <c r="J586" s="318">
        <f t="shared" si="244"/>
        <v>1</v>
      </c>
      <c r="K586" s="328">
        <f t="shared" si="245"/>
        <v>4.49</v>
      </c>
      <c r="L586" s="318">
        <v>1391</v>
      </c>
      <c r="M586" s="318" t="s">
        <v>251</v>
      </c>
      <c r="N586" s="318">
        <v>1</v>
      </c>
      <c r="O586" s="621">
        <f t="shared" si="246"/>
        <v>4.49</v>
      </c>
      <c r="P586" s="755">
        <v>1</v>
      </c>
      <c r="Q586" s="755">
        <f t="shared" si="247"/>
        <v>0</v>
      </c>
      <c r="R586" s="341">
        <v>1</v>
      </c>
      <c r="S586" s="318">
        <f t="shared" si="253"/>
        <v>4.49</v>
      </c>
      <c r="T586" s="319"/>
      <c r="V586" s="328">
        <f t="shared" si="254"/>
        <v>4.49</v>
      </c>
      <c r="W586" s="320">
        <v>1</v>
      </c>
      <c r="X586" s="328">
        <f t="shared" si="249"/>
        <v>4.49</v>
      </c>
      <c r="Y586" s="464">
        <v>1</v>
      </c>
      <c r="Z586" s="328">
        <f t="shared" si="250"/>
        <v>4.49</v>
      </c>
      <c r="AB586" s="458">
        <f t="shared" si="251"/>
        <v>0</v>
      </c>
      <c r="AC586" s="348">
        <f t="shared" si="252"/>
        <v>0</v>
      </c>
    </row>
    <row r="587" spans="1:29">
      <c r="A587" s="318"/>
      <c r="B587" s="319"/>
      <c r="C587" s="318"/>
      <c r="D587" s="318"/>
      <c r="E587" s="319"/>
      <c r="F587" s="319"/>
      <c r="G587" s="318" t="s">
        <v>1940</v>
      </c>
      <c r="H587" s="328">
        <v>4.49</v>
      </c>
      <c r="I587" s="318">
        <v>1</v>
      </c>
      <c r="J587" s="318">
        <f t="shared" si="244"/>
        <v>1</v>
      </c>
      <c r="K587" s="328">
        <f t="shared" si="245"/>
        <v>4.49</v>
      </c>
      <c r="L587" s="318">
        <v>1381</v>
      </c>
      <c r="M587" s="318" t="s">
        <v>245</v>
      </c>
      <c r="N587" s="318">
        <v>1</v>
      </c>
      <c r="O587" s="621">
        <f t="shared" si="246"/>
        <v>4.49</v>
      </c>
      <c r="P587" s="755">
        <v>1</v>
      </c>
      <c r="Q587" s="755">
        <f t="shared" si="247"/>
        <v>0</v>
      </c>
      <c r="R587" s="341">
        <v>1</v>
      </c>
      <c r="S587" s="318">
        <f t="shared" si="253"/>
        <v>4.49</v>
      </c>
      <c r="T587" s="319"/>
      <c r="V587" s="328">
        <f t="shared" si="254"/>
        <v>4.49</v>
      </c>
      <c r="W587" s="320">
        <v>1</v>
      </c>
      <c r="X587" s="328">
        <f t="shared" si="249"/>
        <v>4.49</v>
      </c>
      <c r="Y587" s="464">
        <v>1</v>
      </c>
      <c r="Z587" s="328">
        <f t="shared" si="250"/>
        <v>4.49</v>
      </c>
      <c r="AB587" s="458">
        <f t="shared" si="251"/>
        <v>0</v>
      </c>
      <c r="AC587" s="348">
        <f t="shared" si="252"/>
        <v>0</v>
      </c>
    </row>
    <row r="588" spans="1:29">
      <c r="A588" s="318"/>
      <c r="B588" s="319"/>
      <c r="C588" s="318"/>
      <c r="D588" s="318"/>
      <c r="E588" s="319"/>
      <c r="F588" s="319"/>
      <c r="G588" s="318" t="s">
        <v>1941</v>
      </c>
      <c r="H588" s="328">
        <v>4.49</v>
      </c>
      <c r="I588" s="318">
        <v>1</v>
      </c>
      <c r="J588" s="318">
        <f t="shared" si="244"/>
        <v>1</v>
      </c>
      <c r="K588" s="328">
        <f t="shared" si="245"/>
        <v>4.49</v>
      </c>
      <c r="L588" s="318">
        <v>1381</v>
      </c>
      <c r="M588" s="318" t="s">
        <v>245</v>
      </c>
      <c r="N588" s="318">
        <v>1</v>
      </c>
      <c r="O588" s="621">
        <f t="shared" si="246"/>
        <v>4.49</v>
      </c>
      <c r="P588" s="755">
        <v>1</v>
      </c>
      <c r="Q588" s="755">
        <f t="shared" si="247"/>
        <v>0</v>
      </c>
      <c r="R588" s="341">
        <v>1</v>
      </c>
      <c r="S588" s="318">
        <f t="shared" si="253"/>
        <v>4.49</v>
      </c>
      <c r="T588" s="319"/>
      <c r="V588" s="328">
        <f t="shared" si="254"/>
        <v>4.49</v>
      </c>
      <c r="W588" s="320">
        <v>1</v>
      </c>
      <c r="X588" s="328">
        <f t="shared" si="249"/>
        <v>4.49</v>
      </c>
      <c r="Y588" s="464">
        <v>1</v>
      </c>
      <c r="Z588" s="328">
        <f t="shared" si="250"/>
        <v>4.49</v>
      </c>
      <c r="AB588" s="458">
        <f t="shared" si="251"/>
        <v>0</v>
      </c>
      <c r="AC588" s="348">
        <f t="shared" si="252"/>
        <v>0</v>
      </c>
    </row>
    <row r="589" spans="1:29">
      <c r="A589" s="318"/>
      <c r="B589" s="319"/>
      <c r="C589" s="318"/>
      <c r="D589" s="318"/>
      <c r="E589" s="319"/>
      <c r="F589" s="319"/>
      <c r="G589" s="318" t="s">
        <v>1942</v>
      </c>
      <c r="H589" s="328">
        <v>4.49</v>
      </c>
      <c r="I589" s="318">
        <v>1</v>
      </c>
      <c r="J589" s="318">
        <f t="shared" si="244"/>
        <v>1</v>
      </c>
      <c r="K589" s="328">
        <f t="shared" si="245"/>
        <v>4.49</v>
      </c>
      <c r="L589" s="318">
        <v>1381</v>
      </c>
      <c r="M589" s="318" t="s">
        <v>245</v>
      </c>
      <c r="N589" s="318">
        <v>1</v>
      </c>
      <c r="O589" s="621">
        <f t="shared" si="246"/>
        <v>4.49</v>
      </c>
      <c r="P589" s="755">
        <v>1</v>
      </c>
      <c r="Q589" s="755">
        <f t="shared" si="247"/>
        <v>0</v>
      </c>
      <c r="R589" s="341">
        <v>1</v>
      </c>
      <c r="S589" s="318">
        <f t="shared" si="253"/>
        <v>4.49</v>
      </c>
      <c r="T589" s="319"/>
      <c r="V589" s="328">
        <f t="shared" si="254"/>
        <v>4.49</v>
      </c>
      <c r="W589" s="320">
        <v>1</v>
      </c>
      <c r="X589" s="328">
        <f t="shared" si="249"/>
        <v>4.49</v>
      </c>
      <c r="Y589" s="464">
        <v>1</v>
      </c>
      <c r="Z589" s="328">
        <f t="shared" si="250"/>
        <v>4.49</v>
      </c>
      <c r="AB589" s="458">
        <f t="shared" si="251"/>
        <v>0</v>
      </c>
      <c r="AC589" s="348">
        <f t="shared" si="252"/>
        <v>0</v>
      </c>
    </row>
    <row r="590" spans="1:29">
      <c r="A590" s="318"/>
      <c r="B590" s="319"/>
      <c r="C590" s="318"/>
      <c r="D590" s="318"/>
      <c r="E590" s="319"/>
      <c r="F590" s="319"/>
      <c r="G590" s="318" t="s">
        <v>1943</v>
      </c>
      <c r="H590" s="328">
        <v>4.49</v>
      </c>
      <c r="I590" s="318">
        <v>1</v>
      </c>
      <c r="J590" s="318">
        <f t="shared" si="244"/>
        <v>1</v>
      </c>
      <c r="K590" s="328">
        <f t="shared" si="245"/>
        <v>4.49</v>
      </c>
      <c r="L590" s="318">
        <v>1381</v>
      </c>
      <c r="M590" s="318" t="s">
        <v>245</v>
      </c>
      <c r="N590" s="318">
        <v>1</v>
      </c>
      <c r="O590" s="621">
        <f t="shared" si="246"/>
        <v>4.49</v>
      </c>
      <c r="P590" s="755">
        <v>1</v>
      </c>
      <c r="Q590" s="755">
        <f t="shared" si="247"/>
        <v>0</v>
      </c>
      <c r="R590" s="341">
        <v>1</v>
      </c>
      <c r="S590" s="318">
        <f t="shared" si="253"/>
        <v>4.49</v>
      </c>
      <c r="T590" s="319"/>
      <c r="V590" s="328">
        <f t="shared" si="254"/>
        <v>4.49</v>
      </c>
      <c r="W590" s="320">
        <v>1</v>
      </c>
      <c r="X590" s="328">
        <f t="shared" si="249"/>
        <v>4.49</v>
      </c>
      <c r="Y590" s="464">
        <v>1</v>
      </c>
      <c r="Z590" s="328">
        <f t="shared" si="250"/>
        <v>4.49</v>
      </c>
      <c r="AB590" s="458">
        <f t="shared" si="251"/>
        <v>0</v>
      </c>
      <c r="AC590" s="348">
        <f t="shared" si="252"/>
        <v>0</v>
      </c>
    </row>
    <row r="591" spans="1:29">
      <c r="A591" s="318"/>
      <c r="B591" s="319"/>
      <c r="C591" s="318"/>
      <c r="D591" s="318"/>
      <c r="E591" s="319"/>
      <c r="F591" s="319"/>
      <c r="G591" s="318" t="s">
        <v>1944</v>
      </c>
      <c r="H591" s="328">
        <v>3.45</v>
      </c>
      <c r="I591" s="318">
        <v>1</v>
      </c>
      <c r="J591" s="318">
        <f t="shared" si="244"/>
        <v>1</v>
      </c>
      <c r="K591" s="328">
        <f t="shared" si="245"/>
        <v>3.45</v>
      </c>
      <c r="L591" s="318">
        <v>1391</v>
      </c>
      <c r="M591" s="318" t="s">
        <v>251</v>
      </c>
      <c r="N591" s="318">
        <v>1</v>
      </c>
      <c r="O591" s="621">
        <f t="shared" si="246"/>
        <v>3.45</v>
      </c>
      <c r="P591" s="755">
        <v>1</v>
      </c>
      <c r="Q591" s="755">
        <f t="shared" si="247"/>
        <v>0</v>
      </c>
      <c r="R591" s="341">
        <v>1</v>
      </c>
      <c r="S591" s="318">
        <f t="shared" si="253"/>
        <v>3.45</v>
      </c>
      <c r="T591" s="319"/>
      <c r="V591" s="328">
        <v>3.44</v>
      </c>
      <c r="W591" s="320">
        <v>1</v>
      </c>
      <c r="X591" s="328">
        <f t="shared" si="249"/>
        <v>3.44</v>
      </c>
      <c r="Y591" s="464">
        <v>1</v>
      </c>
      <c r="Z591" s="328">
        <f t="shared" si="250"/>
        <v>3.44</v>
      </c>
      <c r="AB591" s="458">
        <f t="shared" si="251"/>
        <v>-1.0000000000000231E-2</v>
      </c>
      <c r="AC591" s="348">
        <f t="shared" si="252"/>
        <v>-1.0000000000000231E-2</v>
      </c>
    </row>
    <row r="592" spans="1:29">
      <c r="A592" s="318"/>
      <c r="B592" s="319"/>
      <c r="C592" s="318"/>
      <c r="D592" s="318"/>
      <c r="E592" s="319"/>
      <c r="F592" s="319"/>
      <c r="G592" s="318" t="s">
        <v>1945</v>
      </c>
      <c r="H592" s="328">
        <v>3.27</v>
      </c>
      <c r="I592" s="318">
        <v>1</v>
      </c>
      <c r="J592" s="318">
        <f t="shared" si="244"/>
        <v>1</v>
      </c>
      <c r="K592" s="328">
        <f t="shared" si="245"/>
        <v>3.27</v>
      </c>
      <c r="L592" s="318" t="s">
        <v>345</v>
      </c>
      <c r="M592" s="318" t="s">
        <v>364</v>
      </c>
      <c r="N592" s="318">
        <v>1</v>
      </c>
      <c r="O592" s="621">
        <f t="shared" si="246"/>
        <v>3.27</v>
      </c>
      <c r="P592" s="755">
        <v>1</v>
      </c>
      <c r="Q592" s="755">
        <f t="shared" si="247"/>
        <v>0</v>
      </c>
      <c r="R592" s="341">
        <v>1</v>
      </c>
      <c r="S592" s="318">
        <f t="shared" si="253"/>
        <v>3.27</v>
      </c>
      <c r="T592" s="319"/>
      <c r="V592" s="328">
        <v>3.2559999999999998</v>
      </c>
      <c r="W592" s="320">
        <v>1</v>
      </c>
      <c r="X592" s="328">
        <f t="shared" si="249"/>
        <v>3.2559999999999998</v>
      </c>
      <c r="Y592" s="464">
        <f>2/3</f>
        <v>0.66666666666666663</v>
      </c>
      <c r="Z592" s="328">
        <f t="shared" si="250"/>
        <v>2.1706666666666665</v>
      </c>
      <c r="AB592" s="458">
        <f t="shared" si="251"/>
        <v>-1.4000000000000234E-2</v>
      </c>
      <c r="AC592" s="348">
        <f t="shared" si="252"/>
        <v>-1.0993333333333335</v>
      </c>
    </row>
    <row r="593" spans="1:29">
      <c r="A593" s="318"/>
      <c r="B593" s="319"/>
      <c r="C593" s="318"/>
      <c r="D593" s="318"/>
      <c r="E593" s="319"/>
      <c r="F593" s="336"/>
      <c r="G593" s="318" t="s">
        <v>1946</v>
      </c>
      <c r="H593" s="328">
        <v>3.77</v>
      </c>
      <c r="I593" s="318">
        <v>1</v>
      </c>
      <c r="J593" s="318">
        <f t="shared" si="244"/>
        <v>1</v>
      </c>
      <c r="K593" s="328">
        <f t="shared" si="245"/>
        <v>3.77</v>
      </c>
      <c r="L593" s="318" t="s">
        <v>345</v>
      </c>
      <c r="M593" s="318" t="s">
        <v>364</v>
      </c>
      <c r="N593" s="318">
        <v>1</v>
      </c>
      <c r="O593" s="621">
        <f t="shared" si="246"/>
        <v>3.77</v>
      </c>
      <c r="P593" s="755">
        <v>1</v>
      </c>
      <c r="Q593" s="755">
        <f t="shared" si="247"/>
        <v>0</v>
      </c>
      <c r="R593" s="341">
        <v>1</v>
      </c>
      <c r="S593" s="318">
        <f t="shared" si="253"/>
        <v>3.77</v>
      </c>
      <c r="T593" s="319"/>
      <c r="V593" s="328">
        <f>3.256+0.499</f>
        <v>3.7549999999999999</v>
      </c>
      <c r="W593" s="320">
        <v>1</v>
      </c>
      <c r="X593" s="328">
        <f t="shared" si="249"/>
        <v>3.7549999999999999</v>
      </c>
      <c r="Y593" s="464">
        <f>2/3</f>
        <v>0.66666666666666663</v>
      </c>
      <c r="Z593" s="328">
        <f t="shared" si="250"/>
        <v>2.503333333333333</v>
      </c>
      <c r="AB593" s="458">
        <f t="shared" si="251"/>
        <v>-1.5000000000000124E-2</v>
      </c>
      <c r="AC593" s="348">
        <f t="shared" si="252"/>
        <v>-1.2666666666666671</v>
      </c>
    </row>
    <row r="594" spans="1:29">
      <c r="A594" s="318"/>
      <c r="B594" s="319"/>
      <c r="C594" s="318"/>
      <c r="D594" s="318"/>
      <c r="E594" s="319"/>
      <c r="F594" s="336"/>
      <c r="G594" s="318" t="s">
        <v>1947</v>
      </c>
      <c r="H594" s="328">
        <v>3.92</v>
      </c>
      <c r="I594" s="318">
        <v>1</v>
      </c>
      <c r="J594" s="318">
        <f t="shared" si="244"/>
        <v>1</v>
      </c>
      <c r="K594" s="328">
        <f t="shared" si="245"/>
        <v>3.92</v>
      </c>
      <c r="L594" s="318">
        <v>1405</v>
      </c>
      <c r="M594" s="318" t="s">
        <v>257</v>
      </c>
      <c r="N594" s="318">
        <v>1</v>
      </c>
      <c r="O594" s="621">
        <f t="shared" si="246"/>
        <v>3.92</v>
      </c>
      <c r="P594" s="755">
        <v>1</v>
      </c>
      <c r="Q594" s="755">
        <f t="shared" si="247"/>
        <v>0</v>
      </c>
      <c r="R594" s="341">
        <v>1</v>
      </c>
      <c r="S594" s="318">
        <f t="shared" si="253"/>
        <v>3.92</v>
      </c>
      <c r="T594" s="319"/>
      <c r="V594" s="328">
        <v>3.91</v>
      </c>
      <c r="W594" s="320">
        <v>1</v>
      </c>
      <c r="X594" s="328">
        <f t="shared" si="249"/>
        <v>3.91</v>
      </c>
      <c r="Y594" s="464">
        <v>1</v>
      </c>
      <c r="Z594" s="328">
        <f t="shared" si="250"/>
        <v>3.91</v>
      </c>
      <c r="AB594" s="458">
        <f t="shared" si="251"/>
        <v>-9.9999999999997868E-3</v>
      </c>
      <c r="AC594" s="348">
        <f t="shared" si="252"/>
        <v>-9.9999999999997868E-3</v>
      </c>
    </row>
    <row r="595" spans="1:29">
      <c r="A595" s="318"/>
      <c r="B595" s="319"/>
      <c r="C595" s="318"/>
      <c r="D595" s="318"/>
      <c r="E595" s="319"/>
      <c r="F595" s="319"/>
      <c r="G595" s="318" t="s">
        <v>1948</v>
      </c>
      <c r="H595" s="328">
        <v>3.92</v>
      </c>
      <c r="I595" s="318">
        <v>1</v>
      </c>
      <c r="J595" s="318">
        <f t="shared" si="244"/>
        <v>1</v>
      </c>
      <c r="K595" s="328">
        <f t="shared" si="245"/>
        <v>3.92</v>
      </c>
      <c r="L595" s="318">
        <v>1413</v>
      </c>
      <c r="M595" s="318" t="s">
        <v>267</v>
      </c>
      <c r="N595" s="318">
        <v>1</v>
      </c>
      <c r="O595" s="621">
        <f t="shared" si="246"/>
        <v>3.92</v>
      </c>
      <c r="P595" s="755">
        <v>1</v>
      </c>
      <c r="Q595" s="755">
        <f t="shared" si="247"/>
        <v>0</v>
      </c>
      <c r="R595" s="341">
        <v>1</v>
      </c>
      <c r="S595" s="318">
        <f t="shared" si="253"/>
        <v>3.92</v>
      </c>
      <c r="T595" s="319"/>
      <c r="V595" s="328">
        <v>3.91</v>
      </c>
      <c r="W595" s="320">
        <v>1</v>
      </c>
      <c r="X595" s="328">
        <f t="shared" si="249"/>
        <v>3.91</v>
      </c>
      <c r="Y595" s="464">
        <v>1</v>
      </c>
      <c r="Z595" s="328">
        <f t="shared" si="250"/>
        <v>3.91</v>
      </c>
      <c r="AB595" s="458">
        <f t="shared" si="251"/>
        <v>-9.9999999999997868E-3</v>
      </c>
      <c r="AC595" s="348">
        <f t="shared" si="252"/>
        <v>-9.9999999999997868E-3</v>
      </c>
    </row>
    <row r="596" spans="1:29">
      <c r="A596" s="318"/>
      <c r="B596" s="319"/>
      <c r="C596" s="318"/>
      <c r="D596" s="318"/>
      <c r="E596" s="319"/>
      <c r="F596" s="319"/>
      <c r="G596" s="318" t="s">
        <v>1949</v>
      </c>
      <c r="H596" s="328">
        <v>3.92</v>
      </c>
      <c r="I596" s="318">
        <v>1</v>
      </c>
      <c r="J596" s="318">
        <f t="shared" si="244"/>
        <v>1</v>
      </c>
      <c r="K596" s="328">
        <f t="shared" si="245"/>
        <v>3.92</v>
      </c>
      <c r="L596" s="318" t="s">
        <v>262</v>
      </c>
      <c r="M596" s="318" t="s">
        <v>263</v>
      </c>
      <c r="N596" s="318">
        <v>1</v>
      </c>
      <c r="O596" s="621">
        <f t="shared" si="246"/>
        <v>3.92</v>
      </c>
      <c r="P596" s="755">
        <v>1</v>
      </c>
      <c r="Q596" s="755">
        <f t="shared" si="247"/>
        <v>0</v>
      </c>
      <c r="R596" s="341">
        <v>1</v>
      </c>
      <c r="S596" s="318">
        <f t="shared" si="253"/>
        <v>3.92</v>
      </c>
      <c r="T596" s="319"/>
      <c r="V596" s="328">
        <v>3.91</v>
      </c>
      <c r="W596" s="320">
        <v>1</v>
      </c>
      <c r="X596" s="328">
        <f t="shared" si="249"/>
        <v>3.91</v>
      </c>
      <c r="Y596" s="464">
        <v>1</v>
      </c>
      <c r="Z596" s="328">
        <f t="shared" si="250"/>
        <v>3.91</v>
      </c>
      <c r="AB596" s="458">
        <f t="shared" si="251"/>
        <v>-9.9999999999997868E-3</v>
      </c>
      <c r="AC596" s="348">
        <f t="shared" si="252"/>
        <v>-9.9999999999997868E-3</v>
      </c>
    </row>
    <row r="597" spans="1:29">
      <c r="A597" s="318"/>
      <c r="B597" s="319"/>
      <c r="C597" s="318"/>
      <c r="D597" s="318"/>
      <c r="E597" s="319"/>
      <c r="F597" s="319"/>
      <c r="G597" s="318" t="s">
        <v>1950</v>
      </c>
      <c r="H597" s="328">
        <v>3.92</v>
      </c>
      <c r="I597" s="318">
        <v>1</v>
      </c>
      <c r="J597" s="318">
        <f t="shared" si="244"/>
        <v>1</v>
      </c>
      <c r="K597" s="328">
        <f t="shared" si="245"/>
        <v>3.92</v>
      </c>
      <c r="L597" s="318">
        <v>1405</v>
      </c>
      <c r="M597" s="318" t="s">
        <v>257</v>
      </c>
      <c r="N597" s="318">
        <v>1</v>
      </c>
      <c r="O597" s="621">
        <f t="shared" si="246"/>
        <v>3.92</v>
      </c>
      <c r="P597" s="755">
        <v>1</v>
      </c>
      <c r="Q597" s="755">
        <f t="shared" si="247"/>
        <v>0</v>
      </c>
      <c r="R597" s="341">
        <v>1</v>
      </c>
      <c r="S597" s="318">
        <f t="shared" si="253"/>
        <v>3.92</v>
      </c>
      <c r="T597" s="389"/>
      <c r="V597" s="328">
        <v>3.91</v>
      </c>
      <c r="W597" s="320">
        <v>1</v>
      </c>
      <c r="X597" s="328">
        <f t="shared" si="249"/>
        <v>3.91</v>
      </c>
      <c r="Y597" s="464">
        <v>1</v>
      </c>
      <c r="Z597" s="328">
        <f t="shared" si="250"/>
        <v>3.91</v>
      </c>
      <c r="AB597" s="458">
        <f t="shared" si="251"/>
        <v>-9.9999999999997868E-3</v>
      </c>
      <c r="AC597" s="348">
        <f t="shared" si="252"/>
        <v>-9.9999999999997868E-3</v>
      </c>
    </row>
    <row r="598" spans="1:29">
      <c r="A598" s="318"/>
      <c r="B598" s="319"/>
      <c r="C598" s="318"/>
      <c r="D598" s="318"/>
      <c r="E598" s="319"/>
      <c r="F598" s="319"/>
      <c r="G598" s="318" t="s">
        <v>1951</v>
      </c>
      <c r="H598" s="328">
        <v>3.77</v>
      </c>
      <c r="I598" s="318">
        <v>1</v>
      </c>
      <c r="J598" s="318">
        <f t="shared" si="244"/>
        <v>1</v>
      </c>
      <c r="K598" s="328">
        <f t="shared" si="245"/>
        <v>3.77</v>
      </c>
      <c r="L598" s="350" t="s">
        <v>2304</v>
      </c>
      <c r="M598" s="349">
        <v>130160</v>
      </c>
      <c r="N598" s="318">
        <v>1</v>
      </c>
      <c r="O598" s="621">
        <f t="shared" si="246"/>
        <v>3.77</v>
      </c>
      <c r="P598" s="755">
        <v>1</v>
      </c>
      <c r="Q598" s="755">
        <f t="shared" si="247"/>
        <v>0</v>
      </c>
      <c r="R598" s="341">
        <v>1</v>
      </c>
      <c r="S598" s="318">
        <f t="shared" si="253"/>
        <v>3.77</v>
      </c>
      <c r="T598" s="389"/>
      <c r="V598" s="328">
        <f>3.256+0.499</f>
        <v>3.7549999999999999</v>
      </c>
      <c r="W598" s="320">
        <v>1</v>
      </c>
      <c r="X598" s="328">
        <f t="shared" si="249"/>
        <v>3.7549999999999999</v>
      </c>
      <c r="Y598" s="464">
        <f>2/3</f>
        <v>0.66666666666666663</v>
      </c>
      <c r="Z598" s="328">
        <f t="shared" si="250"/>
        <v>2.503333333333333</v>
      </c>
      <c r="AB598" s="458">
        <f t="shared" si="251"/>
        <v>-1.5000000000000124E-2</v>
      </c>
      <c r="AC598" s="348">
        <f t="shared" si="252"/>
        <v>-1.2666666666666671</v>
      </c>
    </row>
    <row r="599" spans="1:29">
      <c r="A599" s="318"/>
      <c r="B599" s="319"/>
      <c r="C599" s="318"/>
      <c r="D599" s="318"/>
      <c r="E599" s="319"/>
      <c r="F599" s="336"/>
      <c r="G599" s="318" t="s">
        <v>1952</v>
      </c>
      <c r="H599" s="328">
        <v>3.27</v>
      </c>
      <c r="I599" s="318">
        <v>1</v>
      </c>
      <c r="J599" s="318">
        <f t="shared" si="244"/>
        <v>1</v>
      </c>
      <c r="K599" s="328">
        <f t="shared" si="245"/>
        <v>3.27</v>
      </c>
      <c r="L599" s="350" t="s">
        <v>2304</v>
      </c>
      <c r="M599" s="349">
        <v>130160</v>
      </c>
      <c r="N599" s="318">
        <v>1</v>
      </c>
      <c r="O599" s="621">
        <f t="shared" si="246"/>
        <v>3.27</v>
      </c>
      <c r="P599" s="755">
        <v>1</v>
      </c>
      <c r="Q599" s="755">
        <f t="shared" si="247"/>
        <v>0</v>
      </c>
      <c r="R599" s="341">
        <v>1</v>
      </c>
      <c r="S599" s="318">
        <f t="shared" si="253"/>
        <v>3.27</v>
      </c>
      <c r="T599" s="389"/>
      <c r="V599" s="328">
        <v>3.2559999999999998</v>
      </c>
      <c r="W599" s="320">
        <v>1</v>
      </c>
      <c r="X599" s="328">
        <f t="shared" si="249"/>
        <v>3.2559999999999998</v>
      </c>
      <c r="Y599" s="464">
        <f>2/3</f>
        <v>0.66666666666666663</v>
      </c>
      <c r="Z599" s="328">
        <f t="shared" si="250"/>
        <v>2.1706666666666665</v>
      </c>
      <c r="AB599" s="458">
        <f t="shared" si="251"/>
        <v>-1.4000000000000234E-2</v>
      </c>
      <c r="AC599" s="348">
        <f t="shared" si="252"/>
        <v>-1.0993333333333335</v>
      </c>
    </row>
    <row r="600" spans="1:29">
      <c r="A600" s="318"/>
      <c r="B600" s="319"/>
      <c r="C600" s="318"/>
      <c r="D600" s="318"/>
      <c r="E600" s="319"/>
      <c r="F600" s="336"/>
      <c r="G600" s="318" t="s">
        <v>1953</v>
      </c>
      <c r="H600" s="328">
        <v>3.45</v>
      </c>
      <c r="I600" s="318">
        <v>1</v>
      </c>
      <c r="J600" s="318">
        <f t="shared" si="244"/>
        <v>1</v>
      </c>
      <c r="K600" s="328">
        <f t="shared" si="245"/>
        <v>3.45</v>
      </c>
      <c r="L600" s="318">
        <v>1391</v>
      </c>
      <c r="M600" s="318" t="s">
        <v>251</v>
      </c>
      <c r="N600" s="318">
        <v>1</v>
      </c>
      <c r="O600" s="621">
        <f t="shared" si="246"/>
        <v>3.45</v>
      </c>
      <c r="P600" s="755">
        <v>1</v>
      </c>
      <c r="Q600" s="755">
        <f t="shared" si="247"/>
        <v>0</v>
      </c>
      <c r="R600" s="341">
        <v>1</v>
      </c>
      <c r="S600" s="318">
        <f t="shared" si="253"/>
        <v>3.45</v>
      </c>
      <c r="T600" s="389"/>
      <c r="V600" s="328">
        <v>3.44</v>
      </c>
      <c r="W600" s="320">
        <v>1</v>
      </c>
      <c r="X600" s="328">
        <f t="shared" si="249"/>
        <v>3.44</v>
      </c>
      <c r="Y600" s="464">
        <v>1</v>
      </c>
      <c r="Z600" s="328">
        <f t="shared" si="250"/>
        <v>3.44</v>
      </c>
      <c r="AB600" s="458">
        <f t="shared" si="251"/>
        <v>-1.0000000000000231E-2</v>
      </c>
      <c r="AC600" s="348">
        <f t="shared" si="252"/>
        <v>-1.0000000000000231E-2</v>
      </c>
    </row>
    <row r="601" spans="1:29">
      <c r="A601" s="318"/>
      <c r="B601" s="319"/>
      <c r="C601" s="318"/>
      <c r="D601" s="318"/>
      <c r="E601" s="319"/>
      <c r="F601" s="336" t="s">
        <v>1863</v>
      </c>
      <c r="G601" s="318" t="s">
        <v>1954</v>
      </c>
      <c r="H601" s="328">
        <v>4.7699999999999996</v>
      </c>
      <c r="I601" s="318">
        <v>1</v>
      </c>
      <c r="J601" s="318">
        <v>1</v>
      </c>
      <c r="K601" s="328">
        <f t="shared" si="245"/>
        <v>4.7699999999999996</v>
      </c>
      <c r="L601" s="350" t="s">
        <v>3186</v>
      </c>
      <c r="M601" s="318"/>
      <c r="N601" s="318">
        <v>1</v>
      </c>
      <c r="O601" s="621">
        <f t="shared" si="246"/>
        <v>4.7699999999999996</v>
      </c>
      <c r="P601" s="755">
        <v>1</v>
      </c>
      <c r="Q601" s="755">
        <f t="shared" si="247"/>
        <v>0</v>
      </c>
      <c r="R601" s="341">
        <v>1</v>
      </c>
      <c r="S601" s="318">
        <f t="shared" si="253"/>
        <v>4.7699999999999996</v>
      </c>
      <c r="T601" s="389" t="s">
        <v>3452</v>
      </c>
      <c r="V601" s="328">
        <f t="shared" ref="V601:V607" si="255">4.49</f>
        <v>4.49</v>
      </c>
      <c r="W601" s="320"/>
      <c r="X601" s="328">
        <f t="shared" si="249"/>
        <v>0</v>
      </c>
      <c r="Y601" s="320"/>
      <c r="Z601" s="328">
        <f t="shared" si="250"/>
        <v>0</v>
      </c>
      <c r="AB601" s="458">
        <f t="shared" si="251"/>
        <v>-4.7699999999999996</v>
      </c>
      <c r="AC601" s="348">
        <f t="shared" si="252"/>
        <v>-4.7699999999999996</v>
      </c>
    </row>
    <row r="602" spans="1:29">
      <c r="A602" s="584"/>
      <c r="B602" s="585"/>
      <c r="C602" s="584"/>
      <c r="D602" s="584"/>
      <c r="E602" s="585"/>
      <c r="F602" s="589"/>
      <c r="G602" s="584" t="s">
        <v>434</v>
      </c>
      <c r="H602" s="587"/>
      <c r="I602" s="584"/>
      <c r="J602" s="584"/>
      <c r="K602" s="584"/>
      <c r="L602" s="584"/>
      <c r="M602" s="584"/>
      <c r="N602" s="584"/>
      <c r="O602" s="634" t="s">
        <v>2321</v>
      </c>
      <c r="P602" s="766"/>
      <c r="Q602" s="766"/>
      <c r="R602" s="590"/>
      <c r="S602" s="588" t="s">
        <v>2321</v>
      </c>
      <c r="T602" s="1035" t="s">
        <v>1456</v>
      </c>
      <c r="V602" s="328"/>
      <c r="W602" s="318"/>
      <c r="X602" s="387" t="s">
        <v>2321</v>
      </c>
      <c r="Y602" s="341"/>
      <c r="Z602" s="387" t="s">
        <v>2321</v>
      </c>
      <c r="AB602" s="348"/>
      <c r="AC602" s="384"/>
    </row>
    <row r="603" spans="1:29">
      <c r="A603" s="584"/>
      <c r="B603" s="585"/>
      <c r="C603" s="584"/>
      <c r="D603" s="584"/>
      <c r="E603" s="585"/>
      <c r="F603" s="585"/>
      <c r="G603" s="584" t="s">
        <v>435</v>
      </c>
      <c r="H603" s="587"/>
      <c r="I603" s="584"/>
      <c r="J603" s="584"/>
      <c r="K603" s="584"/>
      <c r="L603" s="584"/>
      <c r="M603" s="584"/>
      <c r="N603" s="584"/>
      <c r="O603" s="634" t="s">
        <v>2321</v>
      </c>
      <c r="P603" s="766"/>
      <c r="Q603" s="766"/>
      <c r="R603" s="590"/>
      <c r="S603" s="588" t="s">
        <v>2321</v>
      </c>
      <c r="T603" s="1035"/>
      <c r="V603" s="328"/>
      <c r="W603" s="318"/>
      <c r="X603" s="387" t="s">
        <v>2321</v>
      </c>
      <c r="Y603" s="341"/>
      <c r="Z603" s="387" t="s">
        <v>2321</v>
      </c>
      <c r="AB603" s="348"/>
      <c r="AC603" s="384"/>
    </row>
    <row r="604" spans="1:29">
      <c r="A604" s="584"/>
      <c r="B604" s="585"/>
      <c r="C604" s="584"/>
      <c r="D604" s="584"/>
      <c r="E604" s="585"/>
      <c r="F604" s="585"/>
      <c r="G604" s="584" t="s">
        <v>436</v>
      </c>
      <c r="H604" s="587"/>
      <c r="I604" s="584"/>
      <c r="J604" s="584"/>
      <c r="K604" s="584"/>
      <c r="L604" s="584"/>
      <c r="M604" s="584"/>
      <c r="N604" s="584"/>
      <c r="O604" s="634" t="s">
        <v>2321</v>
      </c>
      <c r="P604" s="766"/>
      <c r="Q604" s="766"/>
      <c r="R604" s="590"/>
      <c r="S604" s="588" t="s">
        <v>2321</v>
      </c>
      <c r="T604" s="1035"/>
      <c r="V604" s="328"/>
      <c r="W604" s="318"/>
      <c r="X604" s="387" t="s">
        <v>2321</v>
      </c>
      <c r="Y604" s="341"/>
      <c r="Z604" s="387" t="s">
        <v>2321</v>
      </c>
      <c r="AB604" s="348"/>
      <c r="AC604" s="384"/>
    </row>
    <row r="605" spans="1:29">
      <c r="A605" s="584"/>
      <c r="B605" s="585"/>
      <c r="C605" s="584"/>
      <c r="D605" s="584"/>
      <c r="E605" s="585"/>
      <c r="F605" s="589"/>
      <c r="G605" s="584" t="s">
        <v>437</v>
      </c>
      <c r="H605" s="587"/>
      <c r="I605" s="584"/>
      <c r="J605" s="584"/>
      <c r="K605" s="584"/>
      <c r="L605" s="584"/>
      <c r="M605" s="584"/>
      <c r="N605" s="584"/>
      <c r="O605" s="634" t="s">
        <v>2321</v>
      </c>
      <c r="P605" s="766"/>
      <c r="Q605" s="766"/>
      <c r="R605" s="590"/>
      <c r="S605" s="588" t="s">
        <v>2321</v>
      </c>
      <c r="T605" s="1035"/>
      <c r="V605" s="328"/>
      <c r="W605" s="318"/>
      <c r="X605" s="387" t="s">
        <v>2321</v>
      </c>
      <c r="Y605" s="341"/>
      <c r="Z605" s="387" t="s">
        <v>2321</v>
      </c>
      <c r="AB605" s="348"/>
      <c r="AC605" s="384"/>
    </row>
    <row r="606" spans="1:29" ht="14.4" customHeight="1">
      <c r="A606" s="318"/>
      <c r="B606" s="319"/>
      <c r="C606" s="318"/>
      <c r="D606" s="318"/>
      <c r="E606" s="319"/>
      <c r="F606" s="336" t="s">
        <v>1863</v>
      </c>
      <c r="G606" s="318" t="s">
        <v>1955</v>
      </c>
      <c r="H606" s="328">
        <v>4.7699999999999996</v>
      </c>
      <c r="I606" s="318">
        <v>1</v>
      </c>
      <c r="J606" s="318">
        <v>1</v>
      </c>
      <c r="K606" s="328">
        <f>H606*J606</f>
        <v>4.7699999999999996</v>
      </c>
      <c r="L606" s="350" t="s">
        <v>3187</v>
      </c>
      <c r="M606" s="318"/>
      <c r="N606" s="318">
        <v>1</v>
      </c>
      <c r="O606" s="621">
        <f>H606*N606</f>
        <v>4.7699999999999996</v>
      </c>
      <c r="P606" s="755">
        <v>1</v>
      </c>
      <c r="Q606" s="755">
        <f t="shared" ref="Q606:Q608" si="256">R606-P606</f>
        <v>0</v>
      </c>
      <c r="R606" s="341">
        <v>1</v>
      </c>
      <c r="S606" s="318">
        <f t="shared" ref="S606" si="257">H606*R606</f>
        <v>4.7699999999999996</v>
      </c>
      <c r="T606" s="389" t="s">
        <v>3452</v>
      </c>
      <c r="V606" s="328">
        <f t="shared" si="255"/>
        <v>4.49</v>
      </c>
      <c r="W606" s="320"/>
      <c r="X606" s="328">
        <f>V606*W606</f>
        <v>0</v>
      </c>
      <c r="Y606" s="464"/>
      <c r="Z606" s="328">
        <f>V606*Y606</f>
        <v>0</v>
      </c>
      <c r="AB606" s="458">
        <f>X606-O606</f>
        <v>-4.7699999999999996</v>
      </c>
      <c r="AC606" s="348">
        <f>Z606-S606</f>
        <v>-4.7699999999999996</v>
      </c>
    </row>
    <row r="607" spans="1:29">
      <c r="A607" s="318"/>
      <c r="B607" s="319"/>
      <c r="C607" s="318"/>
      <c r="D607" s="318"/>
      <c r="E607" s="319"/>
      <c r="F607" s="336"/>
      <c r="G607" s="318" t="s">
        <v>1956</v>
      </c>
      <c r="H607" s="328">
        <v>4.49</v>
      </c>
      <c r="I607" s="318">
        <v>1</v>
      </c>
      <c r="J607" s="318">
        <f>IF(N607&gt;0,1,0)</f>
        <v>1</v>
      </c>
      <c r="K607" s="328">
        <f>H607*J607</f>
        <v>4.49</v>
      </c>
      <c r="L607" s="318">
        <v>1391</v>
      </c>
      <c r="M607" s="318" t="s">
        <v>251</v>
      </c>
      <c r="N607" s="318">
        <v>1</v>
      </c>
      <c r="O607" s="621">
        <f>H607*N607</f>
        <v>4.49</v>
      </c>
      <c r="P607" s="755">
        <v>1</v>
      </c>
      <c r="Q607" s="755">
        <f t="shared" si="256"/>
        <v>0</v>
      </c>
      <c r="R607" s="341">
        <v>1</v>
      </c>
      <c r="S607" s="318">
        <f t="shared" ref="S607:S608" si="258">H607*R607</f>
        <v>4.49</v>
      </c>
      <c r="T607" s="388"/>
      <c r="V607" s="328">
        <f t="shared" si="255"/>
        <v>4.49</v>
      </c>
      <c r="W607" s="320">
        <v>1</v>
      </c>
      <c r="X607" s="328">
        <f>V607*W607</f>
        <v>4.49</v>
      </c>
      <c r="Y607" s="464">
        <v>1</v>
      </c>
      <c r="Z607" s="456">
        <f>V607*Y607</f>
        <v>4.49</v>
      </c>
      <c r="AB607" s="458">
        <f>X607-O607</f>
        <v>0</v>
      </c>
      <c r="AC607" s="454">
        <f>Z607-S607</f>
        <v>0</v>
      </c>
    </row>
    <row r="608" spans="1:29">
      <c r="A608" s="318"/>
      <c r="B608" s="319"/>
      <c r="C608" s="318"/>
      <c r="D608" s="318"/>
      <c r="E608" s="319"/>
      <c r="F608" s="336" t="s">
        <v>1225</v>
      </c>
      <c r="G608" s="318" t="s">
        <v>1957</v>
      </c>
      <c r="H608" s="328">
        <v>2.58</v>
      </c>
      <c r="I608" s="318">
        <v>1</v>
      </c>
      <c r="J608" s="318">
        <f>IF(N608&gt;0,1,0)</f>
        <v>1</v>
      </c>
      <c r="K608" s="328">
        <f>H608*J608</f>
        <v>2.58</v>
      </c>
      <c r="L608" s="318">
        <v>1765</v>
      </c>
      <c r="M608" s="318">
        <v>162</v>
      </c>
      <c r="N608" s="318">
        <v>1</v>
      </c>
      <c r="O608" s="621">
        <f>H608*N608</f>
        <v>2.58</v>
      </c>
      <c r="P608" s="755">
        <v>1</v>
      </c>
      <c r="Q608" s="755">
        <f t="shared" si="256"/>
        <v>0</v>
      </c>
      <c r="R608" s="341">
        <v>1</v>
      </c>
      <c r="S608" s="318">
        <f t="shared" si="258"/>
        <v>2.58</v>
      </c>
      <c r="T608" s="388"/>
      <c r="V608" s="328">
        <f>1.15-0.6+2.055</f>
        <v>2.605</v>
      </c>
      <c r="W608" s="320">
        <v>1</v>
      </c>
      <c r="X608" s="328">
        <f>V608*W608</f>
        <v>2.605</v>
      </c>
      <c r="Y608" s="464">
        <v>1</v>
      </c>
      <c r="Z608" s="456">
        <f>V608*Y608</f>
        <v>2.605</v>
      </c>
      <c r="AB608" s="458">
        <f>X608-O608</f>
        <v>2.4999999999999911E-2</v>
      </c>
      <c r="AC608" s="454">
        <f>Z608-S608</f>
        <v>2.4999999999999911E-2</v>
      </c>
    </row>
    <row r="609" spans="1:29">
      <c r="A609" s="318"/>
      <c r="B609" s="319"/>
      <c r="C609" s="318"/>
      <c r="D609" s="318"/>
      <c r="E609" s="319"/>
      <c r="F609" s="319"/>
      <c r="G609" s="318"/>
      <c r="H609" s="318"/>
      <c r="I609" s="318"/>
      <c r="J609" s="382" t="s">
        <v>389</v>
      </c>
      <c r="K609" s="338">
        <f>SUM(K583:K608)</f>
        <v>87.280000000000015</v>
      </c>
      <c r="L609" s="318"/>
      <c r="M609" s="318"/>
      <c r="N609" s="382" t="s">
        <v>389</v>
      </c>
      <c r="O609" s="759">
        <f>SUM(O583:O608)</f>
        <v>87.280000000000015</v>
      </c>
      <c r="P609" s="751" t="s">
        <v>389</v>
      </c>
      <c r="Q609" s="751"/>
      <c r="R609" s="382"/>
      <c r="S609" s="338">
        <f>SUM(S583:S608)</f>
        <v>87.280000000000015</v>
      </c>
      <c r="T609" s="323"/>
      <c r="V609" s="318"/>
      <c r="W609" s="321" t="s">
        <v>389</v>
      </c>
      <c r="X609" s="338">
        <f>SUM(X583:X608)</f>
        <v>77.671999999999997</v>
      </c>
      <c r="Y609" s="321" t="s">
        <v>389</v>
      </c>
      <c r="Z609" s="338">
        <f>SUM(Z583:Z608)</f>
        <v>70.393000000000001</v>
      </c>
      <c r="AB609" s="338"/>
      <c r="AC609" s="338"/>
    </row>
    <row r="610" spans="1:29" ht="6.75" customHeight="1">
      <c r="A610" s="316"/>
      <c r="B610" s="317"/>
      <c r="C610" s="316"/>
      <c r="D610" s="316"/>
      <c r="E610" s="317"/>
      <c r="F610" s="317"/>
      <c r="G610" s="316"/>
      <c r="H610" s="316"/>
      <c r="I610" s="316"/>
      <c r="J610" s="316"/>
      <c r="K610" s="316"/>
      <c r="L610" s="316"/>
      <c r="M610" s="316"/>
      <c r="N610" s="316"/>
      <c r="O610" s="749"/>
      <c r="P610" s="752"/>
      <c r="Q610" s="752"/>
      <c r="R610" s="316"/>
      <c r="S610" s="316"/>
      <c r="T610" s="317"/>
      <c r="V610" s="316"/>
      <c r="W610" s="316"/>
      <c r="X610" s="316"/>
      <c r="Y610" s="316"/>
      <c r="Z610" s="316"/>
      <c r="AB610" s="339"/>
      <c r="AC610" s="339"/>
    </row>
    <row r="611" spans="1:29">
      <c r="A611" s="318">
        <v>15</v>
      </c>
      <c r="B611" s="319" t="s">
        <v>383</v>
      </c>
      <c r="C611" s="318">
        <v>600</v>
      </c>
      <c r="D611" s="318">
        <v>22</v>
      </c>
      <c r="E611" s="319">
        <v>1</v>
      </c>
      <c r="F611" s="336" t="s">
        <v>1225</v>
      </c>
      <c r="G611" s="318" t="s">
        <v>1958</v>
      </c>
      <c r="H611" s="328">
        <v>4.49</v>
      </c>
      <c r="I611" s="318">
        <v>1</v>
      </c>
      <c r="J611" s="318">
        <f t="shared" ref="J611:J629" si="259">IF(N611&gt;0,1,0)</f>
        <v>1</v>
      </c>
      <c r="K611" s="328">
        <f t="shared" ref="K611:K630" si="260">H611*J611</f>
        <v>4.49</v>
      </c>
      <c r="L611" s="350" t="s">
        <v>2798</v>
      </c>
      <c r="M611" s="318">
        <v>187</v>
      </c>
      <c r="N611" s="318">
        <v>1</v>
      </c>
      <c r="O611" s="621">
        <f t="shared" ref="O611:O630" si="261">H611*N611</f>
        <v>4.49</v>
      </c>
      <c r="P611" s="755">
        <v>1</v>
      </c>
      <c r="Q611" s="755">
        <f t="shared" ref="Q611:Q630" si="262">R611-P611</f>
        <v>0</v>
      </c>
      <c r="R611" s="341">
        <v>1</v>
      </c>
      <c r="S611" s="318">
        <f t="shared" ref="S611" si="263">H611*R611</f>
        <v>4.49</v>
      </c>
      <c r="T611" s="319"/>
      <c r="V611" s="328">
        <f>2.055-0.6+1.15</f>
        <v>2.605</v>
      </c>
      <c r="W611" s="320"/>
      <c r="X611" s="328">
        <f t="shared" ref="X611:X630" si="264">V611*W611</f>
        <v>0</v>
      </c>
      <c r="Y611" s="320"/>
      <c r="Z611" s="328">
        <f t="shared" ref="Z611:Z630" si="265">V611*Y611</f>
        <v>0</v>
      </c>
      <c r="AB611" s="458">
        <f t="shared" ref="AB611:AB630" si="266">X611-O611</f>
        <v>-4.49</v>
      </c>
      <c r="AC611" s="348">
        <f t="shared" ref="AC611:AC630" si="267">Z611-S611</f>
        <v>-4.49</v>
      </c>
    </row>
    <row r="612" spans="1:29">
      <c r="A612" s="318"/>
      <c r="B612" s="319"/>
      <c r="C612" s="318"/>
      <c r="D612" s="318"/>
      <c r="E612" s="319"/>
      <c r="F612" s="336"/>
      <c r="G612" s="318" t="s">
        <v>1959</v>
      </c>
      <c r="H612" s="328">
        <v>4.49</v>
      </c>
      <c r="I612" s="318">
        <v>1</v>
      </c>
      <c r="J612" s="318">
        <f t="shared" si="259"/>
        <v>1</v>
      </c>
      <c r="K612" s="328">
        <f t="shared" si="260"/>
        <v>4.49</v>
      </c>
      <c r="L612" s="318">
        <v>1303</v>
      </c>
      <c r="M612" s="318" t="s">
        <v>172</v>
      </c>
      <c r="N612" s="318">
        <v>1</v>
      </c>
      <c r="O612" s="621">
        <f t="shared" si="261"/>
        <v>4.49</v>
      </c>
      <c r="P612" s="755">
        <v>1</v>
      </c>
      <c r="Q612" s="755">
        <f t="shared" si="262"/>
        <v>0</v>
      </c>
      <c r="R612" s="341">
        <v>1</v>
      </c>
      <c r="S612" s="318">
        <f t="shared" ref="S612:S630" si="268">H612*R612</f>
        <v>4.49</v>
      </c>
      <c r="T612" s="319"/>
      <c r="V612" s="328">
        <f>4.49</f>
        <v>4.49</v>
      </c>
      <c r="W612" s="320">
        <v>1</v>
      </c>
      <c r="X612" s="328">
        <f t="shared" si="264"/>
        <v>4.49</v>
      </c>
      <c r="Y612" s="464"/>
      <c r="Z612" s="328">
        <f t="shared" si="265"/>
        <v>0</v>
      </c>
      <c r="AB612" s="458">
        <f t="shared" si="266"/>
        <v>0</v>
      </c>
      <c r="AC612" s="348">
        <f t="shared" si="267"/>
        <v>-4.49</v>
      </c>
    </row>
    <row r="613" spans="1:29">
      <c r="A613" s="318"/>
      <c r="B613" s="319"/>
      <c r="C613" s="318"/>
      <c r="D613" s="318"/>
      <c r="E613" s="319"/>
      <c r="F613" s="319"/>
      <c r="G613" s="318" t="s">
        <v>1960</v>
      </c>
      <c r="H613" s="328">
        <v>4.49</v>
      </c>
      <c r="I613" s="318">
        <v>1</v>
      </c>
      <c r="J613" s="318">
        <f t="shared" si="259"/>
        <v>1</v>
      </c>
      <c r="K613" s="328">
        <f t="shared" si="260"/>
        <v>4.49</v>
      </c>
      <c r="L613" s="318">
        <v>1304</v>
      </c>
      <c r="M613" s="318" t="s">
        <v>172</v>
      </c>
      <c r="N613" s="318">
        <v>1</v>
      </c>
      <c r="O613" s="621">
        <f t="shared" si="261"/>
        <v>4.49</v>
      </c>
      <c r="P613" s="755">
        <v>1</v>
      </c>
      <c r="Q613" s="755">
        <f t="shared" si="262"/>
        <v>0</v>
      </c>
      <c r="R613" s="341">
        <v>1</v>
      </c>
      <c r="S613" s="318">
        <f t="shared" si="268"/>
        <v>4.49</v>
      </c>
      <c r="T613" s="319"/>
      <c r="V613" s="328">
        <f t="shared" ref="V613:V618" si="269">4.49</f>
        <v>4.49</v>
      </c>
      <c r="W613" s="320">
        <v>1</v>
      </c>
      <c r="X613" s="328">
        <f t="shared" si="264"/>
        <v>4.49</v>
      </c>
      <c r="Y613" s="464">
        <v>1</v>
      </c>
      <c r="Z613" s="328">
        <f t="shared" si="265"/>
        <v>4.49</v>
      </c>
      <c r="AB613" s="458">
        <f t="shared" si="266"/>
        <v>0</v>
      </c>
      <c r="AC613" s="348">
        <f t="shared" si="267"/>
        <v>0</v>
      </c>
    </row>
    <row r="614" spans="1:29">
      <c r="A614" s="318"/>
      <c r="B614" s="319"/>
      <c r="C614" s="318"/>
      <c r="D614" s="318"/>
      <c r="E614" s="319"/>
      <c r="F614" s="319"/>
      <c r="G614" s="318" t="s">
        <v>1961</v>
      </c>
      <c r="H614" s="328">
        <v>4.49</v>
      </c>
      <c r="I614" s="318">
        <v>1</v>
      </c>
      <c r="J614" s="318">
        <f t="shared" si="259"/>
        <v>1</v>
      </c>
      <c r="K614" s="328">
        <f t="shared" si="260"/>
        <v>4.49</v>
      </c>
      <c r="L614" s="318">
        <v>1304</v>
      </c>
      <c r="M614" s="318" t="s">
        <v>172</v>
      </c>
      <c r="N614" s="318">
        <v>1</v>
      </c>
      <c r="O614" s="621">
        <f t="shared" si="261"/>
        <v>4.49</v>
      </c>
      <c r="P614" s="755">
        <v>1</v>
      </c>
      <c r="Q614" s="755">
        <f t="shared" si="262"/>
        <v>0</v>
      </c>
      <c r="R614" s="341">
        <v>1</v>
      </c>
      <c r="S614" s="318">
        <f t="shared" si="268"/>
        <v>4.49</v>
      </c>
      <c r="T614" s="319"/>
      <c r="V614" s="328">
        <f t="shared" si="269"/>
        <v>4.49</v>
      </c>
      <c r="W614" s="320">
        <v>1</v>
      </c>
      <c r="X614" s="328">
        <f t="shared" si="264"/>
        <v>4.49</v>
      </c>
      <c r="Y614" s="464">
        <v>1</v>
      </c>
      <c r="Z614" s="328">
        <f t="shared" si="265"/>
        <v>4.49</v>
      </c>
      <c r="AB614" s="458">
        <f t="shared" si="266"/>
        <v>0</v>
      </c>
      <c r="AC614" s="348">
        <f t="shared" si="267"/>
        <v>0</v>
      </c>
    </row>
    <row r="615" spans="1:29">
      <c r="A615" s="318"/>
      <c r="B615" s="319"/>
      <c r="C615" s="318"/>
      <c r="D615" s="318"/>
      <c r="E615" s="319"/>
      <c r="F615" s="319"/>
      <c r="G615" s="318" t="s">
        <v>1962</v>
      </c>
      <c r="H615" s="328">
        <v>4.49</v>
      </c>
      <c r="I615" s="318">
        <v>1</v>
      </c>
      <c r="J615" s="318">
        <f t="shared" si="259"/>
        <v>1</v>
      </c>
      <c r="K615" s="328">
        <f t="shared" si="260"/>
        <v>4.49</v>
      </c>
      <c r="L615" s="318">
        <v>1303</v>
      </c>
      <c r="M615" s="318" t="s">
        <v>172</v>
      </c>
      <c r="N615" s="318">
        <v>1</v>
      </c>
      <c r="O615" s="621">
        <f t="shared" si="261"/>
        <v>4.49</v>
      </c>
      <c r="P615" s="755">
        <v>1</v>
      </c>
      <c r="Q615" s="755">
        <f t="shared" si="262"/>
        <v>0</v>
      </c>
      <c r="R615" s="341">
        <v>1</v>
      </c>
      <c r="S615" s="318">
        <f t="shared" si="268"/>
        <v>4.49</v>
      </c>
      <c r="T615" s="319"/>
      <c r="V615" s="328">
        <f t="shared" si="269"/>
        <v>4.49</v>
      </c>
      <c r="W615" s="320">
        <v>1</v>
      </c>
      <c r="X615" s="328">
        <f t="shared" si="264"/>
        <v>4.49</v>
      </c>
      <c r="Y615" s="464">
        <v>1</v>
      </c>
      <c r="Z615" s="328">
        <f t="shared" si="265"/>
        <v>4.49</v>
      </c>
      <c r="AB615" s="458">
        <f t="shared" si="266"/>
        <v>0</v>
      </c>
      <c r="AC615" s="348">
        <f t="shared" si="267"/>
        <v>0</v>
      </c>
    </row>
    <row r="616" spans="1:29">
      <c r="A616" s="318"/>
      <c r="B616" s="319"/>
      <c r="C616" s="318"/>
      <c r="D616" s="318"/>
      <c r="E616" s="319"/>
      <c r="F616" s="319"/>
      <c r="G616" s="318" t="s">
        <v>1963</v>
      </c>
      <c r="H616" s="328">
        <v>4.49</v>
      </c>
      <c r="I616" s="318">
        <v>1</v>
      </c>
      <c r="J616" s="318">
        <f t="shared" si="259"/>
        <v>1</v>
      </c>
      <c r="K616" s="328">
        <f t="shared" si="260"/>
        <v>4.49</v>
      </c>
      <c r="L616" s="318">
        <v>1303</v>
      </c>
      <c r="M616" s="318" t="s">
        <v>172</v>
      </c>
      <c r="N616" s="318">
        <v>1</v>
      </c>
      <c r="O616" s="621">
        <f t="shared" si="261"/>
        <v>4.49</v>
      </c>
      <c r="P616" s="755">
        <v>1</v>
      </c>
      <c r="Q616" s="755">
        <f t="shared" si="262"/>
        <v>0</v>
      </c>
      <c r="R616" s="341">
        <v>1</v>
      </c>
      <c r="S616" s="318">
        <f t="shared" si="268"/>
        <v>4.49</v>
      </c>
      <c r="T616" s="319"/>
      <c r="V616" s="328">
        <f t="shared" si="269"/>
        <v>4.49</v>
      </c>
      <c r="W616" s="320">
        <v>1</v>
      </c>
      <c r="X616" s="328">
        <f t="shared" si="264"/>
        <v>4.49</v>
      </c>
      <c r="Y616" s="464">
        <v>1</v>
      </c>
      <c r="Z616" s="328">
        <f t="shared" si="265"/>
        <v>4.49</v>
      </c>
      <c r="AB616" s="458">
        <f t="shared" si="266"/>
        <v>0</v>
      </c>
      <c r="AC616" s="348">
        <f t="shared" si="267"/>
        <v>0</v>
      </c>
    </row>
    <row r="617" spans="1:29">
      <c r="A617" s="318"/>
      <c r="B617" s="319"/>
      <c r="C617" s="318"/>
      <c r="D617" s="318"/>
      <c r="E617" s="319"/>
      <c r="F617" s="319"/>
      <c r="G617" s="318" t="s">
        <v>1964</v>
      </c>
      <c r="H617" s="328">
        <v>4.49</v>
      </c>
      <c r="I617" s="318">
        <v>1</v>
      </c>
      <c r="J617" s="318">
        <f t="shared" si="259"/>
        <v>1</v>
      </c>
      <c r="K617" s="328">
        <f t="shared" si="260"/>
        <v>4.49</v>
      </c>
      <c r="L617" s="318">
        <v>1303</v>
      </c>
      <c r="M617" s="318" t="s">
        <v>172</v>
      </c>
      <c r="N617" s="318">
        <v>1</v>
      </c>
      <c r="O617" s="621">
        <f t="shared" si="261"/>
        <v>4.49</v>
      </c>
      <c r="P617" s="755">
        <v>1</v>
      </c>
      <c r="Q617" s="755">
        <f t="shared" si="262"/>
        <v>0</v>
      </c>
      <c r="R617" s="341">
        <v>1</v>
      </c>
      <c r="S617" s="318">
        <f t="shared" si="268"/>
        <v>4.49</v>
      </c>
      <c r="T617" s="319"/>
      <c r="V617" s="328">
        <f t="shared" si="269"/>
        <v>4.49</v>
      </c>
      <c r="W617" s="320">
        <v>1</v>
      </c>
      <c r="X617" s="328">
        <f t="shared" si="264"/>
        <v>4.49</v>
      </c>
      <c r="Y617" s="464">
        <v>1</v>
      </c>
      <c r="Z617" s="328">
        <f t="shared" si="265"/>
        <v>4.49</v>
      </c>
      <c r="AB617" s="458">
        <f t="shared" si="266"/>
        <v>0</v>
      </c>
      <c r="AC617" s="348">
        <f t="shared" si="267"/>
        <v>0</v>
      </c>
    </row>
    <row r="618" spans="1:29">
      <c r="A618" s="318"/>
      <c r="B618" s="319"/>
      <c r="C618" s="318"/>
      <c r="D618" s="318"/>
      <c r="E618" s="319"/>
      <c r="F618" s="319"/>
      <c r="G618" s="318" t="s">
        <v>1965</v>
      </c>
      <c r="H618" s="328">
        <v>4.49</v>
      </c>
      <c r="I618" s="318">
        <v>1</v>
      </c>
      <c r="J618" s="318">
        <f t="shared" si="259"/>
        <v>1</v>
      </c>
      <c r="K618" s="328">
        <f t="shared" si="260"/>
        <v>4.49</v>
      </c>
      <c r="L618" s="318">
        <v>1304</v>
      </c>
      <c r="M618" s="318" t="s">
        <v>172</v>
      </c>
      <c r="N618" s="318">
        <v>1</v>
      </c>
      <c r="O618" s="621">
        <f t="shared" si="261"/>
        <v>4.49</v>
      </c>
      <c r="P618" s="755">
        <v>1</v>
      </c>
      <c r="Q618" s="755">
        <f t="shared" si="262"/>
        <v>0</v>
      </c>
      <c r="R618" s="341">
        <v>1</v>
      </c>
      <c r="S618" s="318">
        <f t="shared" si="268"/>
        <v>4.49</v>
      </c>
      <c r="T618" s="319"/>
      <c r="V618" s="328">
        <f t="shared" si="269"/>
        <v>4.49</v>
      </c>
      <c r="W618" s="320">
        <v>1</v>
      </c>
      <c r="X618" s="328">
        <f t="shared" si="264"/>
        <v>4.49</v>
      </c>
      <c r="Y618" s="464">
        <v>1</v>
      </c>
      <c r="Z618" s="328">
        <f t="shared" si="265"/>
        <v>4.49</v>
      </c>
      <c r="AB618" s="458">
        <f t="shared" si="266"/>
        <v>0</v>
      </c>
      <c r="AC618" s="348">
        <f t="shared" si="267"/>
        <v>0</v>
      </c>
    </row>
    <row r="619" spans="1:29">
      <c r="A619" s="318"/>
      <c r="B619" s="319"/>
      <c r="C619" s="318"/>
      <c r="D619" s="318"/>
      <c r="E619" s="319"/>
      <c r="F619" s="319"/>
      <c r="G619" s="318" t="s">
        <v>1966</v>
      </c>
      <c r="H619" s="328">
        <v>4.49</v>
      </c>
      <c r="I619" s="318">
        <v>1</v>
      </c>
      <c r="J619" s="318">
        <f t="shared" si="259"/>
        <v>1</v>
      </c>
      <c r="K619" s="328">
        <f t="shared" si="260"/>
        <v>4.49</v>
      </c>
      <c r="L619" s="318" t="s">
        <v>238</v>
      </c>
      <c r="M619" s="318" t="s">
        <v>239</v>
      </c>
      <c r="N619" s="318">
        <v>1</v>
      </c>
      <c r="O619" s="621">
        <f t="shared" si="261"/>
        <v>4.49</v>
      </c>
      <c r="P619" s="755">
        <v>1</v>
      </c>
      <c r="Q619" s="755">
        <f t="shared" si="262"/>
        <v>0</v>
      </c>
      <c r="R619" s="341">
        <v>1</v>
      </c>
      <c r="S619" s="318">
        <f t="shared" si="268"/>
        <v>4.49</v>
      </c>
      <c r="T619" s="319"/>
      <c r="V619" s="328">
        <v>3.44</v>
      </c>
      <c r="W619" s="320"/>
      <c r="X619" s="457">
        <f t="shared" si="264"/>
        <v>0</v>
      </c>
      <c r="Y619" s="464"/>
      <c r="Z619" s="457">
        <f t="shared" si="265"/>
        <v>0</v>
      </c>
      <c r="AB619" s="458">
        <f t="shared" si="266"/>
        <v>-4.49</v>
      </c>
      <c r="AC619" s="455">
        <f t="shared" si="267"/>
        <v>-4.49</v>
      </c>
    </row>
    <row r="620" spans="1:29">
      <c r="A620" s="318"/>
      <c r="B620" s="319"/>
      <c r="C620" s="318"/>
      <c r="D620" s="318"/>
      <c r="E620" s="319"/>
      <c r="F620" s="319"/>
      <c r="G620" s="318" t="s">
        <v>1967</v>
      </c>
      <c r="H620" s="328">
        <v>3.45</v>
      </c>
      <c r="I620" s="318">
        <v>1</v>
      </c>
      <c r="J620" s="318">
        <f t="shared" si="259"/>
        <v>1</v>
      </c>
      <c r="K620" s="328">
        <f t="shared" si="260"/>
        <v>3.45</v>
      </c>
      <c r="L620" s="318">
        <v>1758</v>
      </c>
      <c r="M620" s="318">
        <v>161</v>
      </c>
      <c r="N620" s="318">
        <v>1</v>
      </c>
      <c r="O620" s="621">
        <f t="shared" si="261"/>
        <v>3.45</v>
      </c>
      <c r="P620" s="755">
        <v>1</v>
      </c>
      <c r="Q620" s="755">
        <f t="shared" si="262"/>
        <v>0</v>
      </c>
      <c r="R620" s="341">
        <v>1</v>
      </c>
      <c r="S620" s="318">
        <f t="shared" si="268"/>
        <v>3.45</v>
      </c>
      <c r="T620" s="319"/>
      <c r="V620" s="328">
        <v>3.2559999999999998</v>
      </c>
      <c r="W620" s="320"/>
      <c r="X620" s="457">
        <f t="shared" si="264"/>
        <v>0</v>
      </c>
      <c r="Y620" s="464"/>
      <c r="Z620" s="457">
        <f t="shared" si="265"/>
        <v>0</v>
      </c>
      <c r="AB620" s="458">
        <f t="shared" si="266"/>
        <v>-3.45</v>
      </c>
      <c r="AC620" s="455">
        <f t="shared" si="267"/>
        <v>-3.45</v>
      </c>
    </row>
    <row r="621" spans="1:29">
      <c r="A621" s="318"/>
      <c r="B621" s="319"/>
      <c r="C621" s="318"/>
      <c r="D621" s="318"/>
      <c r="E621" s="319"/>
      <c r="F621" s="336"/>
      <c r="G621" s="318" t="s">
        <v>1968</v>
      </c>
      <c r="H621" s="328">
        <v>3.27</v>
      </c>
      <c r="I621" s="318">
        <v>1</v>
      </c>
      <c r="J621" s="318">
        <f t="shared" si="259"/>
        <v>1</v>
      </c>
      <c r="K621" s="328">
        <f t="shared" si="260"/>
        <v>3.27</v>
      </c>
      <c r="L621" s="350" t="s">
        <v>2592</v>
      </c>
      <c r="M621" s="349">
        <v>161164</v>
      </c>
      <c r="N621" s="318">
        <v>1</v>
      </c>
      <c r="O621" s="621">
        <f t="shared" si="261"/>
        <v>3.27</v>
      </c>
      <c r="P621" s="755">
        <v>1</v>
      </c>
      <c r="Q621" s="755">
        <f t="shared" si="262"/>
        <v>0</v>
      </c>
      <c r="R621" s="341">
        <v>1</v>
      </c>
      <c r="S621" s="318">
        <f t="shared" si="268"/>
        <v>3.27</v>
      </c>
      <c r="T621" s="319"/>
      <c r="V621" s="328">
        <f>3.256+0.499</f>
        <v>3.7549999999999999</v>
      </c>
      <c r="W621" s="458">
        <f>1/3</f>
        <v>0.33333333333333331</v>
      </c>
      <c r="X621" s="457">
        <f t="shared" si="264"/>
        <v>1.2516666666666665</v>
      </c>
      <c r="Y621" s="464"/>
      <c r="Z621" s="328">
        <f t="shared" si="265"/>
        <v>0</v>
      </c>
      <c r="AB621" s="458">
        <f t="shared" si="266"/>
        <v>-2.0183333333333335</v>
      </c>
      <c r="AC621" s="348">
        <f t="shared" si="267"/>
        <v>-3.27</v>
      </c>
    </row>
    <row r="622" spans="1:29">
      <c r="A622" s="318"/>
      <c r="B622" s="319"/>
      <c r="C622" s="318"/>
      <c r="D622" s="318"/>
      <c r="E622" s="319"/>
      <c r="F622" s="336"/>
      <c r="G622" s="318" t="s">
        <v>1969</v>
      </c>
      <c r="H622" s="328">
        <v>3.77</v>
      </c>
      <c r="I622" s="318">
        <v>1</v>
      </c>
      <c r="J622" s="318">
        <f t="shared" si="259"/>
        <v>1</v>
      </c>
      <c r="K622" s="328">
        <f t="shared" si="260"/>
        <v>3.77</v>
      </c>
      <c r="L622" s="350" t="s">
        <v>2593</v>
      </c>
      <c r="M622" s="349">
        <v>162164</v>
      </c>
      <c r="N622" s="318">
        <v>1</v>
      </c>
      <c r="O622" s="621">
        <f t="shared" si="261"/>
        <v>3.77</v>
      </c>
      <c r="P622" s="755">
        <v>1</v>
      </c>
      <c r="Q622" s="755">
        <f t="shared" si="262"/>
        <v>0</v>
      </c>
      <c r="R622" s="341">
        <v>1</v>
      </c>
      <c r="S622" s="318">
        <f t="shared" si="268"/>
        <v>3.77</v>
      </c>
      <c r="T622" s="319"/>
      <c r="V622" s="328">
        <v>3.91</v>
      </c>
      <c r="W622" s="458">
        <f>1/3</f>
        <v>0.33333333333333331</v>
      </c>
      <c r="X622" s="457">
        <f t="shared" si="264"/>
        <v>1.3033333333333332</v>
      </c>
      <c r="Y622" s="464"/>
      <c r="Z622" s="328">
        <f t="shared" si="265"/>
        <v>0</v>
      </c>
      <c r="AB622" s="458">
        <f t="shared" si="266"/>
        <v>-2.4666666666666668</v>
      </c>
      <c r="AC622" s="348">
        <f t="shared" si="267"/>
        <v>-3.77</v>
      </c>
    </row>
    <row r="623" spans="1:29">
      <c r="A623" s="318"/>
      <c r="B623" s="319"/>
      <c r="C623" s="318"/>
      <c r="D623" s="318"/>
      <c r="E623" s="319"/>
      <c r="F623" s="319"/>
      <c r="G623" s="318" t="s">
        <v>1970</v>
      </c>
      <c r="H623" s="328">
        <v>3.92</v>
      </c>
      <c r="I623" s="318">
        <v>1</v>
      </c>
      <c r="J623" s="318">
        <f t="shared" si="259"/>
        <v>1</v>
      </c>
      <c r="K623" s="328">
        <f t="shared" si="260"/>
        <v>3.92</v>
      </c>
      <c r="L623" s="318" t="s">
        <v>238</v>
      </c>
      <c r="M623" s="318" t="s">
        <v>239</v>
      </c>
      <c r="N623" s="318">
        <v>1</v>
      </c>
      <c r="O623" s="621">
        <f t="shared" si="261"/>
        <v>3.92</v>
      </c>
      <c r="P623" s="755">
        <v>1</v>
      </c>
      <c r="Q623" s="755">
        <f t="shared" si="262"/>
        <v>0</v>
      </c>
      <c r="R623" s="341">
        <v>1</v>
      </c>
      <c r="S623" s="318">
        <f t="shared" si="268"/>
        <v>3.92</v>
      </c>
      <c r="T623" s="319"/>
      <c r="V623" s="328">
        <v>3.91</v>
      </c>
      <c r="W623" s="320">
        <v>1</v>
      </c>
      <c r="X623" s="328">
        <f t="shared" si="264"/>
        <v>3.91</v>
      </c>
      <c r="Y623" s="464">
        <v>1</v>
      </c>
      <c r="Z623" s="328">
        <f t="shared" si="265"/>
        <v>3.91</v>
      </c>
      <c r="AB623" s="458">
        <f t="shared" si="266"/>
        <v>-9.9999999999997868E-3</v>
      </c>
      <c r="AC623" s="348">
        <f t="shared" si="267"/>
        <v>-9.9999999999997868E-3</v>
      </c>
    </row>
    <row r="624" spans="1:29">
      <c r="A624" s="318"/>
      <c r="B624" s="319"/>
      <c r="C624" s="318"/>
      <c r="D624" s="318"/>
      <c r="E624" s="319"/>
      <c r="F624" s="319"/>
      <c r="G624" s="318" t="s">
        <v>1971</v>
      </c>
      <c r="H624" s="328">
        <v>3.92</v>
      </c>
      <c r="I624" s="318">
        <v>1</v>
      </c>
      <c r="J624" s="318">
        <f t="shared" si="259"/>
        <v>1</v>
      </c>
      <c r="K624" s="328">
        <f t="shared" si="260"/>
        <v>3.92</v>
      </c>
      <c r="L624" s="318">
        <v>1315</v>
      </c>
      <c r="M624" s="318" t="s">
        <v>240</v>
      </c>
      <c r="N624" s="318">
        <v>1</v>
      </c>
      <c r="O624" s="621">
        <f t="shared" si="261"/>
        <v>3.92</v>
      </c>
      <c r="P624" s="755">
        <v>1</v>
      </c>
      <c r="Q624" s="755">
        <f t="shared" si="262"/>
        <v>0</v>
      </c>
      <c r="R624" s="341">
        <v>1</v>
      </c>
      <c r="S624" s="318">
        <f t="shared" si="268"/>
        <v>3.92</v>
      </c>
      <c r="T624" s="319"/>
      <c r="V624" s="328">
        <v>3.91</v>
      </c>
      <c r="W624" s="320">
        <v>1</v>
      </c>
      <c r="X624" s="328">
        <f t="shared" si="264"/>
        <v>3.91</v>
      </c>
      <c r="Y624" s="464">
        <v>1</v>
      </c>
      <c r="Z624" s="328">
        <f t="shared" si="265"/>
        <v>3.91</v>
      </c>
      <c r="AB624" s="458">
        <f t="shared" si="266"/>
        <v>-9.9999999999997868E-3</v>
      </c>
      <c r="AC624" s="348">
        <f t="shared" si="267"/>
        <v>-9.9999999999997868E-3</v>
      </c>
    </row>
    <row r="625" spans="1:29">
      <c r="A625" s="318"/>
      <c r="B625" s="319"/>
      <c r="C625" s="318"/>
      <c r="D625" s="318"/>
      <c r="E625" s="319"/>
      <c r="F625" s="319"/>
      <c r="G625" s="318" t="s">
        <v>1972</v>
      </c>
      <c r="H625" s="328">
        <v>3.92</v>
      </c>
      <c r="I625" s="318">
        <v>1</v>
      </c>
      <c r="J625" s="318">
        <f t="shared" si="259"/>
        <v>1</v>
      </c>
      <c r="K625" s="328">
        <f t="shared" si="260"/>
        <v>3.92</v>
      </c>
      <c r="L625" s="318">
        <v>1315</v>
      </c>
      <c r="M625" s="318" t="s">
        <v>240</v>
      </c>
      <c r="N625" s="318">
        <v>1</v>
      </c>
      <c r="O625" s="621">
        <f t="shared" si="261"/>
        <v>3.92</v>
      </c>
      <c r="P625" s="755">
        <v>1</v>
      </c>
      <c r="Q625" s="755">
        <f t="shared" si="262"/>
        <v>0</v>
      </c>
      <c r="R625" s="341">
        <v>1</v>
      </c>
      <c r="S625" s="318">
        <f t="shared" si="268"/>
        <v>3.92</v>
      </c>
      <c r="T625" s="389"/>
      <c r="V625" s="328">
        <v>3.91</v>
      </c>
      <c r="W625" s="320">
        <v>1</v>
      </c>
      <c r="X625" s="328">
        <f t="shared" si="264"/>
        <v>3.91</v>
      </c>
      <c r="Y625" s="464">
        <v>1</v>
      </c>
      <c r="Z625" s="328">
        <f t="shared" si="265"/>
        <v>3.91</v>
      </c>
      <c r="AB625" s="458">
        <f t="shared" si="266"/>
        <v>-9.9999999999997868E-3</v>
      </c>
      <c r="AC625" s="348">
        <f t="shared" si="267"/>
        <v>-9.9999999999997868E-3</v>
      </c>
    </row>
    <row r="626" spans="1:29">
      <c r="A626" s="318"/>
      <c r="B626" s="319"/>
      <c r="C626" s="318"/>
      <c r="D626" s="318"/>
      <c r="E626" s="319"/>
      <c r="F626" s="319"/>
      <c r="G626" s="318" t="s">
        <v>1973</v>
      </c>
      <c r="H626" s="328">
        <v>3.92</v>
      </c>
      <c r="I626" s="318">
        <v>1</v>
      </c>
      <c r="J626" s="318">
        <f t="shared" si="259"/>
        <v>1</v>
      </c>
      <c r="K626" s="328">
        <f t="shared" si="260"/>
        <v>3.92</v>
      </c>
      <c r="L626" s="318">
        <v>1315</v>
      </c>
      <c r="M626" s="318" t="s">
        <v>240</v>
      </c>
      <c r="N626" s="318">
        <v>1</v>
      </c>
      <c r="O626" s="621">
        <f t="shared" si="261"/>
        <v>3.92</v>
      </c>
      <c r="P626" s="755">
        <v>1</v>
      </c>
      <c r="Q626" s="755">
        <f t="shared" si="262"/>
        <v>0</v>
      </c>
      <c r="R626" s="341">
        <v>1</v>
      </c>
      <c r="S626" s="318">
        <f t="shared" si="268"/>
        <v>3.92</v>
      </c>
      <c r="T626" s="389"/>
      <c r="V626" s="328">
        <f>3.256+0.499</f>
        <v>3.7549999999999999</v>
      </c>
      <c r="W626" s="320">
        <v>1</v>
      </c>
      <c r="X626" s="328">
        <f t="shared" si="264"/>
        <v>3.7549999999999999</v>
      </c>
      <c r="Y626" s="464">
        <v>1</v>
      </c>
      <c r="Z626" s="328">
        <f t="shared" si="265"/>
        <v>3.7549999999999999</v>
      </c>
      <c r="AB626" s="458">
        <f t="shared" si="266"/>
        <v>-0.16500000000000004</v>
      </c>
      <c r="AC626" s="348">
        <f t="shared" si="267"/>
        <v>-0.16500000000000004</v>
      </c>
    </row>
    <row r="627" spans="1:29">
      <c r="A627" s="318"/>
      <c r="B627" s="319"/>
      <c r="C627" s="318"/>
      <c r="D627" s="318"/>
      <c r="E627" s="319"/>
      <c r="F627" s="336"/>
      <c r="G627" s="318" t="s">
        <v>1974</v>
      </c>
      <c r="H627" s="328">
        <v>3.77</v>
      </c>
      <c r="I627" s="318">
        <v>1</v>
      </c>
      <c r="J627" s="318">
        <f t="shared" si="259"/>
        <v>1</v>
      </c>
      <c r="K627" s="328">
        <f t="shared" si="260"/>
        <v>3.77</v>
      </c>
      <c r="L627" s="352" t="s">
        <v>2594</v>
      </c>
      <c r="M627" s="350" t="s">
        <v>2595</v>
      </c>
      <c r="N627" s="318">
        <v>1</v>
      </c>
      <c r="O627" s="621">
        <f t="shared" si="261"/>
        <v>3.77</v>
      </c>
      <c r="P627" s="755">
        <v>1</v>
      </c>
      <c r="Q627" s="755">
        <f t="shared" si="262"/>
        <v>0</v>
      </c>
      <c r="R627" s="341">
        <v>1</v>
      </c>
      <c r="S627" s="318">
        <f t="shared" si="268"/>
        <v>3.77</v>
      </c>
      <c r="T627" s="389"/>
      <c r="V627" s="328">
        <v>3.2559999999999998</v>
      </c>
      <c r="W627" s="458">
        <f>1/3</f>
        <v>0.33333333333333331</v>
      </c>
      <c r="X627" s="457">
        <f t="shared" si="264"/>
        <v>1.0853333333333333</v>
      </c>
      <c r="Y627" s="464"/>
      <c r="Z627" s="328">
        <f t="shared" si="265"/>
        <v>0</v>
      </c>
      <c r="AB627" s="458">
        <f t="shared" si="266"/>
        <v>-2.6846666666666668</v>
      </c>
      <c r="AC627" s="348">
        <f t="shared" si="267"/>
        <v>-3.77</v>
      </c>
    </row>
    <row r="628" spans="1:29">
      <c r="A628" s="318"/>
      <c r="B628" s="319"/>
      <c r="C628" s="318"/>
      <c r="D628" s="318"/>
      <c r="E628" s="319"/>
      <c r="F628" s="336"/>
      <c r="G628" s="318" t="s">
        <v>1975</v>
      </c>
      <c r="H628" s="328">
        <v>3.27</v>
      </c>
      <c r="I628" s="318">
        <v>1</v>
      </c>
      <c r="J628" s="318">
        <f t="shared" si="259"/>
        <v>1</v>
      </c>
      <c r="K628" s="328">
        <f t="shared" si="260"/>
        <v>3.27</v>
      </c>
      <c r="L628" s="352" t="s">
        <v>2594</v>
      </c>
      <c r="M628" s="350" t="s">
        <v>2595</v>
      </c>
      <c r="N628" s="318">
        <v>1</v>
      </c>
      <c r="O628" s="621">
        <f t="shared" si="261"/>
        <v>3.27</v>
      </c>
      <c r="P628" s="755">
        <v>1</v>
      </c>
      <c r="Q628" s="755">
        <f t="shared" si="262"/>
        <v>0</v>
      </c>
      <c r="R628" s="341">
        <v>1</v>
      </c>
      <c r="S628" s="318">
        <f t="shared" si="268"/>
        <v>3.27</v>
      </c>
      <c r="T628" s="389"/>
      <c r="V628" s="328">
        <v>3.44</v>
      </c>
      <c r="W628" s="458">
        <f>1/3</f>
        <v>0.33333333333333331</v>
      </c>
      <c r="X628" s="457">
        <f t="shared" si="264"/>
        <v>1.1466666666666665</v>
      </c>
      <c r="Y628" s="464"/>
      <c r="Z628" s="328">
        <f t="shared" si="265"/>
        <v>0</v>
      </c>
      <c r="AB628" s="458">
        <f t="shared" si="266"/>
        <v>-2.1233333333333335</v>
      </c>
      <c r="AC628" s="348">
        <f t="shared" si="267"/>
        <v>-3.27</v>
      </c>
    </row>
    <row r="629" spans="1:29">
      <c r="A629" s="318"/>
      <c r="B629" s="319"/>
      <c r="C629" s="318"/>
      <c r="D629" s="318"/>
      <c r="E629" s="319"/>
      <c r="F629" s="336"/>
      <c r="G629" s="318" t="s">
        <v>1976</v>
      </c>
      <c r="H629" s="328">
        <v>3.45</v>
      </c>
      <c r="I629" s="318">
        <v>1</v>
      </c>
      <c r="J629" s="318">
        <f t="shared" si="259"/>
        <v>1</v>
      </c>
      <c r="K629" s="328">
        <f t="shared" si="260"/>
        <v>3.45</v>
      </c>
      <c r="L629" s="318"/>
      <c r="M629" s="318"/>
      <c r="N629" s="318">
        <v>1</v>
      </c>
      <c r="O629" s="621">
        <f t="shared" si="261"/>
        <v>3.45</v>
      </c>
      <c r="P629" s="755">
        <v>1</v>
      </c>
      <c r="Q629" s="755">
        <f t="shared" si="262"/>
        <v>0</v>
      </c>
      <c r="R629" s="341">
        <v>1</v>
      </c>
      <c r="S629" s="318">
        <f t="shared" si="268"/>
        <v>3.45</v>
      </c>
      <c r="T629" s="389"/>
      <c r="V629" s="328">
        <f t="shared" ref="V629:V643" si="270">4.49</f>
        <v>4.49</v>
      </c>
      <c r="W629" s="320"/>
      <c r="X629" s="457">
        <f t="shared" si="264"/>
        <v>0</v>
      </c>
      <c r="Y629" s="320"/>
      <c r="Z629" s="457">
        <f t="shared" si="265"/>
        <v>0</v>
      </c>
      <c r="AB629" s="458">
        <f t="shared" si="266"/>
        <v>-3.45</v>
      </c>
      <c r="AC629" s="455">
        <f t="shared" si="267"/>
        <v>-3.45</v>
      </c>
    </row>
    <row r="630" spans="1:29">
      <c r="A630" s="318"/>
      <c r="B630" s="319"/>
      <c r="C630" s="318"/>
      <c r="D630" s="318"/>
      <c r="E630" s="319"/>
      <c r="F630" s="336" t="s">
        <v>1863</v>
      </c>
      <c r="G630" s="318" t="s">
        <v>1977</v>
      </c>
      <c r="H630" s="328">
        <v>4.72</v>
      </c>
      <c r="I630" s="318">
        <v>1</v>
      </c>
      <c r="J630" s="318">
        <v>1</v>
      </c>
      <c r="K630" s="328">
        <f t="shared" si="260"/>
        <v>4.72</v>
      </c>
      <c r="L630" s="350" t="s">
        <v>3191</v>
      </c>
      <c r="M630" s="318"/>
      <c r="N630" s="318">
        <v>1</v>
      </c>
      <c r="O630" s="621">
        <f t="shared" si="261"/>
        <v>4.72</v>
      </c>
      <c r="P630" s="755">
        <v>1</v>
      </c>
      <c r="Q630" s="755">
        <f t="shared" si="262"/>
        <v>0</v>
      </c>
      <c r="R630" s="341">
        <v>1</v>
      </c>
      <c r="S630" s="318">
        <f t="shared" si="268"/>
        <v>4.72</v>
      </c>
      <c r="T630" s="389" t="s">
        <v>3455</v>
      </c>
      <c r="V630" s="328">
        <f t="shared" si="270"/>
        <v>4.49</v>
      </c>
      <c r="W630" s="320"/>
      <c r="X630" s="328">
        <f t="shared" si="264"/>
        <v>0</v>
      </c>
      <c r="Y630" s="320"/>
      <c r="Z630" s="328">
        <f t="shared" si="265"/>
        <v>0</v>
      </c>
      <c r="AB630" s="458">
        <f t="shared" si="266"/>
        <v>-4.72</v>
      </c>
      <c r="AC630" s="348">
        <f t="shared" si="267"/>
        <v>-4.72</v>
      </c>
    </row>
    <row r="631" spans="1:29">
      <c r="A631" s="584"/>
      <c r="B631" s="585"/>
      <c r="C631" s="584"/>
      <c r="D631" s="584"/>
      <c r="E631" s="585"/>
      <c r="F631" s="589"/>
      <c r="G631" s="584" t="s">
        <v>438</v>
      </c>
      <c r="H631" s="587"/>
      <c r="I631" s="584"/>
      <c r="J631" s="584"/>
      <c r="K631" s="584"/>
      <c r="L631" s="584"/>
      <c r="M631" s="584"/>
      <c r="N631" s="584"/>
      <c r="O631" s="634" t="s">
        <v>2321</v>
      </c>
      <c r="P631" s="766"/>
      <c r="Q631" s="766"/>
      <c r="R631" s="590"/>
      <c r="S631" s="588" t="s">
        <v>2321</v>
      </c>
      <c r="T631" s="1035" t="s">
        <v>1456</v>
      </c>
      <c r="V631" s="328"/>
      <c r="W631" s="318"/>
      <c r="X631" s="387" t="s">
        <v>2321</v>
      </c>
      <c r="Y631" s="318"/>
      <c r="Z631" s="387" t="s">
        <v>2321</v>
      </c>
      <c r="AB631" s="348"/>
      <c r="AC631" s="384"/>
    </row>
    <row r="632" spans="1:29">
      <c r="A632" s="584"/>
      <c r="B632" s="585"/>
      <c r="C632" s="584"/>
      <c r="D632" s="584"/>
      <c r="E632" s="585"/>
      <c r="F632" s="585"/>
      <c r="G632" s="584" t="s">
        <v>439</v>
      </c>
      <c r="H632" s="587"/>
      <c r="I632" s="584"/>
      <c r="J632" s="584"/>
      <c r="K632" s="584"/>
      <c r="L632" s="584"/>
      <c r="M632" s="584"/>
      <c r="N632" s="584"/>
      <c r="O632" s="634" t="s">
        <v>2321</v>
      </c>
      <c r="P632" s="766"/>
      <c r="Q632" s="766"/>
      <c r="R632" s="590"/>
      <c r="S632" s="588" t="s">
        <v>2321</v>
      </c>
      <c r="T632" s="1035"/>
      <c r="V632" s="328"/>
      <c r="W632" s="318"/>
      <c r="X632" s="387" t="s">
        <v>2321</v>
      </c>
      <c r="Y632" s="318"/>
      <c r="Z632" s="387" t="s">
        <v>2321</v>
      </c>
      <c r="AB632" s="348"/>
      <c r="AC632" s="384"/>
    </row>
    <row r="633" spans="1:29">
      <c r="A633" s="584"/>
      <c r="B633" s="585"/>
      <c r="C633" s="584"/>
      <c r="D633" s="584"/>
      <c r="E633" s="585"/>
      <c r="F633" s="585"/>
      <c r="G633" s="584" t="s">
        <v>440</v>
      </c>
      <c r="H633" s="587"/>
      <c r="I633" s="584"/>
      <c r="J633" s="584"/>
      <c r="K633" s="584"/>
      <c r="L633" s="584"/>
      <c r="M633" s="584"/>
      <c r="N633" s="584"/>
      <c r="O633" s="634" t="s">
        <v>2321</v>
      </c>
      <c r="P633" s="766"/>
      <c r="Q633" s="766"/>
      <c r="R633" s="590"/>
      <c r="S633" s="588" t="s">
        <v>2321</v>
      </c>
      <c r="T633" s="1035"/>
      <c r="V633" s="328"/>
      <c r="W633" s="318"/>
      <c r="X633" s="387" t="s">
        <v>2321</v>
      </c>
      <c r="Y633" s="318"/>
      <c r="Z633" s="387" t="s">
        <v>2321</v>
      </c>
      <c r="AB633" s="348"/>
      <c r="AC633" s="384"/>
    </row>
    <row r="634" spans="1:29" ht="14.4" customHeight="1">
      <c r="A634" s="584"/>
      <c r="B634" s="585"/>
      <c r="C634" s="584"/>
      <c r="D634" s="584"/>
      <c r="E634" s="585"/>
      <c r="F634" s="589"/>
      <c r="G634" s="584" t="s">
        <v>441</v>
      </c>
      <c r="H634" s="587"/>
      <c r="I634" s="584"/>
      <c r="J634" s="584"/>
      <c r="K634" s="584"/>
      <c r="L634" s="584"/>
      <c r="M634" s="584"/>
      <c r="N634" s="584"/>
      <c r="O634" s="634" t="s">
        <v>2321</v>
      </c>
      <c r="P634" s="766"/>
      <c r="Q634" s="766"/>
      <c r="R634" s="590"/>
      <c r="S634" s="588" t="s">
        <v>2321</v>
      </c>
      <c r="T634" s="1035"/>
      <c r="V634" s="328"/>
      <c r="W634" s="318"/>
      <c r="X634" s="387" t="s">
        <v>2321</v>
      </c>
      <c r="Y634" s="318"/>
      <c r="Z634" s="387" t="s">
        <v>2321</v>
      </c>
      <c r="AB634" s="348"/>
      <c r="AC634" s="384"/>
    </row>
    <row r="635" spans="1:29">
      <c r="A635" s="318"/>
      <c r="B635" s="319"/>
      <c r="C635" s="318"/>
      <c r="D635" s="318"/>
      <c r="E635" s="319"/>
      <c r="F635" s="336" t="s">
        <v>1863</v>
      </c>
      <c r="G635" s="318" t="s">
        <v>1978</v>
      </c>
      <c r="H635" s="328">
        <v>4.72</v>
      </c>
      <c r="I635" s="318">
        <v>1</v>
      </c>
      <c r="J635" s="318">
        <v>1</v>
      </c>
      <c r="K635" s="328">
        <f t="shared" ref="K635:K644" si="271">H635*J635</f>
        <v>4.72</v>
      </c>
      <c r="L635" s="350" t="s">
        <v>3189</v>
      </c>
      <c r="M635" s="318"/>
      <c r="N635" s="318">
        <v>1</v>
      </c>
      <c r="O635" s="621">
        <f t="shared" ref="O635:O644" si="272">H635*N635</f>
        <v>4.72</v>
      </c>
      <c r="P635" s="755">
        <v>1</v>
      </c>
      <c r="Q635" s="755">
        <f t="shared" ref="Q635:Q644" si="273">R635-P635</f>
        <v>0</v>
      </c>
      <c r="R635" s="341">
        <v>1</v>
      </c>
      <c r="S635" s="318">
        <f t="shared" ref="S635" si="274">H635*R635</f>
        <v>4.72</v>
      </c>
      <c r="T635" s="389" t="s">
        <v>3455</v>
      </c>
      <c r="V635" s="328">
        <f t="shared" si="270"/>
        <v>4.49</v>
      </c>
      <c r="W635" s="320"/>
      <c r="X635" s="328">
        <f t="shared" ref="X635:X644" si="275">V635*W635</f>
        <v>0</v>
      </c>
      <c r="Y635" s="464"/>
      <c r="Z635" s="328">
        <f t="shared" ref="Z635:Z644" si="276">V635*Y635</f>
        <v>0</v>
      </c>
      <c r="AB635" s="458">
        <f t="shared" ref="AB635:AB644" si="277">X635-O635</f>
        <v>-4.72</v>
      </c>
      <c r="AC635" s="348">
        <f t="shared" ref="AC635:AC644" si="278">Z635-S635</f>
        <v>-4.72</v>
      </c>
    </row>
    <row r="636" spans="1:29">
      <c r="A636" s="318"/>
      <c r="B636" s="319"/>
      <c r="C636" s="318"/>
      <c r="D636" s="318"/>
      <c r="E636" s="319"/>
      <c r="F636" s="336"/>
      <c r="G636" s="318" t="s">
        <v>1979</v>
      </c>
      <c r="H636" s="328">
        <v>4.49</v>
      </c>
      <c r="I636" s="318">
        <v>1</v>
      </c>
      <c r="J636" s="318">
        <f t="shared" ref="J636:J644" si="279">IF(N636&gt;0,1,0)</f>
        <v>1</v>
      </c>
      <c r="K636" s="328">
        <f t="shared" si="271"/>
        <v>4.49</v>
      </c>
      <c r="L636" s="318">
        <v>1322</v>
      </c>
      <c r="M636" s="318" t="s">
        <v>241</v>
      </c>
      <c r="N636" s="318">
        <v>1</v>
      </c>
      <c r="O636" s="621">
        <f t="shared" si="272"/>
        <v>4.49</v>
      </c>
      <c r="P636" s="755">
        <v>1</v>
      </c>
      <c r="Q636" s="755">
        <f t="shared" si="273"/>
        <v>0</v>
      </c>
      <c r="R636" s="341">
        <v>1</v>
      </c>
      <c r="S636" s="318">
        <f t="shared" ref="S636:S644" si="280">H636*R636</f>
        <v>4.49</v>
      </c>
      <c r="T636" s="388"/>
      <c r="V636" s="328">
        <f t="shared" si="270"/>
        <v>4.49</v>
      </c>
      <c r="W636" s="320">
        <v>1</v>
      </c>
      <c r="X636" s="328">
        <f t="shared" si="275"/>
        <v>4.49</v>
      </c>
      <c r="Y636" s="464">
        <v>1</v>
      </c>
      <c r="Z636" s="328">
        <f t="shared" si="276"/>
        <v>4.49</v>
      </c>
      <c r="AB636" s="458">
        <f t="shared" si="277"/>
        <v>0</v>
      </c>
      <c r="AC636" s="348">
        <f t="shared" si="278"/>
        <v>0</v>
      </c>
    </row>
    <row r="637" spans="1:29">
      <c r="A637" s="318"/>
      <c r="B637" s="319"/>
      <c r="C637" s="318"/>
      <c r="D637" s="318"/>
      <c r="E637" s="319"/>
      <c r="F637" s="336"/>
      <c r="G637" s="318" t="s">
        <v>1980</v>
      </c>
      <c r="H637" s="328">
        <v>4.49</v>
      </c>
      <c r="I637" s="318">
        <v>1</v>
      </c>
      <c r="J637" s="318">
        <f t="shared" si="279"/>
        <v>1</v>
      </c>
      <c r="K637" s="328">
        <f t="shared" si="271"/>
        <v>4.49</v>
      </c>
      <c r="L637" s="318"/>
      <c r="M637" s="318"/>
      <c r="N637" s="318">
        <v>1</v>
      </c>
      <c r="O637" s="621">
        <f t="shared" si="272"/>
        <v>4.49</v>
      </c>
      <c r="P637" s="755">
        <v>1</v>
      </c>
      <c r="Q637" s="755">
        <f t="shared" si="273"/>
        <v>0</v>
      </c>
      <c r="R637" s="341">
        <v>1</v>
      </c>
      <c r="S637" s="318">
        <f t="shared" si="280"/>
        <v>4.49</v>
      </c>
      <c r="T637" s="389"/>
      <c r="V637" s="328">
        <f t="shared" si="270"/>
        <v>4.49</v>
      </c>
      <c r="W637" s="320">
        <v>1</v>
      </c>
      <c r="X637" s="328">
        <f t="shared" si="275"/>
        <v>4.49</v>
      </c>
      <c r="Y637" s="464">
        <v>1</v>
      </c>
      <c r="Z637" s="328">
        <f t="shared" si="276"/>
        <v>4.49</v>
      </c>
      <c r="AB637" s="458">
        <f t="shared" si="277"/>
        <v>0</v>
      </c>
      <c r="AC637" s="348">
        <f t="shared" si="278"/>
        <v>0</v>
      </c>
    </row>
    <row r="638" spans="1:29">
      <c r="A638" s="318"/>
      <c r="B638" s="319"/>
      <c r="C638" s="318"/>
      <c r="D638" s="318"/>
      <c r="E638" s="319"/>
      <c r="F638" s="336"/>
      <c r="G638" s="318" t="s">
        <v>1981</v>
      </c>
      <c r="H638" s="328">
        <v>4.49</v>
      </c>
      <c r="I638" s="318">
        <v>1</v>
      </c>
      <c r="J638" s="318">
        <f t="shared" si="279"/>
        <v>1</v>
      </c>
      <c r="K638" s="328">
        <f t="shared" si="271"/>
        <v>4.49</v>
      </c>
      <c r="L638" s="350" t="s">
        <v>2798</v>
      </c>
      <c r="M638" s="318">
        <v>187</v>
      </c>
      <c r="N638" s="318">
        <v>1</v>
      </c>
      <c r="O638" s="621">
        <f t="shared" si="272"/>
        <v>4.49</v>
      </c>
      <c r="P638" s="755">
        <v>1</v>
      </c>
      <c r="Q638" s="755">
        <f t="shared" si="273"/>
        <v>0</v>
      </c>
      <c r="R638" s="341">
        <v>1</v>
      </c>
      <c r="S638" s="318">
        <f t="shared" si="280"/>
        <v>4.49</v>
      </c>
      <c r="T638" s="389"/>
      <c r="V638" s="328">
        <f t="shared" si="270"/>
        <v>4.49</v>
      </c>
      <c r="W638" s="320"/>
      <c r="X638" s="328">
        <f t="shared" si="275"/>
        <v>0</v>
      </c>
      <c r="Y638" s="464"/>
      <c r="Z638" s="328">
        <f t="shared" si="276"/>
        <v>0</v>
      </c>
      <c r="AB638" s="458">
        <f t="shared" si="277"/>
        <v>-4.49</v>
      </c>
      <c r="AC638" s="348">
        <f t="shared" si="278"/>
        <v>-4.49</v>
      </c>
    </row>
    <row r="639" spans="1:29">
      <c r="A639" s="318"/>
      <c r="B639" s="319"/>
      <c r="C639" s="318"/>
      <c r="D639" s="318"/>
      <c r="E639" s="319"/>
      <c r="F639" s="336"/>
      <c r="G639" s="318" t="s">
        <v>1982</v>
      </c>
      <c r="H639" s="328">
        <v>4.67</v>
      </c>
      <c r="I639" s="318">
        <v>1</v>
      </c>
      <c r="J639" s="318">
        <f t="shared" si="279"/>
        <v>1</v>
      </c>
      <c r="K639" s="328">
        <f t="shared" si="271"/>
        <v>4.67</v>
      </c>
      <c r="L639" s="350" t="s">
        <v>2730</v>
      </c>
      <c r="M639" s="350" t="s">
        <v>2870</v>
      </c>
      <c r="N639" s="318">
        <v>1</v>
      </c>
      <c r="O639" s="621">
        <f t="shared" si="272"/>
        <v>4.67</v>
      </c>
      <c r="P639" s="755">
        <v>1</v>
      </c>
      <c r="Q639" s="755">
        <f t="shared" si="273"/>
        <v>0</v>
      </c>
      <c r="R639" s="341">
        <v>1</v>
      </c>
      <c r="S639" s="318">
        <f t="shared" si="280"/>
        <v>4.67</v>
      </c>
      <c r="T639" s="389"/>
      <c r="V639" s="328">
        <f>1.8+2.83</f>
        <v>4.63</v>
      </c>
      <c r="W639" s="320">
        <v>1</v>
      </c>
      <c r="X639" s="328">
        <f t="shared" si="275"/>
        <v>4.63</v>
      </c>
      <c r="Y639" s="464"/>
      <c r="Z639" s="328">
        <f t="shared" si="276"/>
        <v>0</v>
      </c>
      <c r="AB639" s="458">
        <f t="shared" si="277"/>
        <v>-4.0000000000000036E-2</v>
      </c>
      <c r="AC639" s="348">
        <f t="shared" si="278"/>
        <v>-4.67</v>
      </c>
    </row>
    <row r="640" spans="1:29">
      <c r="A640" s="318"/>
      <c r="B640" s="319"/>
      <c r="C640" s="318"/>
      <c r="D640" s="318"/>
      <c r="E640" s="319"/>
      <c r="F640" s="336"/>
      <c r="G640" s="318" t="s">
        <v>1983</v>
      </c>
      <c r="H640" s="328">
        <v>4.49</v>
      </c>
      <c r="I640" s="318">
        <v>1</v>
      </c>
      <c r="J640" s="318">
        <f t="shared" si="279"/>
        <v>1</v>
      </c>
      <c r="K640" s="328">
        <f t="shared" si="271"/>
        <v>4.49</v>
      </c>
      <c r="L640" s="318"/>
      <c r="M640" s="318"/>
      <c r="N640" s="318">
        <v>1</v>
      </c>
      <c r="O640" s="621">
        <f t="shared" si="272"/>
        <v>4.49</v>
      </c>
      <c r="P640" s="755">
        <v>1</v>
      </c>
      <c r="Q640" s="755">
        <f t="shared" si="273"/>
        <v>0</v>
      </c>
      <c r="R640" s="341">
        <v>1</v>
      </c>
      <c r="S640" s="318">
        <f t="shared" si="280"/>
        <v>4.49</v>
      </c>
      <c r="T640" s="389"/>
      <c r="V640" s="328">
        <f t="shared" si="270"/>
        <v>4.49</v>
      </c>
      <c r="W640" s="320">
        <v>0.5</v>
      </c>
      <c r="X640" s="328">
        <f t="shared" si="275"/>
        <v>2.2450000000000001</v>
      </c>
      <c r="Y640" s="464"/>
      <c r="Z640" s="328">
        <f t="shared" si="276"/>
        <v>0</v>
      </c>
      <c r="AB640" s="458">
        <f t="shared" si="277"/>
        <v>-2.2450000000000001</v>
      </c>
      <c r="AC640" s="348">
        <f t="shared" si="278"/>
        <v>-4.49</v>
      </c>
    </row>
    <row r="641" spans="1:29">
      <c r="A641" s="318"/>
      <c r="B641" s="319"/>
      <c r="C641" s="318"/>
      <c r="D641" s="318"/>
      <c r="E641" s="319"/>
      <c r="F641" s="336"/>
      <c r="G641" s="318" t="s">
        <v>1984</v>
      </c>
      <c r="H641" s="328">
        <v>4.49</v>
      </c>
      <c r="I641" s="318">
        <v>1</v>
      </c>
      <c r="J641" s="318">
        <f t="shared" si="279"/>
        <v>1</v>
      </c>
      <c r="K641" s="328">
        <f t="shared" si="271"/>
        <v>4.49</v>
      </c>
      <c r="L641" s="318"/>
      <c r="M641" s="318"/>
      <c r="N641" s="318">
        <v>1</v>
      </c>
      <c r="O641" s="621">
        <f t="shared" si="272"/>
        <v>4.49</v>
      </c>
      <c r="P641" s="755">
        <v>1</v>
      </c>
      <c r="Q641" s="755">
        <f t="shared" si="273"/>
        <v>0</v>
      </c>
      <c r="R641" s="341">
        <v>1</v>
      </c>
      <c r="S641" s="318">
        <f t="shared" si="280"/>
        <v>4.49</v>
      </c>
      <c r="T641" s="389"/>
      <c r="V641" s="328">
        <f t="shared" si="270"/>
        <v>4.49</v>
      </c>
      <c r="W641" s="320">
        <v>1</v>
      </c>
      <c r="X641" s="328">
        <f t="shared" si="275"/>
        <v>4.49</v>
      </c>
      <c r="Y641" s="464"/>
      <c r="Z641" s="328">
        <f t="shared" si="276"/>
        <v>0</v>
      </c>
      <c r="AB641" s="458">
        <f t="shared" si="277"/>
        <v>0</v>
      </c>
      <c r="AC641" s="348">
        <f t="shared" si="278"/>
        <v>-4.49</v>
      </c>
    </row>
    <row r="642" spans="1:29">
      <c r="A642" s="318"/>
      <c r="B642" s="319"/>
      <c r="C642" s="318"/>
      <c r="D642" s="318"/>
      <c r="E642" s="319"/>
      <c r="F642" s="336"/>
      <c r="G642" s="318" t="s">
        <v>1985</v>
      </c>
      <c r="H642" s="328">
        <v>4.49</v>
      </c>
      <c r="I642" s="318">
        <v>1</v>
      </c>
      <c r="J642" s="318">
        <f t="shared" si="279"/>
        <v>1</v>
      </c>
      <c r="K642" s="328">
        <f t="shared" si="271"/>
        <v>4.49</v>
      </c>
      <c r="L642" s="318"/>
      <c r="M642" s="318"/>
      <c r="N642" s="318">
        <v>1</v>
      </c>
      <c r="O642" s="621">
        <f t="shared" si="272"/>
        <v>4.49</v>
      </c>
      <c r="P642" s="755">
        <v>1</v>
      </c>
      <c r="Q642" s="755">
        <f t="shared" si="273"/>
        <v>0</v>
      </c>
      <c r="R642" s="341">
        <v>1</v>
      </c>
      <c r="S642" s="318">
        <f t="shared" si="280"/>
        <v>4.49</v>
      </c>
      <c r="T642" s="389"/>
      <c r="V642" s="328">
        <f t="shared" si="270"/>
        <v>4.49</v>
      </c>
      <c r="W642" s="458">
        <f>1/3</f>
        <v>0.33333333333333331</v>
      </c>
      <c r="X642" s="328">
        <f t="shared" si="275"/>
        <v>1.4966666666666666</v>
      </c>
      <c r="Y642" s="464"/>
      <c r="Z642" s="328">
        <f t="shared" si="276"/>
        <v>0</v>
      </c>
      <c r="AB642" s="458">
        <f t="shared" si="277"/>
        <v>-2.9933333333333336</v>
      </c>
      <c r="AC642" s="348">
        <f t="shared" si="278"/>
        <v>-4.49</v>
      </c>
    </row>
    <row r="643" spans="1:29">
      <c r="A643" s="318"/>
      <c r="B643" s="319"/>
      <c r="C643" s="318"/>
      <c r="D643" s="318"/>
      <c r="E643" s="319"/>
      <c r="F643" s="336"/>
      <c r="G643" s="318" t="s">
        <v>1986</v>
      </c>
      <c r="H643" s="328">
        <v>4.49</v>
      </c>
      <c r="I643" s="318">
        <v>1</v>
      </c>
      <c r="J643" s="318">
        <f t="shared" si="279"/>
        <v>1</v>
      </c>
      <c r="K643" s="328">
        <f t="shared" si="271"/>
        <v>4.49</v>
      </c>
      <c r="L643" s="318"/>
      <c r="M643" s="318"/>
      <c r="N643" s="318">
        <v>1</v>
      </c>
      <c r="O643" s="621">
        <f t="shared" si="272"/>
        <v>4.49</v>
      </c>
      <c r="P643" s="755">
        <v>1</v>
      </c>
      <c r="Q643" s="755">
        <f t="shared" si="273"/>
        <v>0</v>
      </c>
      <c r="R643" s="341">
        <v>1</v>
      </c>
      <c r="S643" s="318">
        <f t="shared" si="280"/>
        <v>4.49</v>
      </c>
      <c r="T643" s="319"/>
      <c r="V643" s="328">
        <f t="shared" si="270"/>
        <v>4.49</v>
      </c>
      <c r="W643" s="320">
        <v>1</v>
      </c>
      <c r="X643" s="328">
        <f t="shared" si="275"/>
        <v>4.49</v>
      </c>
      <c r="Y643" s="464"/>
      <c r="Z643" s="328">
        <f t="shared" si="276"/>
        <v>0</v>
      </c>
      <c r="AB643" s="458">
        <f t="shared" si="277"/>
        <v>0</v>
      </c>
      <c r="AC643" s="348">
        <f t="shared" si="278"/>
        <v>-4.49</v>
      </c>
    </row>
    <row r="644" spans="1:29">
      <c r="A644" s="318"/>
      <c r="B644" s="319"/>
      <c r="C644" s="318"/>
      <c r="D644" s="318"/>
      <c r="E644" s="319"/>
      <c r="F644" s="336"/>
      <c r="G644" s="318" t="s">
        <v>1987</v>
      </c>
      <c r="H644" s="328">
        <v>4.67</v>
      </c>
      <c r="I644" s="318">
        <v>1</v>
      </c>
      <c r="J644" s="318">
        <f t="shared" si="279"/>
        <v>1</v>
      </c>
      <c r="K644" s="328">
        <f t="shared" si="271"/>
        <v>4.67</v>
      </c>
      <c r="L644" s="318">
        <v>2026</v>
      </c>
      <c r="M644" s="318">
        <v>187</v>
      </c>
      <c r="N644" s="318">
        <v>1</v>
      </c>
      <c r="O644" s="621">
        <f t="shared" si="272"/>
        <v>4.67</v>
      </c>
      <c r="P644" s="755">
        <v>1</v>
      </c>
      <c r="Q644" s="755">
        <f t="shared" si="273"/>
        <v>0</v>
      </c>
      <c r="R644" s="341">
        <v>1</v>
      </c>
      <c r="S644" s="318">
        <f t="shared" si="280"/>
        <v>4.67</v>
      </c>
      <c r="T644" s="319"/>
      <c r="V644" s="328">
        <f>3.495+1.8</f>
        <v>5.2949999999999999</v>
      </c>
      <c r="W644" s="320"/>
      <c r="X644" s="328">
        <f t="shared" si="275"/>
        <v>0</v>
      </c>
      <c r="Y644" s="464"/>
      <c r="Z644" s="328">
        <f t="shared" si="276"/>
        <v>0</v>
      </c>
      <c r="AB644" s="458">
        <f t="shared" si="277"/>
        <v>-4.67</v>
      </c>
      <c r="AC644" s="348">
        <f t="shared" si="278"/>
        <v>-4.67</v>
      </c>
    </row>
    <row r="645" spans="1:29">
      <c r="A645" s="318"/>
      <c r="B645" s="319"/>
      <c r="C645" s="318"/>
      <c r="D645" s="318"/>
      <c r="E645" s="319"/>
      <c r="F645" s="319"/>
      <c r="G645" s="318"/>
      <c r="H645" s="318"/>
      <c r="I645" s="318"/>
      <c r="J645" s="382" t="s">
        <v>389</v>
      </c>
      <c r="K645" s="338">
        <f>SUM(K611:K644)</f>
        <v>127.27999999999999</v>
      </c>
      <c r="L645" s="318"/>
      <c r="M645" s="318"/>
      <c r="N645" s="382" t="s">
        <v>389</v>
      </c>
      <c r="O645" s="759">
        <f>SUM(O611:O644)</f>
        <v>127.27999999999999</v>
      </c>
      <c r="P645" s="751" t="s">
        <v>389</v>
      </c>
      <c r="Q645" s="751"/>
      <c r="R645" s="382"/>
      <c r="S645" s="338">
        <f>SUM(S611:S644)</f>
        <v>127.27999999999999</v>
      </c>
      <c r="T645" s="319"/>
      <c r="V645" s="318"/>
      <c r="W645" s="321" t="s">
        <v>389</v>
      </c>
      <c r="X645" s="338">
        <f>SUM(X611:X644)</f>
        <v>78.033666666666676</v>
      </c>
      <c r="Y645" s="321" t="s">
        <v>389</v>
      </c>
      <c r="Z645" s="338">
        <f>SUM(Z611:Z644)</f>
        <v>51.405000000000008</v>
      </c>
      <c r="AB645" s="338"/>
      <c r="AC645" s="338"/>
    </row>
    <row r="646" spans="1:29" ht="6.75" customHeight="1">
      <c r="A646" s="316"/>
      <c r="B646" s="317"/>
      <c r="C646" s="316"/>
      <c r="D646" s="316"/>
      <c r="E646" s="317"/>
      <c r="F646" s="317"/>
      <c r="G646" s="316"/>
      <c r="H646" s="316"/>
      <c r="I646" s="316"/>
      <c r="J646" s="316"/>
      <c r="K646" s="316"/>
      <c r="L646" s="316"/>
      <c r="M646" s="316"/>
      <c r="N646" s="316"/>
      <c r="O646" s="749"/>
      <c r="P646" s="752"/>
      <c r="Q646" s="752"/>
      <c r="R646" s="316"/>
      <c r="S646" s="316"/>
      <c r="T646" s="317"/>
      <c r="V646" s="316"/>
      <c r="W646" s="316"/>
      <c r="X646" s="316"/>
      <c r="Y646" s="316"/>
      <c r="Z646" s="316"/>
      <c r="AB646" s="339"/>
      <c r="AC646" s="339"/>
    </row>
    <row r="647" spans="1:29">
      <c r="A647" s="318">
        <v>16</v>
      </c>
      <c r="B647" s="319" t="s">
        <v>383</v>
      </c>
      <c r="C647" s="318">
        <v>600</v>
      </c>
      <c r="D647" s="318">
        <v>23</v>
      </c>
      <c r="E647" s="319">
        <v>1</v>
      </c>
      <c r="F647" s="336" t="s">
        <v>1225</v>
      </c>
      <c r="G647" s="318" t="s">
        <v>1988</v>
      </c>
      <c r="H647" s="328">
        <v>2.69</v>
      </c>
      <c r="I647" s="318">
        <v>1</v>
      </c>
      <c r="J647" s="318">
        <f t="shared" ref="J647:J665" si="281">IF(N647&gt;0,1,0)</f>
        <v>1</v>
      </c>
      <c r="K647" s="328">
        <f t="shared" ref="K647:K666" si="282">H647*J647</f>
        <v>2.69</v>
      </c>
      <c r="L647" s="350" t="s">
        <v>2796</v>
      </c>
      <c r="M647" s="318">
        <v>191</v>
      </c>
      <c r="N647" s="318">
        <v>1</v>
      </c>
      <c r="O647" s="621">
        <f t="shared" ref="O647:O666" si="283">H647*N647</f>
        <v>2.69</v>
      </c>
      <c r="P647" s="755">
        <v>1</v>
      </c>
      <c r="Q647" s="755">
        <f t="shared" ref="Q647:Q666" si="284">R647-P647</f>
        <v>0</v>
      </c>
      <c r="R647" s="341">
        <v>1</v>
      </c>
      <c r="S647" s="318">
        <f t="shared" ref="S647" si="285">H647*R647</f>
        <v>2.69</v>
      </c>
      <c r="T647" s="319"/>
      <c r="V647" s="328">
        <f>2.055-0.6+1.15</f>
        <v>2.605</v>
      </c>
      <c r="W647" s="320"/>
      <c r="X647" s="328">
        <f t="shared" ref="X647:X665" si="286">V647*W647</f>
        <v>0</v>
      </c>
      <c r="Y647" s="320"/>
      <c r="Z647" s="328">
        <f t="shared" ref="Z647:Z665" si="287">V647*Y647</f>
        <v>0</v>
      </c>
      <c r="AB647" s="458">
        <f t="shared" ref="AB647:AB666" si="288">X647-O647</f>
        <v>-2.69</v>
      </c>
      <c r="AC647" s="348">
        <f t="shared" ref="AC647:AC666" si="289">Z647-S647</f>
        <v>-2.69</v>
      </c>
    </row>
    <row r="648" spans="1:29">
      <c r="A648" s="318"/>
      <c r="B648" s="319"/>
      <c r="C648" s="318"/>
      <c r="D648" s="318"/>
      <c r="E648" s="319"/>
      <c r="F648" s="336"/>
      <c r="G648" s="318" t="s">
        <v>1989</v>
      </c>
      <c r="H648" s="328">
        <v>2.58</v>
      </c>
      <c r="I648" s="318">
        <v>1</v>
      </c>
      <c r="J648" s="318">
        <f t="shared" si="281"/>
        <v>1</v>
      </c>
      <c r="K648" s="328">
        <f t="shared" si="282"/>
        <v>2.58</v>
      </c>
      <c r="L648" s="350" t="s">
        <v>2796</v>
      </c>
      <c r="M648" s="318">
        <v>191</v>
      </c>
      <c r="N648" s="318">
        <v>1</v>
      </c>
      <c r="O648" s="621">
        <f t="shared" si="283"/>
        <v>2.58</v>
      </c>
      <c r="P648" s="755">
        <v>1</v>
      </c>
      <c r="Q648" s="755">
        <f t="shared" si="284"/>
        <v>0</v>
      </c>
      <c r="R648" s="341">
        <v>1</v>
      </c>
      <c r="S648" s="318">
        <f t="shared" ref="S648:S666" si="290">H648*R648</f>
        <v>2.58</v>
      </c>
      <c r="T648" s="319"/>
      <c r="V648" s="328">
        <f>4.49</f>
        <v>4.49</v>
      </c>
      <c r="W648" s="320"/>
      <c r="X648" s="328">
        <f t="shared" si="286"/>
        <v>0</v>
      </c>
      <c r="Y648" s="464"/>
      <c r="Z648" s="328">
        <f t="shared" si="287"/>
        <v>0</v>
      </c>
      <c r="AB648" s="458">
        <f t="shared" si="288"/>
        <v>-2.58</v>
      </c>
      <c r="AC648" s="348">
        <f t="shared" si="289"/>
        <v>-2.58</v>
      </c>
    </row>
    <row r="649" spans="1:29">
      <c r="A649" s="318"/>
      <c r="B649" s="319"/>
      <c r="C649" s="318"/>
      <c r="D649" s="318"/>
      <c r="E649" s="319"/>
      <c r="F649" s="319"/>
      <c r="G649" s="318" t="s">
        <v>1990</v>
      </c>
      <c r="H649" s="328">
        <v>4.49</v>
      </c>
      <c r="I649" s="318">
        <v>1</v>
      </c>
      <c r="J649" s="318">
        <f t="shared" si="281"/>
        <v>1</v>
      </c>
      <c r="K649" s="328">
        <f t="shared" si="282"/>
        <v>4.49</v>
      </c>
      <c r="L649" s="318">
        <v>1390</v>
      </c>
      <c r="M649" s="318" t="s">
        <v>251</v>
      </c>
      <c r="N649" s="318">
        <v>1</v>
      </c>
      <c r="O649" s="621">
        <f t="shared" si="283"/>
        <v>4.49</v>
      </c>
      <c r="P649" s="755">
        <v>1</v>
      </c>
      <c r="Q649" s="755">
        <f t="shared" si="284"/>
        <v>0</v>
      </c>
      <c r="R649" s="341">
        <v>1</v>
      </c>
      <c r="S649" s="318">
        <f t="shared" si="290"/>
        <v>4.49</v>
      </c>
      <c r="T649" s="319"/>
      <c r="V649" s="328">
        <f t="shared" ref="V649:V654" si="291">4.49</f>
        <v>4.49</v>
      </c>
      <c r="W649" s="320">
        <v>1</v>
      </c>
      <c r="X649" s="328">
        <f t="shared" si="286"/>
        <v>4.49</v>
      </c>
      <c r="Y649" s="464">
        <v>1</v>
      </c>
      <c r="Z649" s="328">
        <f t="shared" si="287"/>
        <v>4.49</v>
      </c>
      <c r="AB649" s="458">
        <f t="shared" si="288"/>
        <v>0</v>
      </c>
      <c r="AC649" s="348">
        <f t="shared" si="289"/>
        <v>0</v>
      </c>
    </row>
    <row r="650" spans="1:29">
      <c r="A650" s="318"/>
      <c r="B650" s="319"/>
      <c r="C650" s="318"/>
      <c r="D650" s="318"/>
      <c r="E650" s="319"/>
      <c r="F650" s="319"/>
      <c r="G650" s="318" t="s">
        <v>1991</v>
      </c>
      <c r="H650" s="328">
        <v>4.49</v>
      </c>
      <c r="I650" s="318">
        <v>1</v>
      </c>
      <c r="J650" s="318">
        <f t="shared" si="281"/>
        <v>1</v>
      </c>
      <c r="K650" s="328">
        <f t="shared" si="282"/>
        <v>4.49</v>
      </c>
      <c r="L650" s="318">
        <v>1390</v>
      </c>
      <c r="M650" s="318" t="s">
        <v>251</v>
      </c>
      <c r="N650" s="318">
        <v>1</v>
      </c>
      <c r="O650" s="621">
        <f t="shared" si="283"/>
        <v>4.49</v>
      </c>
      <c r="P650" s="755">
        <v>1</v>
      </c>
      <c r="Q650" s="755">
        <f t="shared" si="284"/>
        <v>0</v>
      </c>
      <c r="R650" s="341">
        <v>1</v>
      </c>
      <c r="S650" s="318">
        <f t="shared" si="290"/>
        <v>4.49</v>
      </c>
      <c r="T650" s="319"/>
      <c r="V650" s="328">
        <f t="shared" si="291"/>
        <v>4.49</v>
      </c>
      <c r="W650" s="320">
        <v>1</v>
      </c>
      <c r="X650" s="328">
        <f t="shared" si="286"/>
        <v>4.49</v>
      </c>
      <c r="Y650" s="464">
        <v>1</v>
      </c>
      <c r="Z650" s="328">
        <f t="shared" si="287"/>
        <v>4.49</v>
      </c>
      <c r="AB650" s="458">
        <f t="shared" si="288"/>
        <v>0</v>
      </c>
      <c r="AC650" s="348">
        <f t="shared" si="289"/>
        <v>0</v>
      </c>
    </row>
    <row r="651" spans="1:29">
      <c r="A651" s="318"/>
      <c r="B651" s="319"/>
      <c r="C651" s="318"/>
      <c r="D651" s="318"/>
      <c r="E651" s="319"/>
      <c r="F651" s="319"/>
      <c r="G651" s="318" t="s">
        <v>1992</v>
      </c>
      <c r="H651" s="328">
        <v>4.49</v>
      </c>
      <c r="I651" s="318">
        <v>1</v>
      </c>
      <c r="J651" s="318">
        <f t="shared" si="281"/>
        <v>1</v>
      </c>
      <c r="K651" s="328">
        <f t="shared" si="282"/>
        <v>4.49</v>
      </c>
      <c r="L651" s="318">
        <v>1390</v>
      </c>
      <c r="M651" s="318" t="s">
        <v>251</v>
      </c>
      <c r="N651" s="318">
        <v>1</v>
      </c>
      <c r="O651" s="621">
        <f t="shared" si="283"/>
        <v>4.49</v>
      </c>
      <c r="P651" s="755">
        <v>1</v>
      </c>
      <c r="Q651" s="755">
        <f t="shared" si="284"/>
        <v>0</v>
      </c>
      <c r="R651" s="341">
        <v>1</v>
      </c>
      <c r="S651" s="318">
        <f t="shared" si="290"/>
        <v>4.49</v>
      </c>
      <c r="T651" s="319"/>
      <c r="V651" s="328">
        <f t="shared" si="291"/>
        <v>4.49</v>
      </c>
      <c r="W651" s="320">
        <v>1</v>
      </c>
      <c r="X651" s="328">
        <f t="shared" si="286"/>
        <v>4.49</v>
      </c>
      <c r="Y651" s="464">
        <v>1</v>
      </c>
      <c r="Z651" s="328">
        <f t="shared" si="287"/>
        <v>4.49</v>
      </c>
      <c r="AB651" s="458">
        <f t="shared" si="288"/>
        <v>0</v>
      </c>
      <c r="AC651" s="348">
        <f t="shared" si="289"/>
        <v>0</v>
      </c>
    </row>
    <row r="652" spans="1:29">
      <c r="A652" s="318"/>
      <c r="B652" s="319"/>
      <c r="C652" s="318"/>
      <c r="D652" s="318"/>
      <c r="E652" s="319"/>
      <c r="F652" s="319"/>
      <c r="G652" s="318" t="s">
        <v>1993</v>
      </c>
      <c r="H652" s="328">
        <v>4.49</v>
      </c>
      <c r="I652" s="318">
        <v>1</v>
      </c>
      <c r="J652" s="318">
        <f t="shared" si="281"/>
        <v>1</v>
      </c>
      <c r="K652" s="328">
        <f t="shared" si="282"/>
        <v>4.49</v>
      </c>
      <c r="L652" s="318">
        <v>1395</v>
      </c>
      <c r="M652" s="318" t="s">
        <v>256</v>
      </c>
      <c r="N652" s="318">
        <v>1</v>
      </c>
      <c r="O652" s="621">
        <f t="shared" si="283"/>
        <v>4.49</v>
      </c>
      <c r="P652" s="755">
        <v>1</v>
      </c>
      <c r="Q652" s="755">
        <f t="shared" si="284"/>
        <v>0</v>
      </c>
      <c r="R652" s="341">
        <v>1</v>
      </c>
      <c r="S652" s="318">
        <f t="shared" si="290"/>
        <v>4.49</v>
      </c>
      <c r="T652" s="319"/>
      <c r="V652" s="328">
        <f t="shared" si="291"/>
        <v>4.49</v>
      </c>
      <c r="W652" s="320">
        <v>1</v>
      </c>
      <c r="X652" s="328">
        <f t="shared" si="286"/>
        <v>4.49</v>
      </c>
      <c r="Y652" s="464">
        <v>1</v>
      </c>
      <c r="Z652" s="328">
        <f t="shared" si="287"/>
        <v>4.49</v>
      </c>
      <c r="AB652" s="458">
        <f t="shared" si="288"/>
        <v>0</v>
      </c>
      <c r="AC652" s="348">
        <f t="shared" si="289"/>
        <v>0</v>
      </c>
    </row>
    <row r="653" spans="1:29">
      <c r="A653" s="318"/>
      <c r="B653" s="319"/>
      <c r="C653" s="318"/>
      <c r="D653" s="318"/>
      <c r="E653" s="319"/>
      <c r="F653" s="319"/>
      <c r="G653" s="318" t="s">
        <v>1994</v>
      </c>
      <c r="H653" s="328">
        <v>4.49</v>
      </c>
      <c r="I653" s="318">
        <v>1</v>
      </c>
      <c r="J653" s="318">
        <f t="shared" si="281"/>
        <v>1</v>
      </c>
      <c r="K653" s="328">
        <f t="shared" si="282"/>
        <v>4.49</v>
      </c>
      <c r="L653" s="318">
        <v>1395</v>
      </c>
      <c r="M653" s="318" t="s">
        <v>256</v>
      </c>
      <c r="N653" s="318">
        <v>1</v>
      </c>
      <c r="O653" s="621">
        <f t="shared" si="283"/>
        <v>4.49</v>
      </c>
      <c r="P653" s="755">
        <v>1</v>
      </c>
      <c r="Q653" s="755">
        <f t="shared" si="284"/>
        <v>0</v>
      </c>
      <c r="R653" s="341">
        <v>1</v>
      </c>
      <c r="S653" s="318">
        <f t="shared" si="290"/>
        <v>4.49</v>
      </c>
      <c r="T653" s="319"/>
      <c r="V653" s="328">
        <f t="shared" si="291"/>
        <v>4.49</v>
      </c>
      <c r="W653" s="320">
        <v>1</v>
      </c>
      <c r="X653" s="328">
        <f t="shared" si="286"/>
        <v>4.49</v>
      </c>
      <c r="Y653" s="464">
        <v>1</v>
      </c>
      <c r="Z653" s="328">
        <f t="shared" si="287"/>
        <v>4.49</v>
      </c>
      <c r="AB653" s="458">
        <f t="shared" si="288"/>
        <v>0</v>
      </c>
      <c r="AC653" s="348">
        <f t="shared" si="289"/>
        <v>0</v>
      </c>
    </row>
    <row r="654" spans="1:29">
      <c r="A654" s="318"/>
      <c r="B654" s="319"/>
      <c r="C654" s="318"/>
      <c r="D654" s="318"/>
      <c r="E654" s="319"/>
      <c r="F654" s="319"/>
      <c r="G654" s="318" t="s">
        <v>1995</v>
      </c>
      <c r="H654" s="328">
        <v>4.49</v>
      </c>
      <c r="I654" s="318">
        <v>1</v>
      </c>
      <c r="J654" s="318">
        <f t="shared" si="281"/>
        <v>1</v>
      </c>
      <c r="K654" s="328">
        <f t="shared" si="282"/>
        <v>4.49</v>
      </c>
      <c r="L654" s="318">
        <v>1395</v>
      </c>
      <c r="M654" s="318" t="s">
        <v>256</v>
      </c>
      <c r="N654" s="318">
        <v>1</v>
      </c>
      <c r="O654" s="621">
        <f t="shared" si="283"/>
        <v>4.49</v>
      </c>
      <c r="P654" s="755">
        <v>1</v>
      </c>
      <c r="Q654" s="755">
        <f t="shared" si="284"/>
        <v>0</v>
      </c>
      <c r="R654" s="341">
        <v>1</v>
      </c>
      <c r="S654" s="318">
        <f t="shared" si="290"/>
        <v>4.49</v>
      </c>
      <c r="T654" s="319"/>
      <c r="V654" s="328">
        <f t="shared" si="291"/>
        <v>4.49</v>
      </c>
      <c r="W654" s="320">
        <v>1</v>
      </c>
      <c r="X654" s="328">
        <f t="shared" si="286"/>
        <v>4.49</v>
      </c>
      <c r="Y654" s="464">
        <v>1</v>
      </c>
      <c r="Z654" s="328">
        <f t="shared" si="287"/>
        <v>4.49</v>
      </c>
      <c r="AB654" s="458">
        <f t="shared" si="288"/>
        <v>0</v>
      </c>
      <c r="AC654" s="348">
        <f t="shared" si="289"/>
        <v>0</v>
      </c>
    </row>
    <row r="655" spans="1:29">
      <c r="A655" s="318"/>
      <c r="B655" s="319"/>
      <c r="C655" s="318"/>
      <c r="D655" s="318"/>
      <c r="E655" s="319"/>
      <c r="F655" s="319"/>
      <c r="G655" s="318" t="s">
        <v>1996</v>
      </c>
      <c r="H655" s="328">
        <v>4.49</v>
      </c>
      <c r="I655" s="318">
        <v>1</v>
      </c>
      <c r="J655" s="318">
        <f t="shared" si="281"/>
        <v>1</v>
      </c>
      <c r="K655" s="328">
        <f t="shared" si="282"/>
        <v>4.49</v>
      </c>
      <c r="L655" s="318">
        <v>1405</v>
      </c>
      <c r="M655" s="318" t="s">
        <v>257</v>
      </c>
      <c r="N655" s="318">
        <v>1</v>
      </c>
      <c r="O655" s="621">
        <f t="shared" si="283"/>
        <v>4.49</v>
      </c>
      <c r="P655" s="755">
        <v>1</v>
      </c>
      <c r="Q655" s="755">
        <f t="shared" si="284"/>
        <v>0</v>
      </c>
      <c r="R655" s="341">
        <v>1</v>
      </c>
      <c r="S655" s="318">
        <f t="shared" si="290"/>
        <v>4.49</v>
      </c>
      <c r="T655" s="319"/>
      <c r="V655" s="328">
        <v>3.44</v>
      </c>
      <c r="W655" s="320">
        <v>1</v>
      </c>
      <c r="X655" s="328">
        <f t="shared" si="286"/>
        <v>3.44</v>
      </c>
      <c r="Y655" s="464">
        <v>1</v>
      </c>
      <c r="Z655" s="328">
        <f t="shared" si="287"/>
        <v>3.44</v>
      </c>
      <c r="AB655" s="458">
        <f t="shared" si="288"/>
        <v>-1.0500000000000003</v>
      </c>
      <c r="AC655" s="348">
        <f t="shared" si="289"/>
        <v>-1.0500000000000003</v>
      </c>
    </row>
    <row r="656" spans="1:29">
      <c r="A656" s="318"/>
      <c r="B656" s="319"/>
      <c r="C656" s="318"/>
      <c r="D656" s="318"/>
      <c r="E656" s="319"/>
      <c r="F656" s="319"/>
      <c r="G656" s="318" t="s">
        <v>1997</v>
      </c>
      <c r="H656" s="328">
        <v>3.45</v>
      </c>
      <c r="I656" s="318">
        <v>1</v>
      </c>
      <c r="J656" s="318">
        <f t="shared" si="281"/>
        <v>1</v>
      </c>
      <c r="K656" s="328">
        <f t="shared" si="282"/>
        <v>3.45</v>
      </c>
      <c r="L656" s="318">
        <v>1408</v>
      </c>
      <c r="M656" s="318" t="s">
        <v>264</v>
      </c>
      <c r="N656" s="318">
        <v>1</v>
      </c>
      <c r="O656" s="621">
        <f t="shared" si="283"/>
        <v>3.45</v>
      </c>
      <c r="P656" s="755">
        <v>1</v>
      </c>
      <c r="Q656" s="755">
        <f t="shared" si="284"/>
        <v>0</v>
      </c>
      <c r="R656" s="341">
        <v>1</v>
      </c>
      <c r="S656" s="318">
        <f t="shared" si="290"/>
        <v>3.45</v>
      </c>
      <c r="T656" s="319"/>
      <c r="V656" s="328">
        <v>3.2559999999999998</v>
      </c>
      <c r="W656" s="320">
        <v>1</v>
      </c>
      <c r="X656" s="328">
        <f t="shared" si="286"/>
        <v>3.2559999999999998</v>
      </c>
      <c r="Y656" s="464">
        <v>1</v>
      </c>
      <c r="Z656" s="328">
        <f t="shared" si="287"/>
        <v>3.2559999999999998</v>
      </c>
      <c r="AB656" s="458">
        <f t="shared" si="288"/>
        <v>-0.19400000000000039</v>
      </c>
      <c r="AC656" s="348">
        <f t="shared" si="289"/>
        <v>-0.19400000000000039</v>
      </c>
    </row>
    <row r="657" spans="1:29">
      <c r="A657" s="318"/>
      <c r="B657" s="319"/>
      <c r="C657" s="318"/>
      <c r="D657" s="318"/>
      <c r="E657" s="319"/>
      <c r="F657" s="336"/>
      <c r="G657" s="318" t="s">
        <v>1998</v>
      </c>
      <c r="H657" s="328">
        <v>3.27</v>
      </c>
      <c r="I657" s="318">
        <v>1</v>
      </c>
      <c r="J657" s="318">
        <f t="shared" si="281"/>
        <v>1</v>
      </c>
      <c r="K657" s="328">
        <f t="shared" si="282"/>
        <v>3.27</v>
      </c>
      <c r="L657" s="350" t="s">
        <v>2717</v>
      </c>
      <c r="M657" s="318">
        <v>175</v>
      </c>
      <c r="N657" s="318">
        <v>1</v>
      </c>
      <c r="O657" s="621">
        <f t="shared" si="283"/>
        <v>3.27</v>
      </c>
      <c r="P657" s="755">
        <v>1</v>
      </c>
      <c r="Q657" s="755">
        <f t="shared" si="284"/>
        <v>0</v>
      </c>
      <c r="R657" s="341">
        <v>1</v>
      </c>
      <c r="S657" s="318">
        <f t="shared" si="290"/>
        <v>3.27</v>
      </c>
      <c r="T657" s="319"/>
      <c r="V657" s="328">
        <f>3.256+0.499</f>
        <v>3.7549999999999999</v>
      </c>
      <c r="W657" s="320"/>
      <c r="X657" s="328">
        <f t="shared" si="286"/>
        <v>0</v>
      </c>
      <c r="Y657" s="464"/>
      <c r="Z657" s="328">
        <f t="shared" si="287"/>
        <v>0</v>
      </c>
      <c r="AB657" s="458">
        <f t="shared" si="288"/>
        <v>-3.27</v>
      </c>
      <c r="AC657" s="348">
        <f t="shared" si="289"/>
        <v>-3.27</v>
      </c>
    </row>
    <row r="658" spans="1:29">
      <c r="A658" s="318"/>
      <c r="B658" s="319"/>
      <c r="C658" s="318"/>
      <c r="D658" s="318"/>
      <c r="E658" s="319"/>
      <c r="F658" s="336"/>
      <c r="G658" s="318" t="s">
        <v>1999</v>
      </c>
      <c r="H658" s="328">
        <v>3.77</v>
      </c>
      <c r="I658" s="318">
        <v>1</v>
      </c>
      <c r="J658" s="318">
        <f t="shared" si="281"/>
        <v>1</v>
      </c>
      <c r="K658" s="328">
        <f t="shared" si="282"/>
        <v>3.77</v>
      </c>
      <c r="L658" s="350" t="s">
        <v>2717</v>
      </c>
      <c r="M658" s="318">
        <v>175</v>
      </c>
      <c r="N658" s="318">
        <v>1</v>
      </c>
      <c r="O658" s="621">
        <f t="shared" si="283"/>
        <v>3.77</v>
      </c>
      <c r="P658" s="755">
        <v>1</v>
      </c>
      <c r="Q658" s="755">
        <f t="shared" si="284"/>
        <v>0</v>
      </c>
      <c r="R658" s="341">
        <v>1</v>
      </c>
      <c r="S658" s="318">
        <f t="shared" si="290"/>
        <v>3.77</v>
      </c>
      <c r="T658" s="319"/>
      <c r="V658" s="328">
        <v>3.91</v>
      </c>
      <c r="W658" s="320"/>
      <c r="X658" s="328">
        <f t="shared" si="286"/>
        <v>0</v>
      </c>
      <c r="Y658" s="464"/>
      <c r="Z658" s="328">
        <f t="shared" si="287"/>
        <v>0</v>
      </c>
      <c r="AB658" s="458">
        <f t="shared" si="288"/>
        <v>-3.77</v>
      </c>
      <c r="AC658" s="348">
        <f t="shared" si="289"/>
        <v>-3.77</v>
      </c>
    </row>
    <row r="659" spans="1:29">
      <c r="A659" s="318"/>
      <c r="B659" s="319"/>
      <c r="C659" s="318"/>
      <c r="D659" s="318"/>
      <c r="E659" s="319"/>
      <c r="F659" s="319"/>
      <c r="G659" s="318" t="s">
        <v>2000</v>
      </c>
      <c r="H659" s="328">
        <v>3.92</v>
      </c>
      <c r="I659" s="318">
        <v>1</v>
      </c>
      <c r="J659" s="318">
        <f t="shared" si="281"/>
        <v>1</v>
      </c>
      <c r="K659" s="328">
        <f t="shared" si="282"/>
        <v>3.92</v>
      </c>
      <c r="L659" s="318">
        <v>1390</v>
      </c>
      <c r="M659" s="318" t="s">
        <v>251</v>
      </c>
      <c r="N659" s="318">
        <v>1</v>
      </c>
      <c r="O659" s="621">
        <f t="shared" si="283"/>
        <v>3.92</v>
      </c>
      <c r="P659" s="755">
        <v>1</v>
      </c>
      <c r="Q659" s="755">
        <f t="shared" si="284"/>
        <v>0</v>
      </c>
      <c r="R659" s="341">
        <v>1</v>
      </c>
      <c r="S659" s="318">
        <f t="shared" si="290"/>
        <v>3.92</v>
      </c>
      <c r="T659" s="319"/>
      <c r="V659" s="328">
        <v>3.91</v>
      </c>
      <c r="W659" s="320">
        <v>1</v>
      </c>
      <c r="X659" s="328">
        <f t="shared" si="286"/>
        <v>3.91</v>
      </c>
      <c r="Y659" s="464">
        <v>1</v>
      </c>
      <c r="Z659" s="328">
        <f t="shared" si="287"/>
        <v>3.91</v>
      </c>
      <c r="AB659" s="458">
        <f t="shared" si="288"/>
        <v>-9.9999999999997868E-3</v>
      </c>
      <c r="AC659" s="348">
        <f t="shared" si="289"/>
        <v>-9.9999999999997868E-3</v>
      </c>
    </row>
    <row r="660" spans="1:29">
      <c r="A660" s="318"/>
      <c r="B660" s="319"/>
      <c r="C660" s="318"/>
      <c r="D660" s="318"/>
      <c r="E660" s="319"/>
      <c r="F660" s="319"/>
      <c r="G660" s="318" t="s">
        <v>2001</v>
      </c>
      <c r="H660" s="328">
        <v>3.92</v>
      </c>
      <c r="I660" s="318">
        <v>1</v>
      </c>
      <c r="J660" s="318">
        <f t="shared" si="281"/>
        <v>1</v>
      </c>
      <c r="K660" s="328">
        <f t="shared" si="282"/>
        <v>3.92</v>
      </c>
      <c r="L660" s="318"/>
      <c r="M660" s="318"/>
      <c r="N660" s="318">
        <v>1</v>
      </c>
      <c r="O660" s="621">
        <f t="shared" si="283"/>
        <v>3.92</v>
      </c>
      <c r="P660" s="755">
        <v>1</v>
      </c>
      <c r="Q660" s="755">
        <f t="shared" si="284"/>
        <v>0</v>
      </c>
      <c r="R660" s="341">
        <v>1</v>
      </c>
      <c r="S660" s="318">
        <f t="shared" si="290"/>
        <v>3.92</v>
      </c>
      <c r="T660" s="319"/>
      <c r="V660" s="328">
        <v>3.91</v>
      </c>
      <c r="W660" s="320">
        <v>1</v>
      </c>
      <c r="X660" s="328">
        <f t="shared" si="286"/>
        <v>3.91</v>
      </c>
      <c r="Y660" s="464">
        <v>1</v>
      </c>
      <c r="Z660" s="328">
        <f t="shared" si="287"/>
        <v>3.91</v>
      </c>
      <c r="AB660" s="458">
        <f t="shared" si="288"/>
        <v>-9.9999999999997868E-3</v>
      </c>
      <c r="AC660" s="348">
        <f t="shared" si="289"/>
        <v>-9.9999999999997868E-3</v>
      </c>
    </row>
    <row r="661" spans="1:29">
      <c r="A661" s="318"/>
      <c r="B661" s="319"/>
      <c r="C661" s="318"/>
      <c r="D661" s="318"/>
      <c r="E661" s="319"/>
      <c r="F661" s="319"/>
      <c r="G661" s="318" t="s">
        <v>2002</v>
      </c>
      <c r="H661" s="328">
        <v>3.92</v>
      </c>
      <c r="I661" s="318">
        <v>1</v>
      </c>
      <c r="J661" s="318">
        <f t="shared" si="281"/>
        <v>1</v>
      </c>
      <c r="K661" s="328">
        <f t="shared" si="282"/>
        <v>3.92</v>
      </c>
      <c r="L661" s="318">
        <v>1395</v>
      </c>
      <c r="M661" s="318" t="s">
        <v>256</v>
      </c>
      <c r="N661" s="318">
        <v>1</v>
      </c>
      <c r="O661" s="621">
        <f t="shared" si="283"/>
        <v>3.92</v>
      </c>
      <c r="P661" s="755">
        <v>1</v>
      </c>
      <c r="Q661" s="755">
        <f t="shared" si="284"/>
        <v>0</v>
      </c>
      <c r="R661" s="341">
        <v>1</v>
      </c>
      <c r="S661" s="318">
        <f t="shared" si="290"/>
        <v>3.92</v>
      </c>
      <c r="T661" s="319"/>
      <c r="V661" s="328">
        <v>3.91</v>
      </c>
      <c r="W661" s="320">
        <v>1</v>
      </c>
      <c r="X661" s="328">
        <f t="shared" si="286"/>
        <v>3.91</v>
      </c>
      <c r="Y661" s="464">
        <v>1</v>
      </c>
      <c r="Z661" s="328">
        <f t="shared" si="287"/>
        <v>3.91</v>
      </c>
      <c r="AB661" s="458">
        <f t="shared" si="288"/>
        <v>-9.9999999999997868E-3</v>
      </c>
      <c r="AC661" s="348">
        <f t="shared" si="289"/>
        <v>-9.9999999999997868E-3</v>
      </c>
    </row>
    <row r="662" spans="1:29">
      <c r="A662" s="318"/>
      <c r="B662" s="319"/>
      <c r="C662" s="318"/>
      <c r="D662" s="318"/>
      <c r="E662" s="319"/>
      <c r="F662" s="319"/>
      <c r="G662" s="318" t="s">
        <v>2003</v>
      </c>
      <c r="H662" s="328">
        <v>3.92</v>
      </c>
      <c r="I662" s="318">
        <v>1</v>
      </c>
      <c r="J662" s="318">
        <f t="shared" si="281"/>
        <v>1</v>
      </c>
      <c r="K662" s="328">
        <f t="shared" si="282"/>
        <v>3.92</v>
      </c>
      <c r="L662" s="318">
        <v>1395</v>
      </c>
      <c r="M662" s="318" t="s">
        <v>256</v>
      </c>
      <c r="N662" s="318">
        <v>1</v>
      </c>
      <c r="O662" s="621">
        <f t="shared" si="283"/>
        <v>3.92</v>
      </c>
      <c r="P662" s="755">
        <v>1</v>
      </c>
      <c r="Q662" s="755">
        <f t="shared" si="284"/>
        <v>0</v>
      </c>
      <c r="R662" s="341">
        <v>1</v>
      </c>
      <c r="S662" s="318">
        <f t="shared" si="290"/>
        <v>3.92</v>
      </c>
      <c r="T662" s="319"/>
      <c r="V662" s="328">
        <f>3.256+0.499</f>
        <v>3.7549999999999999</v>
      </c>
      <c r="W662" s="320">
        <v>1</v>
      </c>
      <c r="X662" s="328">
        <f t="shared" si="286"/>
        <v>3.7549999999999999</v>
      </c>
      <c r="Y662" s="464">
        <v>1</v>
      </c>
      <c r="Z662" s="328">
        <f t="shared" si="287"/>
        <v>3.7549999999999999</v>
      </c>
      <c r="AB662" s="458">
        <f t="shared" si="288"/>
        <v>-0.16500000000000004</v>
      </c>
      <c r="AC662" s="348">
        <f t="shared" si="289"/>
        <v>-0.16500000000000004</v>
      </c>
    </row>
    <row r="663" spans="1:29">
      <c r="A663" s="318"/>
      <c r="B663" s="319"/>
      <c r="C663" s="318"/>
      <c r="D663" s="318"/>
      <c r="E663" s="319"/>
      <c r="F663" s="336"/>
      <c r="G663" s="318" t="s">
        <v>2004</v>
      </c>
      <c r="H663" s="328">
        <v>3.77</v>
      </c>
      <c r="I663" s="318">
        <v>1</v>
      </c>
      <c r="J663" s="318">
        <f t="shared" si="281"/>
        <v>1</v>
      </c>
      <c r="K663" s="328">
        <f t="shared" si="282"/>
        <v>3.77</v>
      </c>
      <c r="L663" s="350" t="s">
        <v>2717</v>
      </c>
      <c r="M663" s="318">
        <v>175</v>
      </c>
      <c r="N663" s="318">
        <v>1</v>
      </c>
      <c r="O663" s="621">
        <f t="shared" si="283"/>
        <v>3.77</v>
      </c>
      <c r="P663" s="755">
        <v>1</v>
      </c>
      <c r="Q663" s="755">
        <f t="shared" si="284"/>
        <v>0</v>
      </c>
      <c r="R663" s="341">
        <v>1</v>
      </c>
      <c r="S663" s="318">
        <f t="shared" si="290"/>
        <v>3.77</v>
      </c>
      <c r="T663" s="319"/>
      <c r="V663" s="328">
        <v>3.2559999999999998</v>
      </c>
      <c r="W663" s="320"/>
      <c r="X663" s="328">
        <f t="shared" si="286"/>
        <v>0</v>
      </c>
      <c r="Y663" s="464"/>
      <c r="Z663" s="328">
        <f t="shared" si="287"/>
        <v>0</v>
      </c>
      <c r="AB663" s="458">
        <f t="shared" si="288"/>
        <v>-3.77</v>
      </c>
      <c r="AC663" s="348">
        <f t="shared" si="289"/>
        <v>-3.77</v>
      </c>
    </row>
    <row r="664" spans="1:29">
      <c r="A664" s="318"/>
      <c r="B664" s="319"/>
      <c r="C664" s="318"/>
      <c r="D664" s="318"/>
      <c r="E664" s="319"/>
      <c r="F664" s="336"/>
      <c r="G664" s="318" t="s">
        <v>2005</v>
      </c>
      <c r="H664" s="328">
        <v>3.27</v>
      </c>
      <c r="I664" s="318">
        <v>1</v>
      </c>
      <c r="J664" s="318">
        <f t="shared" si="281"/>
        <v>1</v>
      </c>
      <c r="K664" s="328">
        <f t="shared" si="282"/>
        <v>3.27</v>
      </c>
      <c r="L664" s="350" t="s">
        <v>2717</v>
      </c>
      <c r="M664" s="318">
        <v>175</v>
      </c>
      <c r="N664" s="318">
        <v>1</v>
      </c>
      <c r="O664" s="621">
        <f t="shared" si="283"/>
        <v>3.27</v>
      </c>
      <c r="P664" s="755">
        <v>1</v>
      </c>
      <c r="Q664" s="755">
        <f t="shared" si="284"/>
        <v>0</v>
      </c>
      <c r="R664" s="341">
        <v>1</v>
      </c>
      <c r="S664" s="318">
        <f t="shared" si="290"/>
        <v>3.27</v>
      </c>
      <c r="T664" s="319"/>
      <c r="V664" s="328">
        <v>3.44</v>
      </c>
      <c r="W664" s="320"/>
      <c r="X664" s="328">
        <f t="shared" si="286"/>
        <v>0</v>
      </c>
      <c r="Y664" s="464"/>
      <c r="Z664" s="328">
        <f t="shared" si="287"/>
        <v>0</v>
      </c>
      <c r="AB664" s="458">
        <f t="shared" si="288"/>
        <v>-3.27</v>
      </c>
      <c r="AC664" s="348">
        <f t="shared" si="289"/>
        <v>-3.27</v>
      </c>
    </row>
    <row r="665" spans="1:29">
      <c r="A665" s="318"/>
      <c r="B665" s="319"/>
      <c r="C665" s="318"/>
      <c r="D665" s="318"/>
      <c r="E665" s="319"/>
      <c r="F665" s="336" t="s">
        <v>1863</v>
      </c>
      <c r="G665" s="318" t="s">
        <v>2006</v>
      </c>
      <c r="H665" s="328">
        <v>3.45</v>
      </c>
      <c r="I665" s="318">
        <v>1</v>
      </c>
      <c r="J665" s="318">
        <f t="shared" si="281"/>
        <v>1</v>
      </c>
      <c r="K665" s="328">
        <f t="shared" si="282"/>
        <v>3.45</v>
      </c>
      <c r="L665" s="318">
        <v>1408</v>
      </c>
      <c r="M665" s="318" t="s">
        <v>264</v>
      </c>
      <c r="N665" s="318">
        <v>1</v>
      </c>
      <c r="O665" s="621">
        <f t="shared" si="283"/>
        <v>3.45</v>
      </c>
      <c r="P665" s="755">
        <v>1</v>
      </c>
      <c r="Q665" s="755">
        <f t="shared" si="284"/>
        <v>0</v>
      </c>
      <c r="R665" s="341">
        <v>1</v>
      </c>
      <c r="S665" s="318">
        <f t="shared" si="290"/>
        <v>3.45</v>
      </c>
      <c r="T665" s="319"/>
      <c r="V665" s="328">
        <f t="shared" ref="V665:V671" si="292">4.49</f>
        <v>4.49</v>
      </c>
      <c r="W665" s="320">
        <v>1</v>
      </c>
      <c r="X665" s="328">
        <f t="shared" si="286"/>
        <v>4.49</v>
      </c>
      <c r="Y665" s="464">
        <v>1</v>
      </c>
      <c r="Z665" s="328">
        <f t="shared" si="287"/>
        <v>4.49</v>
      </c>
      <c r="AB665" s="458">
        <f t="shared" si="288"/>
        <v>1.04</v>
      </c>
      <c r="AC665" s="348">
        <f t="shared" si="289"/>
        <v>1.04</v>
      </c>
    </row>
    <row r="666" spans="1:29">
      <c r="A666" s="318"/>
      <c r="B666" s="319"/>
      <c r="C666" s="318"/>
      <c r="D666" s="318"/>
      <c r="E666" s="319"/>
      <c r="F666" s="336"/>
      <c r="G666" s="318" t="s">
        <v>2007</v>
      </c>
      <c r="H666" s="328">
        <v>4.72</v>
      </c>
      <c r="I666" s="318">
        <v>1</v>
      </c>
      <c r="J666" s="318">
        <v>1</v>
      </c>
      <c r="K666" s="328">
        <f t="shared" si="282"/>
        <v>4.72</v>
      </c>
      <c r="L666" s="350" t="s">
        <v>3188</v>
      </c>
      <c r="M666" s="318"/>
      <c r="N666" s="318">
        <v>1</v>
      </c>
      <c r="O666" s="621">
        <f t="shared" si="283"/>
        <v>4.72</v>
      </c>
      <c r="P666" s="755">
        <v>1</v>
      </c>
      <c r="Q666" s="755">
        <f t="shared" si="284"/>
        <v>0</v>
      </c>
      <c r="R666" s="341">
        <v>1</v>
      </c>
      <c r="S666" s="318">
        <f t="shared" si="290"/>
        <v>4.72</v>
      </c>
      <c r="T666" s="319" t="s">
        <v>3457</v>
      </c>
      <c r="V666" s="328">
        <f t="shared" si="292"/>
        <v>4.49</v>
      </c>
      <c r="W666" s="318"/>
      <c r="X666" s="328"/>
      <c r="Y666" s="318"/>
      <c r="Z666" s="328"/>
      <c r="AB666" s="348">
        <f t="shared" si="288"/>
        <v>-4.72</v>
      </c>
      <c r="AC666" s="348">
        <f t="shared" si="289"/>
        <v>-4.72</v>
      </c>
    </row>
    <row r="667" spans="1:29">
      <c r="A667" s="584"/>
      <c r="B667" s="585"/>
      <c r="C667" s="584"/>
      <c r="D667" s="584"/>
      <c r="E667" s="585"/>
      <c r="F667" s="585"/>
      <c r="G667" s="584" t="s">
        <v>442</v>
      </c>
      <c r="H667" s="587"/>
      <c r="I667" s="584"/>
      <c r="J667" s="584"/>
      <c r="K667" s="584"/>
      <c r="L667" s="584"/>
      <c r="M667" s="584"/>
      <c r="N667" s="584"/>
      <c r="O667" s="634" t="s">
        <v>2321</v>
      </c>
      <c r="P667" s="766"/>
      <c r="Q667" s="766"/>
      <c r="R667" s="590"/>
      <c r="S667" s="588" t="s">
        <v>2321</v>
      </c>
      <c r="T667" s="1035" t="s">
        <v>1456</v>
      </c>
      <c r="V667" s="328"/>
      <c r="W667" s="318"/>
      <c r="X667" s="387" t="s">
        <v>2321</v>
      </c>
      <c r="Y667" s="318"/>
      <c r="Z667" s="387" t="s">
        <v>2321</v>
      </c>
      <c r="AB667" s="348"/>
      <c r="AC667" s="384"/>
    </row>
    <row r="668" spans="1:29">
      <c r="A668" s="584"/>
      <c r="B668" s="585"/>
      <c r="C668" s="584"/>
      <c r="D668" s="584"/>
      <c r="E668" s="585"/>
      <c r="F668" s="585"/>
      <c r="G668" s="584" t="s">
        <v>443</v>
      </c>
      <c r="H668" s="587"/>
      <c r="I668" s="584"/>
      <c r="J668" s="584"/>
      <c r="K668" s="584"/>
      <c r="L668" s="584"/>
      <c r="M668" s="584"/>
      <c r="N668" s="584"/>
      <c r="O668" s="634" t="s">
        <v>2321</v>
      </c>
      <c r="P668" s="766"/>
      <c r="Q668" s="766"/>
      <c r="R668" s="590"/>
      <c r="S668" s="588" t="s">
        <v>2321</v>
      </c>
      <c r="T668" s="1035"/>
      <c r="V668" s="328"/>
      <c r="W668" s="318"/>
      <c r="X668" s="387" t="s">
        <v>2321</v>
      </c>
      <c r="Y668" s="318"/>
      <c r="Z668" s="387" t="s">
        <v>2321</v>
      </c>
      <c r="AB668" s="348"/>
      <c r="AC668" s="384"/>
    </row>
    <row r="669" spans="1:29">
      <c r="A669" s="584"/>
      <c r="B669" s="585"/>
      <c r="C669" s="584"/>
      <c r="D669" s="584"/>
      <c r="E669" s="585"/>
      <c r="F669" s="589"/>
      <c r="G669" s="584" t="s">
        <v>444</v>
      </c>
      <c r="H669" s="587"/>
      <c r="I669" s="584"/>
      <c r="J669" s="584"/>
      <c r="K669" s="584"/>
      <c r="L669" s="584"/>
      <c r="M669" s="584"/>
      <c r="N669" s="584"/>
      <c r="O669" s="634" t="s">
        <v>2321</v>
      </c>
      <c r="P669" s="766"/>
      <c r="Q669" s="766"/>
      <c r="R669" s="590"/>
      <c r="S669" s="588" t="s">
        <v>2321</v>
      </c>
      <c r="T669" s="1035"/>
      <c r="V669" s="328"/>
      <c r="W669" s="318"/>
      <c r="X669" s="387" t="s">
        <v>2321</v>
      </c>
      <c r="Y669" s="318"/>
      <c r="Z669" s="387" t="s">
        <v>2321</v>
      </c>
      <c r="AB669" s="348"/>
      <c r="AC669" s="384"/>
    </row>
    <row r="670" spans="1:29" ht="14.4" customHeight="1">
      <c r="A670" s="584"/>
      <c r="B670" s="585"/>
      <c r="C670" s="584"/>
      <c r="D670" s="584"/>
      <c r="E670" s="585"/>
      <c r="F670" s="589" t="s">
        <v>1863</v>
      </c>
      <c r="G670" s="584" t="s">
        <v>445</v>
      </c>
      <c r="H670" s="587"/>
      <c r="I670" s="584"/>
      <c r="J670" s="584"/>
      <c r="K670" s="584"/>
      <c r="L670" s="584"/>
      <c r="M670" s="584"/>
      <c r="N670" s="584"/>
      <c r="O670" s="634" t="s">
        <v>2321</v>
      </c>
      <c r="P670" s="766"/>
      <c r="Q670" s="766"/>
      <c r="R670" s="590"/>
      <c r="S670" s="588" t="s">
        <v>2321</v>
      </c>
      <c r="T670" s="1035"/>
      <c r="V670" s="328"/>
      <c r="W670" s="320"/>
      <c r="X670" s="387" t="s">
        <v>2321</v>
      </c>
      <c r="Y670" s="320"/>
      <c r="Z670" s="387" t="s">
        <v>2321</v>
      </c>
      <c r="AB670" s="458"/>
      <c r="AC670" s="384"/>
    </row>
    <row r="671" spans="1:29">
      <c r="A671" s="318"/>
      <c r="B671" s="319"/>
      <c r="C671" s="318"/>
      <c r="D671" s="318"/>
      <c r="E671" s="319"/>
      <c r="F671" s="336"/>
      <c r="G671" s="318" t="s">
        <v>2008</v>
      </c>
      <c r="H671" s="328">
        <v>4.72</v>
      </c>
      <c r="I671" s="318">
        <v>1</v>
      </c>
      <c r="J671" s="318">
        <v>1</v>
      </c>
      <c r="K671" s="328">
        <f>H671*J671</f>
        <v>4.72</v>
      </c>
      <c r="L671" s="318">
        <v>2505</v>
      </c>
      <c r="M671" s="318"/>
      <c r="N671" s="318">
        <v>1</v>
      </c>
      <c r="O671" s="621">
        <f>H671*N671</f>
        <v>4.72</v>
      </c>
      <c r="P671" s="755">
        <v>1</v>
      </c>
      <c r="Q671" s="755">
        <f t="shared" ref="Q671:Q673" si="293">R671-P671</f>
        <v>0</v>
      </c>
      <c r="R671" s="341">
        <v>1</v>
      </c>
      <c r="S671" s="318">
        <f t="shared" ref="S671" si="294">H671*R671</f>
        <v>4.72</v>
      </c>
      <c r="T671" s="319" t="s">
        <v>3457</v>
      </c>
      <c r="V671" s="328">
        <f t="shared" si="292"/>
        <v>4.49</v>
      </c>
      <c r="W671" s="320"/>
      <c r="X671" s="328">
        <f>V671*W671</f>
        <v>0</v>
      </c>
      <c r="Y671" s="464"/>
      <c r="Z671" s="328">
        <f>V671*Y671</f>
        <v>0</v>
      </c>
      <c r="AB671" s="458">
        <f>X671-O671</f>
        <v>-4.72</v>
      </c>
      <c r="AC671" s="348">
        <f>Z671-S671</f>
        <v>-4.72</v>
      </c>
    </row>
    <row r="672" spans="1:29">
      <c r="A672" s="318"/>
      <c r="B672" s="319"/>
      <c r="C672" s="318"/>
      <c r="D672" s="318"/>
      <c r="E672" s="319"/>
      <c r="F672" s="336" t="s">
        <v>1225</v>
      </c>
      <c r="G672" s="318" t="s">
        <v>2009</v>
      </c>
      <c r="H672" s="328">
        <v>4.49</v>
      </c>
      <c r="I672" s="318">
        <v>1</v>
      </c>
      <c r="J672" s="318">
        <f>IF(N672&gt;0,1,0)</f>
        <v>1</v>
      </c>
      <c r="K672" s="328">
        <f>H672*J672</f>
        <v>4.49</v>
      </c>
      <c r="L672" s="318">
        <v>1408</v>
      </c>
      <c r="M672" s="318" t="s">
        <v>264</v>
      </c>
      <c r="N672" s="318">
        <v>1</v>
      </c>
      <c r="O672" s="621">
        <f>H672*N672</f>
        <v>4.49</v>
      </c>
      <c r="P672" s="755">
        <v>1</v>
      </c>
      <c r="Q672" s="755">
        <f t="shared" si="293"/>
        <v>0</v>
      </c>
      <c r="R672" s="341">
        <v>1</v>
      </c>
      <c r="S672" s="318">
        <f t="shared" ref="S672:S673" si="295">H672*R672</f>
        <v>4.49</v>
      </c>
      <c r="T672" s="388"/>
      <c r="V672" s="328">
        <v>4.49</v>
      </c>
      <c r="W672" s="320"/>
      <c r="X672" s="328">
        <f>V672*W672</f>
        <v>0</v>
      </c>
      <c r="Y672" s="464"/>
      <c r="Z672" s="328">
        <f>V672*Y672</f>
        <v>0</v>
      </c>
      <c r="AB672" s="458">
        <f>X672-O672</f>
        <v>-4.49</v>
      </c>
      <c r="AC672" s="348">
        <f>Z672-S672</f>
        <v>-4.49</v>
      </c>
    </row>
    <row r="673" spans="1:31">
      <c r="A673" s="318"/>
      <c r="B673" s="319"/>
      <c r="C673" s="318"/>
      <c r="D673" s="318"/>
      <c r="E673" s="319"/>
      <c r="F673" s="336"/>
      <c r="G673" s="318" t="s">
        <v>2010</v>
      </c>
      <c r="H673" s="328">
        <v>3.12</v>
      </c>
      <c r="I673" s="318">
        <v>1</v>
      </c>
      <c r="J673" s="318">
        <f>IF(N673&gt;0,1,0)</f>
        <v>1</v>
      </c>
      <c r="K673" s="328"/>
      <c r="L673" s="318">
        <v>1765</v>
      </c>
      <c r="M673" s="318">
        <v>162</v>
      </c>
      <c r="N673" s="318">
        <v>1</v>
      </c>
      <c r="O673" s="621">
        <f>H673*N673</f>
        <v>3.12</v>
      </c>
      <c r="P673" s="755">
        <v>1</v>
      </c>
      <c r="Q673" s="755">
        <f t="shared" si="293"/>
        <v>0</v>
      </c>
      <c r="R673" s="341">
        <v>1</v>
      </c>
      <c r="S673" s="318">
        <f t="shared" si="295"/>
        <v>3.12</v>
      </c>
      <c r="T673" s="388"/>
      <c r="V673" s="328">
        <v>3.1</v>
      </c>
      <c r="W673" s="320">
        <v>1</v>
      </c>
      <c r="X673" s="328">
        <f>V673*W673</f>
        <v>3.1</v>
      </c>
      <c r="Y673" s="464">
        <v>1</v>
      </c>
      <c r="Z673" s="328">
        <f>V673*Y673</f>
        <v>3.1</v>
      </c>
      <c r="AB673" s="458">
        <f>X673-O673</f>
        <v>-2.0000000000000018E-2</v>
      </c>
      <c r="AC673" s="348">
        <f>Z673-S673</f>
        <v>-2.0000000000000018E-2</v>
      </c>
      <c r="AE673" s="306" t="s">
        <v>2010</v>
      </c>
    </row>
    <row r="674" spans="1:31">
      <c r="A674" s="318"/>
      <c r="B674" s="319"/>
      <c r="C674" s="318"/>
      <c r="D674" s="318"/>
      <c r="E674" s="319"/>
      <c r="F674" s="319"/>
      <c r="G674" s="318"/>
      <c r="H674" s="318"/>
      <c r="I674" s="318"/>
      <c r="J674" s="382" t="s">
        <v>389</v>
      </c>
      <c r="K674" s="338">
        <f>SUM(K647:K673)</f>
        <v>87.29000000000002</v>
      </c>
      <c r="L674" s="318"/>
      <c r="M674" s="318"/>
      <c r="N674" s="382" t="s">
        <v>389</v>
      </c>
      <c r="O674" s="759">
        <f>SUM(O647:O673)</f>
        <v>90.410000000000025</v>
      </c>
      <c r="P674" s="751" t="s">
        <v>389</v>
      </c>
      <c r="Q674" s="751"/>
      <c r="R674" s="382"/>
      <c r="S674" s="338">
        <f>SUM(S647:S673)</f>
        <v>90.410000000000025</v>
      </c>
      <c r="T674" s="323"/>
      <c r="V674" s="318"/>
      <c r="W674" s="321" t="s">
        <v>389</v>
      </c>
      <c r="X674" s="338">
        <f>SUM(X647:X673)</f>
        <v>56.711000000000006</v>
      </c>
      <c r="Y674" s="321" t="s">
        <v>389</v>
      </c>
      <c r="Z674" s="338">
        <f>SUM(Z647:Z673)</f>
        <v>56.711000000000006</v>
      </c>
      <c r="AB674" s="338"/>
      <c r="AC674" s="338"/>
    </row>
    <row r="675" spans="1:31" ht="6.75" customHeight="1">
      <c r="A675" s="316"/>
      <c r="B675" s="317"/>
      <c r="C675" s="316"/>
      <c r="D675" s="316"/>
      <c r="E675" s="317"/>
      <c r="F675" s="317"/>
      <c r="G675" s="316"/>
      <c r="H675" s="316"/>
      <c r="I675" s="316"/>
      <c r="J675" s="316"/>
      <c r="K675" s="316"/>
      <c r="L675" s="316"/>
      <c r="M675" s="316"/>
      <c r="N675" s="316"/>
      <c r="O675" s="749"/>
      <c r="P675" s="752"/>
      <c r="Q675" s="752"/>
      <c r="R675" s="316"/>
      <c r="S675" s="316"/>
      <c r="T675" s="317"/>
      <c r="V675" s="316"/>
      <c r="W675" s="316"/>
      <c r="X675" s="316"/>
      <c r="Y675" s="316"/>
      <c r="Z675" s="316"/>
      <c r="AB675" s="339"/>
      <c r="AC675" s="339"/>
    </row>
    <row r="676" spans="1:31">
      <c r="A676" s="318">
        <v>17</v>
      </c>
      <c r="B676" s="319" t="s">
        <v>383</v>
      </c>
      <c r="C676" s="318">
        <v>600</v>
      </c>
      <c r="D676" s="318">
        <v>24</v>
      </c>
      <c r="E676" s="319">
        <v>1</v>
      </c>
      <c r="F676" s="336"/>
      <c r="G676" s="649" t="s">
        <v>2011</v>
      </c>
      <c r="H676" s="328">
        <v>4.1100000000000003</v>
      </c>
      <c r="I676" s="318">
        <v>1</v>
      </c>
      <c r="J676" s="318">
        <f t="shared" ref="J676:J719" si="296">IF(N676&gt;0,1,0)</f>
        <v>1</v>
      </c>
      <c r="K676" s="328">
        <f t="shared" ref="K676:K727" si="297">H676*J676</f>
        <v>4.1100000000000003</v>
      </c>
      <c r="L676" s="318">
        <v>1942</v>
      </c>
      <c r="M676" s="318">
        <v>176</v>
      </c>
      <c r="N676" s="318">
        <v>1</v>
      </c>
      <c r="O676" s="621">
        <f t="shared" ref="O676:O727" si="298">H676*N676</f>
        <v>4.1100000000000003</v>
      </c>
      <c r="P676" s="755">
        <v>1</v>
      </c>
      <c r="Q676" s="755">
        <f t="shared" ref="Q676" si="299">R676-P676</f>
        <v>0</v>
      </c>
      <c r="R676" s="341">
        <v>1</v>
      </c>
      <c r="S676" s="318">
        <f t="shared" ref="S676" si="300">H676*R676</f>
        <v>4.1100000000000003</v>
      </c>
      <c r="T676" s="319"/>
      <c r="V676" s="328">
        <v>4.0990000000000002</v>
      </c>
      <c r="W676" s="320">
        <v>1</v>
      </c>
      <c r="X676" s="328">
        <f t="shared" ref="X676:X707" si="301">V676*W676</f>
        <v>4.0990000000000002</v>
      </c>
      <c r="Y676" s="464">
        <v>1</v>
      </c>
      <c r="Z676" s="328">
        <f t="shared" ref="Z676:Z707" si="302">V676*Y676</f>
        <v>4.0990000000000002</v>
      </c>
      <c r="AB676" s="458">
        <f t="shared" ref="AB676:AB707" si="303">X676-O676</f>
        <v>-1.1000000000000121E-2</v>
      </c>
      <c r="AC676" s="348">
        <f t="shared" ref="AC676:AC727" si="304">Z676-S676</f>
        <v>-1.1000000000000121E-2</v>
      </c>
    </row>
    <row r="677" spans="1:31">
      <c r="A677" s="318"/>
      <c r="B677" s="319"/>
      <c r="C677" s="318"/>
      <c r="D677" s="318"/>
      <c r="E677" s="319"/>
      <c r="F677" s="336"/>
      <c r="G677" s="318" t="s">
        <v>2012</v>
      </c>
      <c r="H677" s="328">
        <v>4.49</v>
      </c>
      <c r="I677" s="318">
        <v>1</v>
      </c>
      <c r="J677" s="318">
        <f t="shared" si="296"/>
        <v>1</v>
      </c>
      <c r="K677" s="328">
        <f t="shared" si="297"/>
        <v>4.49</v>
      </c>
      <c r="L677" s="318" t="s">
        <v>374</v>
      </c>
      <c r="M677" s="318" t="s">
        <v>370</v>
      </c>
      <c r="N677" s="318">
        <v>1</v>
      </c>
      <c r="O677" s="621">
        <f t="shared" si="298"/>
        <v>4.49</v>
      </c>
      <c r="P677" s="755"/>
      <c r="Q677" s="755"/>
      <c r="R677" s="341"/>
      <c r="S677" s="328">
        <f t="shared" ref="S677:S702" si="305">H677*P677</f>
        <v>0</v>
      </c>
      <c r="T677" s="319"/>
      <c r="V677" s="328">
        <f>4.49</f>
        <v>4.49</v>
      </c>
      <c r="W677" s="320">
        <v>1</v>
      </c>
      <c r="X677" s="328">
        <f t="shared" si="301"/>
        <v>4.49</v>
      </c>
      <c r="Y677" s="464">
        <v>1</v>
      </c>
      <c r="Z677" s="328">
        <f t="shared" si="302"/>
        <v>4.49</v>
      </c>
      <c r="AB677" s="458">
        <f t="shared" si="303"/>
        <v>0</v>
      </c>
      <c r="AC677" s="348">
        <f t="shared" si="304"/>
        <v>4.49</v>
      </c>
    </row>
    <row r="678" spans="1:31">
      <c r="A678" s="318"/>
      <c r="B678" s="319"/>
      <c r="C678" s="318"/>
      <c r="D678" s="318"/>
      <c r="E678" s="319"/>
      <c r="F678" s="319"/>
      <c r="G678" s="318" t="s">
        <v>2013</v>
      </c>
      <c r="H678" s="328">
        <v>4.49</v>
      </c>
      <c r="I678" s="318">
        <v>1</v>
      </c>
      <c r="J678" s="318">
        <f t="shared" si="296"/>
        <v>1</v>
      </c>
      <c r="K678" s="328">
        <f t="shared" si="297"/>
        <v>4.49</v>
      </c>
      <c r="L678" s="318">
        <v>1693</v>
      </c>
      <c r="M678" s="318">
        <v>155</v>
      </c>
      <c r="N678" s="318">
        <v>1</v>
      </c>
      <c r="O678" s="621">
        <f t="shared" si="298"/>
        <v>4.49</v>
      </c>
      <c r="P678" s="755"/>
      <c r="Q678" s="755"/>
      <c r="R678" s="341"/>
      <c r="S678" s="328">
        <f t="shared" si="305"/>
        <v>0</v>
      </c>
      <c r="T678" s="319"/>
      <c r="V678" s="328">
        <f t="shared" ref="V678:V693" si="306">4.49</f>
        <v>4.49</v>
      </c>
      <c r="W678" s="320">
        <v>1</v>
      </c>
      <c r="X678" s="328">
        <f t="shared" si="301"/>
        <v>4.49</v>
      </c>
      <c r="Y678" s="464">
        <v>1</v>
      </c>
      <c r="Z678" s="328">
        <f t="shared" si="302"/>
        <v>4.49</v>
      </c>
      <c r="AB678" s="458">
        <f t="shared" si="303"/>
        <v>0</v>
      </c>
      <c r="AC678" s="348">
        <f t="shared" si="304"/>
        <v>4.49</v>
      </c>
    </row>
    <row r="679" spans="1:31">
      <c r="A679" s="318"/>
      <c r="B679" s="319"/>
      <c r="C679" s="318"/>
      <c r="D679" s="318"/>
      <c r="E679" s="319"/>
      <c r="F679" s="319"/>
      <c r="G679" s="318" t="s">
        <v>2014</v>
      </c>
      <c r="H679" s="328">
        <v>4.49</v>
      </c>
      <c r="I679" s="318">
        <v>1</v>
      </c>
      <c r="J679" s="318">
        <f t="shared" si="296"/>
        <v>1</v>
      </c>
      <c r="K679" s="328">
        <f t="shared" si="297"/>
        <v>4.49</v>
      </c>
      <c r="L679" s="318" t="s">
        <v>369</v>
      </c>
      <c r="M679" s="318" t="s">
        <v>370</v>
      </c>
      <c r="N679" s="318">
        <v>1</v>
      </c>
      <c r="O679" s="621">
        <f t="shared" si="298"/>
        <v>4.49</v>
      </c>
      <c r="P679" s="755"/>
      <c r="Q679" s="755"/>
      <c r="R679" s="341"/>
      <c r="S679" s="328">
        <f t="shared" si="305"/>
        <v>0</v>
      </c>
      <c r="T679" s="319"/>
      <c r="V679" s="328">
        <f t="shared" si="306"/>
        <v>4.49</v>
      </c>
      <c r="W679" s="320">
        <v>1</v>
      </c>
      <c r="X679" s="328">
        <f t="shared" si="301"/>
        <v>4.49</v>
      </c>
      <c r="Y679" s="464">
        <v>1</v>
      </c>
      <c r="Z679" s="328">
        <f t="shared" si="302"/>
        <v>4.49</v>
      </c>
      <c r="AB679" s="458">
        <f t="shared" si="303"/>
        <v>0</v>
      </c>
      <c r="AC679" s="348">
        <f t="shared" si="304"/>
        <v>4.49</v>
      </c>
    </row>
    <row r="680" spans="1:31">
      <c r="A680" s="318"/>
      <c r="B680" s="319"/>
      <c r="C680" s="318"/>
      <c r="D680" s="318"/>
      <c r="E680" s="319"/>
      <c r="F680" s="319"/>
      <c r="G680" s="318" t="s">
        <v>2015</v>
      </c>
      <c r="H680" s="328">
        <v>4.49</v>
      </c>
      <c r="I680" s="318">
        <v>1</v>
      </c>
      <c r="J680" s="318">
        <f t="shared" si="296"/>
        <v>1</v>
      </c>
      <c r="K680" s="328">
        <f t="shared" si="297"/>
        <v>4.49</v>
      </c>
      <c r="L680" s="318" t="s">
        <v>373</v>
      </c>
      <c r="M680" s="318">
        <v>155</v>
      </c>
      <c r="N680" s="318">
        <v>1</v>
      </c>
      <c r="O680" s="621">
        <f t="shared" si="298"/>
        <v>4.49</v>
      </c>
      <c r="P680" s="755"/>
      <c r="Q680" s="755"/>
      <c r="R680" s="341"/>
      <c r="S680" s="328">
        <f t="shared" si="305"/>
        <v>0</v>
      </c>
      <c r="T680" s="319"/>
      <c r="V680" s="328">
        <f t="shared" si="306"/>
        <v>4.49</v>
      </c>
      <c r="W680" s="320">
        <v>1</v>
      </c>
      <c r="X680" s="328">
        <f t="shared" si="301"/>
        <v>4.49</v>
      </c>
      <c r="Y680" s="464">
        <v>1</v>
      </c>
      <c r="Z680" s="328">
        <f t="shared" si="302"/>
        <v>4.49</v>
      </c>
      <c r="AB680" s="458">
        <f t="shared" si="303"/>
        <v>0</v>
      </c>
      <c r="AC680" s="348">
        <f t="shared" si="304"/>
        <v>4.49</v>
      </c>
    </row>
    <row r="681" spans="1:31">
      <c r="A681" s="318"/>
      <c r="B681" s="319"/>
      <c r="C681" s="318"/>
      <c r="D681" s="318"/>
      <c r="E681" s="319"/>
      <c r="F681" s="319"/>
      <c r="G681" s="318" t="s">
        <v>2016</v>
      </c>
      <c r="H681" s="328">
        <v>4.49</v>
      </c>
      <c r="I681" s="318">
        <v>1</v>
      </c>
      <c r="J681" s="318">
        <f t="shared" si="296"/>
        <v>1</v>
      </c>
      <c r="K681" s="328">
        <f t="shared" si="297"/>
        <v>4.49</v>
      </c>
      <c r="L681" s="351" t="s">
        <v>2300</v>
      </c>
      <c r="M681" s="349">
        <v>155159</v>
      </c>
      <c r="N681" s="318">
        <v>1</v>
      </c>
      <c r="O681" s="621">
        <f t="shared" si="298"/>
        <v>4.49</v>
      </c>
      <c r="P681" s="755"/>
      <c r="Q681" s="755"/>
      <c r="R681" s="341"/>
      <c r="S681" s="328">
        <f t="shared" si="305"/>
        <v>0</v>
      </c>
      <c r="T681" s="319"/>
      <c r="V681" s="328">
        <f t="shared" si="306"/>
        <v>4.49</v>
      </c>
      <c r="W681" s="320">
        <v>1</v>
      </c>
      <c r="X681" s="328">
        <f t="shared" si="301"/>
        <v>4.49</v>
      </c>
      <c r="Y681" s="464">
        <v>1</v>
      </c>
      <c r="Z681" s="328">
        <f t="shared" si="302"/>
        <v>4.49</v>
      </c>
      <c r="AB681" s="458">
        <f t="shared" si="303"/>
        <v>0</v>
      </c>
      <c r="AC681" s="348">
        <f t="shared" si="304"/>
        <v>4.49</v>
      </c>
    </row>
    <row r="682" spans="1:31">
      <c r="A682" s="318"/>
      <c r="B682" s="319"/>
      <c r="C682" s="318"/>
      <c r="D682" s="318"/>
      <c r="E682" s="319"/>
      <c r="F682" s="319"/>
      <c r="G682" s="318" t="s">
        <v>2017</v>
      </c>
      <c r="H682" s="328">
        <v>4.49</v>
      </c>
      <c r="I682" s="318">
        <v>1</v>
      </c>
      <c r="J682" s="318">
        <f t="shared" si="296"/>
        <v>1</v>
      </c>
      <c r="K682" s="328">
        <f t="shared" si="297"/>
        <v>4.49</v>
      </c>
      <c r="L682" s="318">
        <v>1734</v>
      </c>
      <c r="M682" s="318">
        <v>160</v>
      </c>
      <c r="N682" s="318">
        <v>1</v>
      </c>
      <c r="O682" s="621">
        <f t="shared" si="298"/>
        <v>4.49</v>
      </c>
      <c r="P682" s="755"/>
      <c r="Q682" s="755"/>
      <c r="R682" s="341"/>
      <c r="S682" s="328">
        <f t="shared" si="305"/>
        <v>0</v>
      </c>
      <c r="T682" s="319"/>
      <c r="V682" s="328">
        <f t="shared" si="306"/>
        <v>4.49</v>
      </c>
      <c r="W682" s="320">
        <v>1</v>
      </c>
      <c r="X682" s="328">
        <f t="shared" si="301"/>
        <v>4.49</v>
      </c>
      <c r="Y682" s="464">
        <v>1</v>
      </c>
      <c r="Z682" s="328">
        <f t="shared" si="302"/>
        <v>4.49</v>
      </c>
      <c r="AB682" s="458">
        <f t="shared" si="303"/>
        <v>0</v>
      </c>
      <c r="AC682" s="348">
        <f t="shared" si="304"/>
        <v>4.49</v>
      </c>
    </row>
    <row r="683" spans="1:31">
      <c r="A683" s="318"/>
      <c r="B683" s="319"/>
      <c r="C683" s="318"/>
      <c r="D683" s="318"/>
      <c r="E683" s="319"/>
      <c r="F683" s="319"/>
      <c r="G683" s="318" t="s">
        <v>2018</v>
      </c>
      <c r="H683" s="328">
        <v>4.49</v>
      </c>
      <c r="I683" s="318">
        <v>1</v>
      </c>
      <c r="J683" s="318">
        <f t="shared" si="296"/>
        <v>1</v>
      </c>
      <c r="K683" s="328">
        <f t="shared" si="297"/>
        <v>4.49</v>
      </c>
      <c r="L683" s="318">
        <v>1734</v>
      </c>
      <c r="M683" s="318">
        <v>160</v>
      </c>
      <c r="N683" s="318">
        <v>1</v>
      </c>
      <c r="O683" s="621">
        <f t="shared" si="298"/>
        <v>4.49</v>
      </c>
      <c r="P683" s="755"/>
      <c r="Q683" s="755"/>
      <c r="R683" s="341"/>
      <c r="S683" s="328">
        <f t="shared" si="305"/>
        <v>0</v>
      </c>
      <c r="T683" s="319"/>
      <c r="V683" s="328">
        <f t="shared" si="306"/>
        <v>4.49</v>
      </c>
      <c r="W683" s="320">
        <v>1</v>
      </c>
      <c r="X683" s="328">
        <f t="shared" si="301"/>
        <v>4.49</v>
      </c>
      <c r="Y683" s="464">
        <v>1</v>
      </c>
      <c r="Z683" s="328">
        <f t="shared" si="302"/>
        <v>4.49</v>
      </c>
      <c r="AB683" s="458">
        <f t="shared" si="303"/>
        <v>0</v>
      </c>
      <c r="AC683" s="348">
        <f t="shared" si="304"/>
        <v>4.49</v>
      </c>
    </row>
    <row r="684" spans="1:31">
      <c r="A684" s="318"/>
      <c r="B684" s="319"/>
      <c r="C684" s="318"/>
      <c r="D684" s="318"/>
      <c r="E684" s="319"/>
      <c r="F684" s="319"/>
      <c r="G684" s="318" t="s">
        <v>2019</v>
      </c>
      <c r="H684" s="328">
        <v>4.49</v>
      </c>
      <c r="I684" s="318">
        <v>1</v>
      </c>
      <c r="J684" s="318">
        <f t="shared" si="296"/>
        <v>1</v>
      </c>
      <c r="K684" s="328">
        <f t="shared" si="297"/>
        <v>4.49</v>
      </c>
      <c r="L684" s="318">
        <v>1585</v>
      </c>
      <c r="M684" s="318">
        <v>139</v>
      </c>
      <c r="N684" s="318">
        <v>1</v>
      </c>
      <c r="O684" s="621">
        <f t="shared" si="298"/>
        <v>4.49</v>
      </c>
      <c r="P684" s="755"/>
      <c r="Q684" s="755"/>
      <c r="R684" s="341"/>
      <c r="S684" s="328">
        <f t="shared" si="305"/>
        <v>0</v>
      </c>
      <c r="T684" s="319"/>
      <c r="V684" s="328">
        <f t="shared" si="306"/>
        <v>4.49</v>
      </c>
      <c r="W684" s="320">
        <v>1</v>
      </c>
      <c r="X684" s="328">
        <f t="shared" si="301"/>
        <v>4.49</v>
      </c>
      <c r="Y684" s="464">
        <v>1</v>
      </c>
      <c r="Z684" s="328">
        <f t="shared" si="302"/>
        <v>4.49</v>
      </c>
      <c r="AB684" s="458">
        <f t="shared" si="303"/>
        <v>0</v>
      </c>
      <c r="AC684" s="348">
        <f t="shared" si="304"/>
        <v>4.49</v>
      </c>
    </row>
    <row r="685" spans="1:31">
      <c r="A685" s="318"/>
      <c r="B685" s="319"/>
      <c r="C685" s="318"/>
      <c r="D685" s="318"/>
      <c r="E685" s="319"/>
      <c r="F685" s="319"/>
      <c r="G685" s="318" t="s">
        <v>2020</v>
      </c>
      <c r="H685" s="328">
        <v>4.49</v>
      </c>
      <c r="I685" s="318">
        <v>1</v>
      </c>
      <c r="J685" s="318">
        <f t="shared" si="296"/>
        <v>1</v>
      </c>
      <c r="K685" s="328">
        <f t="shared" si="297"/>
        <v>4.49</v>
      </c>
      <c r="L685" s="318">
        <v>1585</v>
      </c>
      <c r="M685" s="318">
        <v>139</v>
      </c>
      <c r="N685" s="318">
        <v>1</v>
      </c>
      <c r="O685" s="621">
        <f t="shared" si="298"/>
        <v>4.49</v>
      </c>
      <c r="P685" s="755"/>
      <c r="Q685" s="755"/>
      <c r="R685" s="341"/>
      <c r="S685" s="328">
        <f t="shared" si="305"/>
        <v>0</v>
      </c>
      <c r="T685" s="319"/>
      <c r="V685" s="328">
        <f t="shared" si="306"/>
        <v>4.49</v>
      </c>
      <c r="W685" s="320">
        <v>1</v>
      </c>
      <c r="X685" s="328">
        <f t="shared" si="301"/>
        <v>4.49</v>
      </c>
      <c r="Y685" s="464">
        <v>1</v>
      </c>
      <c r="Z685" s="328">
        <f t="shared" si="302"/>
        <v>4.49</v>
      </c>
      <c r="AB685" s="458">
        <f t="shared" si="303"/>
        <v>0</v>
      </c>
      <c r="AC685" s="348">
        <f t="shared" si="304"/>
        <v>4.49</v>
      </c>
    </row>
    <row r="686" spans="1:31">
      <c r="A686" s="318"/>
      <c r="B686" s="319"/>
      <c r="C686" s="318"/>
      <c r="D686" s="318"/>
      <c r="E686" s="319"/>
      <c r="F686" s="336"/>
      <c r="G686" s="318" t="s">
        <v>2021</v>
      </c>
      <c r="H686" s="328">
        <v>4.49</v>
      </c>
      <c r="I686" s="318">
        <v>1</v>
      </c>
      <c r="J686" s="318">
        <f t="shared" si="296"/>
        <v>1</v>
      </c>
      <c r="K686" s="328">
        <f t="shared" si="297"/>
        <v>4.49</v>
      </c>
      <c r="L686" s="318">
        <v>1585</v>
      </c>
      <c r="M686" s="318">
        <v>139</v>
      </c>
      <c r="N686" s="318">
        <v>1</v>
      </c>
      <c r="O686" s="621">
        <f t="shared" si="298"/>
        <v>4.49</v>
      </c>
      <c r="P686" s="755"/>
      <c r="Q686" s="755"/>
      <c r="R686" s="341"/>
      <c r="S686" s="328">
        <f t="shared" si="305"/>
        <v>0</v>
      </c>
      <c r="T686" s="319"/>
      <c r="V686" s="328">
        <f t="shared" si="306"/>
        <v>4.49</v>
      </c>
      <c r="W686" s="320">
        <v>1</v>
      </c>
      <c r="X686" s="328">
        <f t="shared" si="301"/>
        <v>4.49</v>
      </c>
      <c r="Y686" s="464">
        <v>1</v>
      </c>
      <c r="Z686" s="328">
        <f t="shared" si="302"/>
        <v>4.49</v>
      </c>
      <c r="AB686" s="458">
        <f t="shared" si="303"/>
        <v>0</v>
      </c>
      <c r="AC686" s="348">
        <f t="shared" si="304"/>
        <v>4.49</v>
      </c>
    </row>
    <row r="687" spans="1:31">
      <c r="A687" s="318"/>
      <c r="B687" s="319"/>
      <c r="C687" s="318"/>
      <c r="D687" s="318"/>
      <c r="E687" s="319"/>
      <c r="F687" s="336"/>
      <c r="G687" s="318" t="s">
        <v>2022</v>
      </c>
      <c r="H687" s="328">
        <v>4.49</v>
      </c>
      <c r="I687" s="318">
        <v>1</v>
      </c>
      <c r="J687" s="318">
        <f t="shared" si="296"/>
        <v>1</v>
      </c>
      <c r="K687" s="328">
        <f t="shared" si="297"/>
        <v>4.49</v>
      </c>
      <c r="L687" s="318">
        <v>1585</v>
      </c>
      <c r="M687" s="318">
        <v>139</v>
      </c>
      <c r="N687" s="318">
        <v>1</v>
      </c>
      <c r="O687" s="621">
        <f t="shared" si="298"/>
        <v>4.49</v>
      </c>
      <c r="P687" s="755"/>
      <c r="Q687" s="755"/>
      <c r="R687" s="341"/>
      <c r="S687" s="328">
        <f t="shared" si="305"/>
        <v>0</v>
      </c>
      <c r="T687" s="319"/>
      <c r="V687" s="328">
        <f t="shared" si="306"/>
        <v>4.49</v>
      </c>
      <c r="W687" s="320">
        <v>1</v>
      </c>
      <c r="X687" s="328">
        <f t="shared" si="301"/>
        <v>4.49</v>
      </c>
      <c r="Y687" s="464">
        <v>1</v>
      </c>
      <c r="Z687" s="328">
        <f t="shared" si="302"/>
        <v>4.49</v>
      </c>
      <c r="AB687" s="458">
        <f t="shared" si="303"/>
        <v>0</v>
      </c>
      <c r="AC687" s="348">
        <f t="shared" si="304"/>
        <v>4.49</v>
      </c>
    </row>
    <row r="688" spans="1:31">
      <c r="A688" s="318"/>
      <c r="B688" s="319"/>
      <c r="C688" s="318"/>
      <c r="D688" s="318"/>
      <c r="E688" s="319"/>
      <c r="F688" s="319"/>
      <c r="G688" s="318" t="s">
        <v>2023</v>
      </c>
      <c r="H688" s="328">
        <v>4.49</v>
      </c>
      <c r="I688" s="318">
        <v>1</v>
      </c>
      <c r="J688" s="318">
        <f t="shared" si="296"/>
        <v>1</v>
      </c>
      <c r="K688" s="328">
        <f t="shared" si="297"/>
        <v>4.49</v>
      </c>
      <c r="L688" s="318">
        <v>1585</v>
      </c>
      <c r="M688" s="318">
        <v>139</v>
      </c>
      <c r="N688" s="318">
        <v>1</v>
      </c>
      <c r="O688" s="621">
        <f t="shared" si="298"/>
        <v>4.49</v>
      </c>
      <c r="P688" s="755"/>
      <c r="Q688" s="755"/>
      <c r="R688" s="341"/>
      <c r="S688" s="328">
        <f t="shared" si="305"/>
        <v>0</v>
      </c>
      <c r="T688" s="319"/>
      <c r="V688" s="328">
        <f t="shared" si="306"/>
        <v>4.49</v>
      </c>
      <c r="W688" s="320">
        <v>1</v>
      </c>
      <c r="X688" s="328">
        <f t="shared" si="301"/>
        <v>4.49</v>
      </c>
      <c r="Y688" s="464">
        <v>1</v>
      </c>
      <c r="Z688" s="328">
        <f t="shared" si="302"/>
        <v>4.49</v>
      </c>
      <c r="AB688" s="458">
        <f t="shared" si="303"/>
        <v>0</v>
      </c>
      <c r="AC688" s="348">
        <f t="shared" si="304"/>
        <v>4.49</v>
      </c>
    </row>
    <row r="689" spans="1:29">
      <c r="A689" s="318"/>
      <c r="B689" s="319"/>
      <c r="C689" s="318"/>
      <c r="D689" s="318"/>
      <c r="E689" s="319"/>
      <c r="F689" s="319"/>
      <c r="G689" s="318" t="s">
        <v>2024</v>
      </c>
      <c r="H689" s="328">
        <v>4.49</v>
      </c>
      <c r="I689" s="318">
        <v>1</v>
      </c>
      <c r="J689" s="318">
        <f t="shared" si="296"/>
        <v>1</v>
      </c>
      <c r="K689" s="328">
        <f t="shared" si="297"/>
        <v>4.49</v>
      </c>
      <c r="L689" s="318" t="s">
        <v>343</v>
      </c>
      <c r="M689" s="318" t="s">
        <v>360</v>
      </c>
      <c r="N689" s="318">
        <v>1</v>
      </c>
      <c r="O689" s="621">
        <f t="shared" si="298"/>
        <v>4.49</v>
      </c>
      <c r="P689" s="755"/>
      <c r="Q689" s="755"/>
      <c r="R689" s="341"/>
      <c r="S689" s="328">
        <f t="shared" si="305"/>
        <v>0</v>
      </c>
      <c r="T689" s="319"/>
      <c r="V689" s="328">
        <f t="shared" si="306"/>
        <v>4.49</v>
      </c>
      <c r="W689" s="320">
        <v>1</v>
      </c>
      <c r="X689" s="328">
        <f t="shared" si="301"/>
        <v>4.49</v>
      </c>
      <c r="Y689" s="464">
        <v>1</v>
      </c>
      <c r="Z689" s="328">
        <f t="shared" si="302"/>
        <v>4.49</v>
      </c>
      <c r="AB689" s="458">
        <f t="shared" si="303"/>
        <v>0</v>
      </c>
      <c r="AC689" s="348">
        <f t="shared" si="304"/>
        <v>4.49</v>
      </c>
    </row>
    <row r="690" spans="1:29">
      <c r="A690" s="318"/>
      <c r="B690" s="319"/>
      <c r="C690" s="318"/>
      <c r="D690" s="318"/>
      <c r="E690" s="319"/>
      <c r="F690" s="319"/>
      <c r="G690" s="318" t="s">
        <v>2025</v>
      </c>
      <c r="H690" s="328">
        <v>4.49</v>
      </c>
      <c r="I690" s="318">
        <v>1</v>
      </c>
      <c r="J690" s="318">
        <f t="shared" si="296"/>
        <v>1</v>
      </c>
      <c r="K690" s="328">
        <f t="shared" si="297"/>
        <v>4.49</v>
      </c>
      <c r="L690" s="318" t="s">
        <v>343</v>
      </c>
      <c r="M690" s="318">
        <v>140</v>
      </c>
      <c r="N690" s="318">
        <v>1</v>
      </c>
      <c r="O690" s="621">
        <f t="shared" si="298"/>
        <v>4.49</v>
      </c>
      <c r="P690" s="755"/>
      <c r="Q690" s="755"/>
      <c r="R690" s="341"/>
      <c r="S690" s="328">
        <f t="shared" si="305"/>
        <v>0</v>
      </c>
      <c r="T690" s="319"/>
      <c r="V690" s="328">
        <f t="shared" si="306"/>
        <v>4.49</v>
      </c>
      <c r="W690" s="320">
        <v>1</v>
      </c>
      <c r="X690" s="328">
        <f t="shared" si="301"/>
        <v>4.49</v>
      </c>
      <c r="Y690" s="464">
        <v>1</v>
      </c>
      <c r="Z690" s="328">
        <f t="shared" si="302"/>
        <v>4.49</v>
      </c>
      <c r="AB690" s="458">
        <f t="shared" si="303"/>
        <v>0</v>
      </c>
      <c r="AC690" s="348">
        <f t="shared" si="304"/>
        <v>4.49</v>
      </c>
    </row>
    <row r="691" spans="1:29">
      <c r="A691" s="318"/>
      <c r="B691" s="319"/>
      <c r="C691" s="318"/>
      <c r="D691" s="318"/>
      <c r="E691" s="319"/>
      <c r="F691" s="319"/>
      <c r="G691" s="318" t="s">
        <v>2026</v>
      </c>
      <c r="H691" s="328">
        <v>4.49</v>
      </c>
      <c r="I691" s="318">
        <v>1</v>
      </c>
      <c r="J691" s="318">
        <f t="shared" si="296"/>
        <v>1</v>
      </c>
      <c r="K691" s="328">
        <f t="shared" si="297"/>
        <v>4.49</v>
      </c>
      <c r="L691" s="318" t="s">
        <v>343</v>
      </c>
      <c r="M691" s="318">
        <v>140</v>
      </c>
      <c r="N691" s="318">
        <v>1</v>
      </c>
      <c r="O691" s="621">
        <f t="shared" si="298"/>
        <v>4.49</v>
      </c>
      <c r="P691" s="755"/>
      <c r="Q691" s="755"/>
      <c r="R691" s="341"/>
      <c r="S691" s="328">
        <f t="shared" si="305"/>
        <v>0</v>
      </c>
      <c r="T691" s="319"/>
      <c r="V691" s="328">
        <f t="shared" si="306"/>
        <v>4.49</v>
      </c>
      <c r="W691" s="320">
        <v>1</v>
      </c>
      <c r="X691" s="328">
        <f t="shared" si="301"/>
        <v>4.49</v>
      </c>
      <c r="Y691" s="464">
        <v>1</v>
      </c>
      <c r="Z691" s="328">
        <f t="shared" si="302"/>
        <v>4.49</v>
      </c>
      <c r="AB691" s="458">
        <f t="shared" si="303"/>
        <v>0</v>
      </c>
      <c r="AC691" s="348">
        <f t="shared" si="304"/>
        <v>4.49</v>
      </c>
    </row>
    <row r="692" spans="1:29">
      <c r="A692" s="318"/>
      <c r="B692" s="319"/>
      <c r="C692" s="318"/>
      <c r="D692" s="318"/>
      <c r="E692" s="319"/>
      <c r="F692" s="336"/>
      <c r="G692" s="318" t="s">
        <v>2027</v>
      </c>
      <c r="H692" s="328">
        <v>4.49</v>
      </c>
      <c r="I692" s="318">
        <v>1</v>
      </c>
      <c r="J692" s="318">
        <f t="shared" si="296"/>
        <v>1</v>
      </c>
      <c r="K692" s="328">
        <f t="shared" si="297"/>
        <v>4.49</v>
      </c>
      <c r="L692" s="318">
        <v>1591</v>
      </c>
      <c r="M692" s="318">
        <v>140</v>
      </c>
      <c r="N692" s="318">
        <v>1</v>
      </c>
      <c r="O692" s="621">
        <f t="shared" si="298"/>
        <v>4.49</v>
      </c>
      <c r="P692" s="755"/>
      <c r="Q692" s="755"/>
      <c r="R692" s="341"/>
      <c r="S692" s="328">
        <f t="shared" si="305"/>
        <v>0</v>
      </c>
      <c r="T692" s="319"/>
      <c r="V692" s="328">
        <f t="shared" si="306"/>
        <v>4.49</v>
      </c>
      <c r="W692" s="320"/>
      <c r="X692" s="328">
        <f t="shared" si="301"/>
        <v>0</v>
      </c>
      <c r="Y692" s="320"/>
      <c r="Z692" s="328">
        <f t="shared" si="302"/>
        <v>0</v>
      </c>
      <c r="AB692" s="458">
        <f t="shared" si="303"/>
        <v>-4.49</v>
      </c>
      <c r="AC692" s="348">
        <f t="shared" si="304"/>
        <v>0</v>
      </c>
    </row>
    <row r="693" spans="1:29">
      <c r="A693" s="318"/>
      <c r="B693" s="319"/>
      <c r="C693" s="318"/>
      <c r="D693" s="318"/>
      <c r="E693" s="319"/>
      <c r="F693" s="336"/>
      <c r="G693" s="318" t="s">
        <v>2028</v>
      </c>
      <c r="H693" s="328">
        <v>4.16</v>
      </c>
      <c r="I693" s="318">
        <v>1</v>
      </c>
      <c r="J693" s="318">
        <f t="shared" si="296"/>
        <v>1</v>
      </c>
      <c r="K693" s="328">
        <f t="shared" si="297"/>
        <v>4.16</v>
      </c>
      <c r="L693" s="318">
        <v>1591</v>
      </c>
      <c r="M693" s="318">
        <v>140</v>
      </c>
      <c r="N693" s="318">
        <v>1</v>
      </c>
      <c r="O693" s="621">
        <f t="shared" si="298"/>
        <v>4.16</v>
      </c>
      <c r="P693" s="755"/>
      <c r="Q693" s="755"/>
      <c r="R693" s="341"/>
      <c r="S693" s="328">
        <f t="shared" si="305"/>
        <v>0</v>
      </c>
      <c r="T693" s="319"/>
      <c r="V693" s="328">
        <f t="shared" si="306"/>
        <v>4.49</v>
      </c>
      <c r="W693" s="320"/>
      <c r="X693" s="328">
        <f t="shared" si="301"/>
        <v>0</v>
      </c>
      <c r="Y693" s="320"/>
      <c r="Z693" s="328">
        <f t="shared" si="302"/>
        <v>0</v>
      </c>
      <c r="AB693" s="458">
        <f t="shared" si="303"/>
        <v>-4.16</v>
      </c>
      <c r="AC693" s="348">
        <f t="shared" si="304"/>
        <v>0</v>
      </c>
    </row>
    <row r="694" spans="1:29">
      <c r="A694" s="318"/>
      <c r="B694" s="319"/>
      <c r="C694" s="318"/>
      <c r="D694" s="318"/>
      <c r="E694" s="319"/>
      <c r="F694" s="336" t="s">
        <v>1225</v>
      </c>
      <c r="G694" s="318" t="s">
        <v>2029</v>
      </c>
      <c r="H694" s="328">
        <v>5.01</v>
      </c>
      <c r="I694" s="318">
        <v>1</v>
      </c>
      <c r="J694" s="318">
        <f t="shared" si="296"/>
        <v>1</v>
      </c>
      <c r="K694" s="328">
        <f t="shared" si="297"/>
        <v>5.01</v>
      </c>
      <c r="L694" s="318">
        <v>2024</v>
      </c>
      <c r="M694" s="318">
        <v>186</v>
      </c>
      <c r="N694" s="318">
        <v>1</v>
      </c>
      <c r="O694" s="621">
        <f t="shared" si="298"/>
        <v>5.01</v>
      </c>
      <c r="P694" s="755"/>
      <c r="Q694" s="755"/>
      <c r="R694" s="341"/>
      <c r="S694" s="328">
        <f t="shared" si="305"/>
        <v>0</v>
      </c>
      <c r="T694" s="319"/>
      <c r="V694" s="328">
        <f>1.8+3.495</f>
        <v>5.2949999999999999</v>
      </c>
      <c r="W694" s="320"/>
      <c r="X694" s="328">
        <f t="shared" si="301"/>
        <v>0</v>
      </c>
      <c r="Y694" s="320"/>
      <c r="Z694" s="328">
        <f t="shared" si="302"/>
        <v>0</v>
      </c>
      <c r="AB694" s="458">
        <f t="shared" si="303"/>
        <v>-5.01</v>
      </c>
      <c r="AC694" s="348">
        <f t="shared" si="304"/>
        <v>0</v>
      </c>
    </row>
    <row r="695" spans="1:29">
      <c r="A695" s="318"/>
      <c r="B695" s="319"/>
      <c r="C695" s="318"/>
      <c r="D695" s="318"/>
      <c r="E695" s="319"/>
      <c r="F695" s="336"/>
      <c r="G695" s="318" t="s">
        <v>2030</v>
      </c>
      <c r="H695" s="328">
        <v>4.49</v>
      </c>
      <c r="I695" s="318">
        <v>1</v>
      </c>
      <c r="J695" s="318">
        <f t="shared" si="296"/>
        <v>1</v>
      </c>
      <c r="K695" s="328">
        <f t="shared" si="297"/>
        <v>4.49</v>
      </c>
      <c r="L695" s="318">
        <v>2020</v>
      </c>
      <c r="M695" s="318"/>
      <c r="N695" s="318">
        <v>1</v>
      </c>
      <c r="O695" s="621">
        <f t="shared" si="298"/>
        <v>4.49</v>
      </c>
      <c r="P695" s="755"/>
      <c r="Q695" s="755"/>
      <c r="R695" s="341"/>
      <c r="S695" s="328">
        <f t="shared" si="305"/>
        <v>0</v>
      </c>
      <c r="T695" s="389"/>
      <c r="V695" s="328">
        <f t="shared" ref="V695:V717" si="307">4.49</f>
        <v>4.49</v>
      </c>
      <c r="W695" s="320"/>
      <c r="X695" s="328">
        <f t="shared" si="301"/>
        <v>0</v>
      </c>
      <c r="Y695" s="320"/>
      <c r="Z695" s="328">
        <f t="shared" si="302"/>
        <v>0</v>
      </c>
      <c r="AB695" s="458">
        <f t="shared" si="303"/>
        <v>-4.49</v>
      </c>
      <c r="AC695" s="348">
        <f t="shared" si="304"/>
        <v>0</v>
      </c>
    </row>
    <row r="696" spans="1:29">
      <c r="A696" s="318"/>
      <c r="B696" s="319"/>
      <c r="C696" s="318"/>
      <c r="D696" s="318"/>
      <c r="E696" s="319"/>
      <c r="F696" s="319"/>
      <c r="G696" s="318" t="s">
        <v>2031</v>
      </c>
      <c r="H696" s="328">
        <v>4.49</v>
      </c>
      <c r="I696" s="318">
        <v>1</v>
      </c>
      <c r="J696" s="318">
        <f t="shared" si="296"/>
        <v>1</v>
      </c>
      <c r="K696" s="328">
        <f t="shared" si="297"/>
        <v>4.49</v>
      </c>
      <c r="L696" s="318">
        <v>2020</v>
      </c>
      <c r="M696" s="318"/>
      <c r="N696" s="318">
        <v>1</v>
      </c>
      <c r="O696" s="621">
        <f t="shared" si="298"/>
        <v>4.49</v>
      </c>
      <c r="P696" s="755"/>
      <c r="Q696" s="755"/>
      <c r="R696" s="341"/>
      <c r="S696" s="328">
        <f t="shared" si="305"/>
        <v>0</v>
      </c>
      <c r="T696" s="389"/>
      <c r="V696" s="328">
        <f t="shared" si="307"/>
        <v>4.49</v>
      </c>
      <c r="W696" s="320"/>
      <c r="X696" s="328">
        <f t="shared" si="301"/>
        <v>0</v>
      </c>
      <c r="Y696" s="320"/>
      <c r="Z696" s="328">
        <f t="shared" si="302"/>
        <v>0</v>
      </c>
      <c r="AB696" s="458">
        <f t="shared" si="303"/>
        <v>-4.49</v>
      </c>
      <c r="AC696" s="348">
        <f t="shared" si="304"/>
        <v>0</v>
      </c>
    </row>
    <row r="697" spans="1:29">
      <c r="A697" s="318"/>
      <c r="B697" s="319"/>
      <c r="C697" s="318"/>
      <c r="D697" s="318"/>
      <c r="E697" s="319"/>
      <c r="F697" s="319"/>
      <c r="G697" s="318" t="s">
        <v>2032</v>
      </c>
      <c r="H697" s="328">
        <v>4.49</v>
      </c>
      <c r="I697" s="318">
        <v>1</v>
      </c>
      <c r="J697" s="318">
        <f t="shared" si="296"/>
        <v>1</v>
      </c>
      <c r="K697" s="328">
        <f t="shared" si="297"/>
        <v>4.49</v>
      </c>
      <c r="L697" s="318">
        <v>2020</v>
      </c>
      <c r="M697" s="318"/>
      <c r="N697" s="318">
        <v>1</v>
      </c>
      <c r="O697" s="621">
        <f t="shared" si="298"/>
        <v>4.49</v>
      </c>
      <c r="P697" s="755"/>
      <c r="Q697" s="755"/>
      <c r="R697" s="341"/>
      <c r="S697" s="328">
        <f t="shared" si="305"/>
        <v>0</v>
      </c>
      <c r="T697" s="389"/>
      <c r="V697" s="328">
        <f t="shared" si="307"/>
        <v>4.49</v>
      </c>
      <c r="W697" s="320"/>
      <c r="X697" s="328">
        <f t="shared" si="301"/>
        <v>0</v>
      </c>
      <c r="Y697" s="320"/>
      <c r="Z697" s="328">
        <f t="shared" si="302"/>
        <v>0</v>
      </c>
      <c r="AB697" s="458">
        <f t="shared" si="303"/>
        <v>-4.49</v>
      </c>
      <c r="AC697" s="348">
        <f t="shared" si="304"/>
        <v>0</v>
      </c>
    </row>
    <row r="698" spans="1:29">
      <c r="A698" s="318"/>
      <c r="B698" s="319"/>
      <c r="C698" s="318"/>
      <c r="D698" s="318"/>
      <c r="E698" s="319"/>
      <c r="F698" s="336"/>
      <c r="G698" s="318" t="s">
        <v>2033</v>
      </c>
      <c r="H698" s="328">
        <v>4.49</v>
      </c>
      <c r="I698" s="318">
        <v>1</v>
      </c>
      <c r="J698" s="318">
        <f t="shared" si="296"/>
        <v>1</v>
      </c>
      <c r="K698" s="328">
        <f t="shared" si="297"/>
        <v>4.49</v>
      </c>
      <c r="L698" s="318">
        <v>2020</v>
      </c>
      <c r="M698" s="318"/>
      <c r="N698" s="318">
        <v>1</v>
      </c>
      <c r="O698" s="621">
        <f t="shared" si="298"/>
        <v>4.49</v>
      </c>
      <c r="P698" s="755"/>
      <c r="Q698" s="755"/>
      <c r="R698" s="341"/>
      <c r="S698" s="328">
        <f t="shared" si="305"/>
        <v>0</v>
      </c>
      <c r="T698" s="389"/>
      <c r="V698" s="328">
        <f t="shared" si="307"/>
        <v>4.49</v>
      </c>
      <c r="W698" s="320"/>
      <c r="X698" s="328">
        <f t="shared" si="301"/>
        <v>0</v>
      </c>
      <c r="Y698" s="320"/>
      <c r="Z698" s="328">
        <f t="shared" si="302"/>
        <v>0</v>
      </c>
      <c r="AB698" s="458">
        <f t="shared" si="303"/>
        <v>-4.49</v>
      </c>
      <c r="AC698" s="348">
        <f t="shared" si="304"/>
        <v>0</v>
      </c>
    </row>
    <row r="699" spans="1:29" ht="14.4" customHeight="1">
      <c r="A699" s="318"/>
      <c r="B699" s="319"/>
      <c r="C699" s="318"/>
      <c r="D699" s="318"/>
      <c r="E699" s="319"/>
      <c r="F699" s="336" t="s">
        <v>1225</v>
      </c>
      <c r="G699" s="318" t="s">
        <v>2034</v>
      </c>
      <c r="H699" s="328">
        <v>5.01</v>
      </c>
      <c r="I699" s="318">
        <v>1</v>
      </c>
      <c r="J699" s="318">
        <f t="shared" si="296"/>
        <v>1</v>
      </c>
      <c r="K699" s="328">
        <f t="shared" si="297"/>
        <v>5.01</v>
      </c>
      <c r="L699" s="318">
        <v>2049</v>
      </c>
      <c r="M699" s="318">
        <v>190</v>
      </c>
      <c r="N699" s="318">
        <v>1</v>
      </c>
      <c r="O699" s="621">
        <f t="shared" si="298"/>
        <v>5.01</v>
      </c>
      <c r="P699" s="755"/>
      <c r="Q699" s="755"/>
      <c r="R699" s="341"/>
      <c r="S699" s="328">
        <f t="shared" si="305"/>
        <v>0</v>
      </c>
      <c r="T699" s="388"/>
      <c r="V699" s="328">
        <f>1.8+3.495</f>
        <v>5.2949999999999999</v>
      </c>
      <c r="W699" s="320"/>
      <c r="X699" s="328">
        <f t="shared" si="301"/>
        <v>0</v>
      </c>
      <c r="Y699" s="320"/>
      <c r="Z699" s="328">
        <f t="shared" si="302"/>
        <v>0</v>
      </c>
      <c r="AB699" s="458">
        <f t="shared" si="303"/>
        <v>-5.01</v>
      </c>
      <c r="AC699" s="348">
        <f t="shared" si="304"/>
        <v>0</v>
      </c>
    </row>
    <row r="700" spans="1:29">
      <c r="A700" s="318"/>
      <c r="B700" s="319"/>
      <c r="C700" s="318"/>
      <c r="D700" s="318"/>
      <c r="E700" s="319"/>
      <c r="F700" s="336"/>
      <c r="G700" s="318" t="s">
        <v>2035</v>
      </c>
      <c r="H700" s="328">
        <v>4.17</v>
      </c>
      <c r="I700" s="318">
        <v>1</v>
      </c>
      <c r="J700" s="318">
        <f t="shared" si="296"/>
        <v>1</v>
      </c>
      <c r="K700" s="328">
        <f t="shared" si="297"/>
        <v>4.17</v>
      </c>
      <c r="L700" s="318">
        <v>2024</v>
      </c>
      <c r="M700" s="318">
        <v>186</v>
      </c>
      <c r="N700" s="318">
        <v>1</v>
      </c>
      <c r="O700" s="621">
        <f t="shared" si="298"/>
        <v>4.17</v>
      </c>
      <c r="P700" s="755"/>
      <c r="Q700" s="755"/>
      <c r="R700" s="341"/>
      <c r="S700" s="328">
        <f t="shared" si="305"/>
        <v>0</v>
      </c>
      <c r="T700" s="388"/>
      <c r="V700" s="328">
        <f t="shared" si="307"/>
        <v>4.49</v>
      </c>
      <c r="W700" s="320"/>
      <c r="X700" s="328">
        <f t="shared" si="301"/>
        <v>0</v>
      </c>
      <c r="Y700" s="320"/>
      <c r="Z700" s="328">
        <f t="shared" si="302"/>
        <v>0</v>
      </c>
      <c r="AB700" s="458">
        <f t="shared" si="303"/>
        <v>-4.17</v>
      </c>
      <c r="AC700" s="348">
        <f t="shared" si="304"/>
        <v>0</v>
      </c>
    </row>
    <row r="701" spans="1:29">
      <c r="A701" s="318"/>
      <c r="B701" s="319"/>
      <c r="C701" s="318"/>
      <c r="D701" s="318"/>
      <c r="E701" s="319"/>
      <c r="F701" s="336"/>
      <c r="G701" s="318" t="s">
        <v>2036</v>
      </c>
      <c r="H701" s="328">
        <v>4.49</v>
      </c>
      <c r="I701" s="318">
        <v>1</v>
      </c>
      <c r="J701" s="318">
        <f t="shared" si="296"/>
        <v>1</v>
      </c>
      <c r="K701" s="328">
        <f t="shared" si="297"/>
        <v>4.49</v>
      </c>
      <c r="L701" s="318">
        <v>2024</v>
      </c>
      <c r="M701" s="318">
        <v>186</v>
      </c>
      <c r="N701" s="318">
        <v>1</v>
      </c>
      <c r="O701" s="621">
        <f t="shared" si="298"/>
        <v>4.49</v>
      </c>
      <c r="P701" s="755"/>
      <c r="Q701" s="755"/>
      <c r="R701" s="341"/>
      <c r="S701" s="328">
        <f t="shared" si="305"/>
        <v>0</v>
      </c>
      <c r="T701" s="388"/>
      <c r="V701" s="328">
        <f t="shared" si="307"/>
        <v>4.49</v>
      </c>
      <c r="W701" s="320"/>
      <c r="X701" s="328">
        <f t="shared" si="301"/>
        <v>0</v>
      </c>
      <c r="Y701" s="320"/>
      <c r="Z701" s="328">
        <f t="shared" si="302"/>
        <v>0</v>
      </c>
      <c r="AB701" s="458">
        <f t="shared" si="303"/>
        <v>-4.49</v>
      </c>
      <c r="AC701" s="348">
        <f t="shared" si="304"/>
        <v>0</v>
      </c>
    </row>
    <row r="702" spans="1:29" ht="15" thickBot="1">
      <c r="A702" s="318"/>
      <c r="B702" s="319"/>
      <c r="C702" s="318"/>
      <c r="D702" s="318"/>
      <c r="E702" s="319"/>
      <c r="F702" s="336"/>
      <c r="G702" s="318" t="s">
        <v>2037</v>
      </c>
      <c r="H702" s="328">
        <v>4.49</v>
      </c>
      <c r="I702" s="318">
        <v>1</v>
      </c>
      <c r="J702" s="318">
        <f t="shared" si="296"/>
        <v>1</v>
      </c>
      <c r="K702" s="328">
        <f t="shared" si="297"/>
        <v>4.49</v>
      </c>
      <c r="L702" s="318">
        <v>2024</v>
      </c>
      <c r="M702" s="318">
        <v>186</v>
      </c>
      <c r="N702" s="318">
        <v>1</v>
      </c>
      <c r="O702" s="621">
        <f t="shared" si="298"/>
        <v>4.49</v>
      </c>
      <c r="P702" s="755"/>
      <c r="Q702" s="755"/>
      <c r="R702" s="341"/>
      <c r="S702" s="328">
        <f t="shared" si="305"/>
        <v>0</v>
      </c>
      <c r="T702" s="388"/>
      <c r="V702" s="328">
        <f t="shared" si="307"/>
        <v>4.49</v>
      </c>
      <c r="W702" s="320"/>
      <c r="X702" s="328">
        <f t="shared" si="301"/>
        <v>0</v>
      </c>
      <c r="Y702" s="320"/>
      <c r="Z702" s="328">
        <f t="shared" si="302"/>
        <v>0</v>
      </c>
      <c r="AB702" s="458">
        <f t="shared" si="303"/>
        <v>-4.49</v>
      </c>
      <c r="AC702" s="348">
        <f t="shared" si="304"/>
        <v>0</v>
      </c>
    </row>
    <row r="703" spans="1:29" ht="15.6" thickTop="1" thickBot="1">
      <c r="A703" s="318"/>
      <c r="B703" s="319"/>
      <c r="C703" s="318"/>
      <c r="D703" s="318"/>
      <c r="E703" s="319"/>
      <c r="F703" s="336"/>
      <c r="G703" s="652" t="s">
        <v>2038</v>
      </c>
      <c r="H703" s="328">
        <v>4.49</v>
      </c>
      <c r="I703" s="318">
        <v>1</v>
      </c>
      <c r="J703" s="318">
        <f t="shared" si="296"/>
        <v>1</v>
      </c>
      <c r="K703" s="328">
        <f t="shared" si="297"/>
        <v>4.49</v>
      </c>
      <c r="L703" s="318"/>
      <c r="M703" s="318"/>
      <c r="N703" s="318">
        <v>1</v>
      </c>
      <c r="O703" s="621">
        <f t="shared" si="298"/>
        <v>4.49</v>
      </c>
      <c r="P703" s="755"/>
      <c r="Q703" s="771"/>
      <c r="R703" s="627"/>
      <c r="S703" s="328">
        <f t="shared" ref="S703:S709" si="308">H703*R703</f>
        <v>0</v>
      </c>
      <c r="T703" s="388"/>
      <c r="V703" s="328">
        <f t="shared" si="307"/>
        <v>4.49</v>
      </c>
      <c r="W703" s="320"/>
      <c r="X703" s="328">
        <f t="shared" si="301"/>
        <v>0</v>
      </c>
      <c r="Y703" s="320"/>
      <c r="Z703" s="328">
        <f t="shared" si="302"/>
        <v>0</v>
      </c>
      <c r="AB703" s="458">
        <f t="shared" si="303"/>
        <v>-4.49</v>
      </c>
      <c r="AC703" s="348">
        <f t="shared" si="304"/>
        <v>0</v>
      </c>
    </row>
    <row r="704" spans="1:29" ht="15.6" thickTop="1" thickBot="1">
      <c r="A704" s="318"/>
      <c r="B704" s="319"/>
      <c r="C704" s="318"/>
      <c r="D704" s="318"/>
      <c r="E704" s="319"/>
      <c r="F704" s="336"/>
      <c r="G704" s="652" t="s">
        <v>2039</v>
      </c>
      <c r="H704" s="328">
        <v>4.49</v>
      </c>
      <c r="I704" s="318">
        <v>1</v>
      </c>
      <c r="J704" s="318">
        <f t="shared" si="296"/>
        <v>1</v>
      </c>
      <c r="K704" s="328">
        <f t="shared" si="297"/>
        <v>4.49</v>
      </c>
      <c r="L704" s="318"/>
      <c r="M704" s="318"/>
      <c r="N704" s="318">
        <v>1</v>
      </c>
      <c r="O704" s="621">
        <f t="shared" si="298"/>
        <v>4.49</v>
      </c>
      <c r="P704" s="755"/>
      <c r="Q704" s="771"/>
      <c r="R704" s="627"/>
      <c r="S704" s="328">
        <f t="shared" si="308"/>
        <v>0</v>
      </c>
      <c r="T704" s="388"/>
      <c r="V704" s="328">
        <f t="shared" si="307"/>
        <v>4.49</v>
      </c>
      <c r="W704" s="320"/>
      <c r="X704" s="328">
        <f t="shared" si="301"/>
        <v>0</v>
      </c>
      <c r="Y704" s="320"/>
      <c r="Z704" s="328">
        <f t="shared" si="302"/>
        <v>0</v>
      </c>
      <c r="AB704" s="458">
        <f t="shared" si="303"/>
        <v>-4.49</v>
      </c>
      <c r="AC704" s="348">
        <f t="shared" si="304"/>
        <v>0</v>
      </c>
    </row>
    <row r="705" spans="1:29" ht="15.6" thickTop="1" thickBot="1">
      <c r="A705" s="318"/>
      <c r="B705" s="319"/>
      <c r="C705" s="318"/>
      <c r="D705" s="318"/>
      <c r="E705" s="319"/>
      <c r="F705" s="336"/>
      <c r="G705" s="652" t="s">
        <v>2040</v>
      </c>
      <c r="H705" s="328">
        <v>4.49</v>
      </c>
      <c r="I705" s="318">
        <v>1</v>
      </c>
      <c r="J705" s="318">
        <v>1</v>
      </c>
      <c r="K705" s="328">
        <f t="shared" si="297"/>
        <v>4.49</v>
      </c>
      <c r="L705" s="318"/>
      <c r="M705" s="318"/>
      <c r="N705" s="318"/>
      <c r="O705" s="621">
        <f t="shared" si="298"/>
        <v>0</v>
      </c>
      <c r="P705" s="633"/>
      <c r="Q705" s="762"/>
      <c r="R705" s="627"/>
      <c r="S705" s="622">
        <f t="shared" si="308"/>
        <v>0</v>
      </c>
      <c r="T705" s="319" t="s">
        <v>3351</v>
      </c>
      <c r="V705" s="328">
        <f t="shared" si="307"/>
        <v>4.49</v>
      </c>
      <c r="W705" s="320"/>
      <c r="X705" s="328">
        <f t="shared" si="301"/>
        <v>0</v>
      </c>
      <c r="Y705" s="320"/>
      <c r="Z705" s="328">
        <f t="shared" si="302"/>
        <v>0</v>
      </c>
      <c r="AB705" s="458">
        <f t="shared" si="303"/>
        <v>0</v>
      </c>
      <c r="AC705" s="348">
        <f t="shared" si="304"/>
        <v>0</v>
      </c>
    </row>
    <row r="706" spans="1:29" ht="15.6" thickTop="1" thickBot="1">
      <c r="A706" s="318"/>
      <c r="B706" s="319"/>
      <c r="C706" s="318"/>
      <c r="D706" s="318"/>
      <c r="E706" s="319"/>
      <c r="F706" s="336"/>
      <c r="G706" s="652" t="s">
        <v>2041</v>
      </c>
      <c r="H706" s="328">
        <v>4.49</v>
      </c>
      <c r="I706" s="318">
        <v>1</v>
      </c>
      <c r="J706" s="318">
        <v>1</v>
      </c>
      <c r="K706" s="328">
        <f t="shared" si="297"/>
        <v>4.49</v>
      </c>
      <c r="L706" s="318"/>
      <c r="M706" s="318"/>
      <c r="N706" s="318"/>
      <c r="O706" s="621">
        <f t="shared" si="298"/>
        <v>0</v>
      </c>
      <c r="P706" s="633"/>
      <c r="Q706" s="762"/>
      <c r="R706" s="627"/>
      <c r="S706" s="622">
        <f t="shared" si="308"/>
        <v>0</v>
      </c>
      <c r="T706" s="319" t="s">
        <v>3351</v>
      </c>
      <c r="V706" s="328">
        <f t="shared" si="307"/>
        <v>4.49</v>
      </c>
      <c r="W706" s="320"/>
      <c r="X706" s="328">
        <f t="shared" si="301"/>
        <v>0</v>
      </c>
      <c r="Y706" s="320"/>
      <c r="Z706" s="328">
        <f t="shared" si="302"/>
        <v>0</v>
      </c>
      <c r="AB706" s="458">
        <f t="shared" si="303"/>
        <v>0</v>
      </c>
      <c r="AC706" s="348">
        <f t="shared" si="304"/>
        <v>0</v>
      </c>
    </row>
    <row r="707" spans="1:29" ht="15.6" thickTop="1" thickBot="1">
      <c r="A707" s="318"/>
      <c r="B707" s="319"/>
      <c r="C707" s="318"/>
      <c r="D707" s="318"/>
      <c r="E707" s="319"/>
      <c r="F707" s="336"/>
      <c r="G707" s="652" t="s">
        <v>2042</v>
      </c>
      <c r="H707" s="328">
        <v>4.49</v>
      </c>
      <c r="I707" s="318">
        <v>1</v>
      </c>
      <c r="J707" s="318">
        <v>1</v>
      </c>
      <c r="K707" s="328">
        <f t="shared" si="297"/>
        <v>4.49</v>
      </c>
      <c r="L707" s="318"/>
      <c r="M707" s="318"/>
      <c r="N707" s="318"/>
      <c r="O707" s="621">
        <f t="shared" si="298"/>
        <v>0</v>
      </c>
      <c r="P707" s="633"/>
      <c r="Q707" s="762"/>
      <c r="R707" s="627"/>
      <c r="S707" s="622">
        <f t="shared" si="308"/>
        <v>0</v>
      </c>
      <c r="T707" s="319" t="s">
        <v>3351</v>
      </c>
      <c r="V707" s="328">
        <f t="shared" si="307"/>
        <v>4.49</v>
      </c>
      <c r="W707" s="320"/>
      <c r="X707" s="328">
        <f t="shared" si="301"/>
        <v>0</v>
      </c>
      <c r="Y707" s="320"/>
      <c r="Z707" s="328">
        <f t="shared" si="302"/>
        <v>0</v>
      </c>
      <c r="AB707" s="458">
        <f t="shared" si="303"/>
        <v>0</v>
      </c>
      <c r="AC707" s="348">
        <f t="shared" si="304"/>
        <v>0</v>
      </c>
    </row>
    <row r="708" spans="1:29" ht="15.6" thickTop="1" thickBot="1">
      <c r="A708" s="318"/>
      <c r="B708" s="319"/>
      <c r="C708" s="318"/>
      <c r="D708" s="318"/>
      <c r="E708" s="319"/>
      <c r="F708" s="336"/>
      <c r="G708" s="652" t="s">
        <v>2043</v>
      </c>
      <c r="H708" s="328">
        <v>4.49</v>
      </c>
      <c r="I708" s="318">
        <v>1</v>
      </c>
      <c r="J708" s="318">
        <v>1</v>
      </c>
      <c r="K708" s="328">
        <f t="shared" si="297"/>
        <v>4.49</v>
      </c>
      <c r="L708" s="318"/>
      <c r="M708" s="318"/>
      <c r="N708" s="318"/>
      <c r="O708" s="621">
        <f t="shared" si="298"/>
        <v>0</v>
      </c>
      <c r="P708" s="633"/>
      <c r="Q708" s="762"/>
      <c r="R708" s="627"/>
      <c r="S708" s="622">
        <f t="shared" si="308"/>
        <v>0</v>
      </c>
      <c r="T708" s="319" t="s">
        <v>3351</v>
      </c>
      <c r="V708" s="328">
        <f t="shared" si="307"/>
        <v>4.49</v>
      </c>
      <c r="W708" s="320"/>
      <c r="X708" s="328">
        <f t="shared" ref="X708:X727" si="309">V708*W708</f>
        <v>0</v>
      </c>
      <c r="Y708" s="320"/>
      <c r="Z708" s="328">
        <f t="shared" ref="Z708:Z727" si="310">V708*Y708</f>
        <v>0</v>
      </c>
      <c r="AB708" s="458">
        <f t="shared" ref="AB708:AB727" si="311">X708-O708</f>
        <v>0</v>
      </c>
      <c r="AC708" s="348">
        <f t="shared" si="304"/>
        <v>0</v>
      </c>
    </row>
    <row r="709" spans="1:29" ht="15" thickTop="1">
      <c r="A709" s="318"/>
      <c r="B709" s="319"/>
      <c r="C709" s="318"/>
      <c r="D709" s="318"/>
      <c r="E709" s="319"/>
      <c r="F709" s="336"/>
      <c r="G709" s="318" t="s">
        <v>2044</v>
      </c>
      <c r="H709" s="328">
        <v>4.49</v>
      </c>
      <c r="I709" s="318">
        <v>1</v>
      </c>
      <c r="J709" s="318">
        <f t="shared" si="296"/>
        <v>1</v>
      </c>
      <c r="K709" s="328">
        <f t="shared" si="297"/>
        <v>4.49</v>
      </c>
      <c r="L709" s="318">
        <v>1771</v>
      </c>
      <c r="M709" s="318">
        <v>162</v>
      </c>
      <c r="N709" s="318">
        <v>1</v>
      </c>
      <c r="O709" s="621">
        <f t="shared" si="298"/>
        <v>4.49</v>
      </c>
      <c r="P709" s="755">
        <v>1</v>
      </c>
      <c r="Q709" s="755">
        <f t="shared" ref="Q709:Q717" si="312">R709-P709</f>
        <v>0</v>
      </c>
      <c r="R709" s="341">
        <v>1</v>
      </c>
      <c r="S709" s="318">
        <f t="shared" si="308"/>
        <v>4.49</v>
      </c>
      <c r="T709" s="609" t="s">
        <v>3459</v>
      </c>
      <c r="V709" s="328">
        <f t="shared" si="307"/>
        <v>4.49</v>
      </c>
      <c r="W709" s="320"/>
      <c r="X709" s="457">
        <f t="shared" si="309"/>
        <v>0</v>
      </c>
      <c r="Y709" s="320"/>
      <c r="Z709" s="457">
        <f t="shared" si="310"/>
        <v>0</v>
      </c>
      <c r="AB709" s="458">
        <f t="shared" si="311"/>
        <v>-4.49</v>
      </c>
      <c r="AC709" s="455">
        <f t="shared" si="304"/>
        <v>-4.49</v>
      </c>
    </row>
    <row r="710" spans="1:29">
      <c r="A710" s="318"/>
      <c r="B710" s="319"/>
      <c r="C710" s="318"/>
      <c r="D710" s="318"/>
      <c r="E710" s="319"/>
      <c r="F710" s="336"/>
      <c r="G710" s="318" t="s">
        <v>2045</v>
      </c>
      <c r="H710" s="328">
        <v>4.49</v>
      </c>
      <c r="I710" s="318">
        <v>1</v>
      </c>
      <c r="J710" s="318">
        <f t="shared" si="296"/>
        <v>1</v>
      </c>
      <c r="K710" s="328">
        <f t="shared" si="297"/>
        <v>4.49</v>
      </c>
      <c r="L710" s="318">
        <v>1734</v>
      </c>
      <c r="M710" s="318">
        <v>160</v>
      </c>
      <c r="N710" s="318">
        <v>1</v>
      </c>
      <c r="O710" s="621">
        <f t="shared" si="298"/>
        <v>4.49</v>
      </c>
      <c r="P710" s="755">
        <v>1</v>
      </c>
      <c r="Q710" s="755">
        <f t="shared" si="312"/>
        <v>0</v>
      </c>
      <c r="R710" s="341">
        <v>1</v>
      </c>
      <c r="S710" s="318">
        <f t="shared" ref="S710:S717" si="313">H710*R710</f>
        <v>4.49</v>
      </c>
      <c r="T710" s="609" t="s">
        <v>3459</v>
      </c>
      <c r="V710" s="328">
        <f t="shared" si="307"/>
        <v>4.49</v>
      </c>
      <c r="W710" s="320">
        <v>1</v>
      </c>
      <c r="X710" s="328">
        <f t="shared" si="309"/>
        <v>4.49</v>
      </c>
      <c r="Y710" s="464">
        <v>1</v>
      </c>
      <c r="Z710" s="328">
        <f t="shared" si="310"/>
        <v>4.49</v>
      </c>
      <c r="AB710" s="458">
        <f t="shared" si="311"/>
        <v>0</v>
      </c>
      <c r="AC710" s="348">
        <f t="shared" si="304"/>
        <v>0</v>
      </c>
    </row>
    <row r="711" spans="1:29">
      <c r="A711" s="318"/>
      <c r="B711" s="319"/>
      <c r="C711" s="318"/>
      <c r="D711" s="318"/>
      <c r="E711" s="319"/>
      <c r="F711" s="336"/>
      <c r="G711" s="318" t="s">
        <v>2046</v>
      </c>
      <c r="H711" s="328">
        <v>4.49</v>
      </c>
      <c r="I711" s="318">
        <v>1</v>
      </c>
      <c r="J711" s="318">
        <f t="shared" si="296"/>
        <v>1</v>
      </c>
      <c r="K711" s="328">
        <f t="shared" si="297"/>
        <v>4.49</v>
      </c>
      <c r="L711" s="318">
        <v>1734</v>
      </c>
      <c r="M711" s="318">
        <v>160</v>
      </c>
      <c r="N711" s="318">
        <v>1</v>
      </c>
      <c r="O711" s="621">
        <f t="shared" si="298"/>
        <v>4.49</v>
      </c>
      <c r="P711" s="755">
        <v>1</v>
      </c>
      <c r="Q711" s="755">
        <f t="shared" si="312"/>
        <v>0</v>
      </c>
      <c r="R711" s="341">
        <v>1</v>
      </c>
      <c r="S711" s="318">
        <f t="shared" si="313"/>
        <v>4.49</v>
      </c>
      <c r="T711" s="609" t="s">
        <v>3458</v>
      </c>
      <c r="V711" s="328">
        <f t="shared" si="307"/>
        <v>4.49</v>
      </c>
      <c r="W711" s="320">
        <v>1</v>
      </c>
      <c r="X711" s="328">
        <f t="shared" si="309"/>
        <v>4.49</v>
      </c>
      <c r="Y711" s="464">
        <v>1</v>
      </c>
      <c r="Z711" s="328">
        <f t="shared" si="310"/>
        <v>4.49</v>
      </c>
      <c r="AB711" s="458">
        <f t="shared" si="311"/>
        <v>0</v>
      </c>
      <c r="AC711" s="348">
        <f t="shared" si="304"/>
        <v>0</v>
      </c>
    </row>
    <row r="712" spans="1:29">
      <c r="A712" s="318"/>
      <c r="B712" s="319"/>
      <c r="C712" s="318"/>
      <c r="D712" s="318"/>
      <c r="E712" s="319"/>
      <c r="F712" s="336"/>
      <c r="G712" s="318" t="s">
        <v>2047</v>
      </c>
      <c r="H712" s="328">
        <v>4.49</v>
      </c>
      <c r="I712" s="318">
        <v>1</v>
      </c>
      <c r="J712" s="318">
        <f t="shared" si="296"/>
        <v>1</v>
      </c>
      <c r="K712" s="328">
        <f t="shared" si="297"/>
        <v>4.49</v>
      </c>
      <c r="L712" s="318">
        <v>1720</v>
      </c>
      <c r="M712" s="318">
        <v>159</v>
      </c>
      <c r="N712" s="318">
        <v>1</v>
      </c>
      <c r="O712" s="621">
        <f t="shared" si="298"/>
        <v>4.49</v>
      </c>
      <c r="P712" s="755">
        <v>1</v>
      </c>
      <c r="Q712" s="755">
        <f t="shared" si="312"/>
        <v>0</v>
      </c>
      <c r="R712" s="341">
        <v>1</v>
      </c>
      <c r="S712" s="318">
        <f t="shared" si="313"/>
        <v>4.49</v>
      </c>
      <c r="T712" s="609" t="s">
        <v>3458</v>
      </c>
      <c r="V712" s="328">
        <f t="shared" si="307"/>
        <v>4.49</v>
      </c>
      <c r="W712" s="320">
        <v>1</v>
      </c>
      <c r="X712" s="328">
        <f t="shared" si="309"/>
        <v>4.49</v>
      </c>
      <c r="Y712" s="464">
        <v>1</v>
      </c>
      <c r="Z712" s="328">
        <f t="shared" si="310"/>
        <v>4.49</v>
      </c>
      <c r="AB712" s="458">
        <f t="shared" si="311"/>
        <v>0</v>
      </c>
      <c r="AC712" s="348">
        <f t="shared" si="304"/>
        <v>0</v>
      </c>
    </row>
    <row r="713" spans="1:29">
      <c r="A713" s="318"/>
      <c r="B713" s="319"/>
      <c r="C713" s="318"/>
      <c r="D713" s="318"/>
      <c r="E713" s="319"/>
      <c r="F713" s="336"/>
      <c r="G713" s="318" t="s">
        <v>2048</v>
      </c>
      <c r="H713" s="328">
        <v>4.49</v>
      </c>
      <c r="I713" s="318">
        <v>1</v>
      </c>
      <c r="J713" s="318">
        <f t="shared" si="296"/>
        <v>1</v>
      </c>
      <c r="K713" s="328">
        <f t="shared" si="297"/>
        <v>4.49</v>
      </c>
      <c r="L713" s="318">
        <v>1720</v>
      </c>
      <c r="M713" s="318">
        <v>159</v>
      </c>
      <c r="N713" s="318">
        <v>1</v>
      </c>
      <c r="O713" s="621">
        <f t="shared" si="298"/>
        <v>4.49</v>
      </c>
      <c r="P713" s="755">
        <v>1</v>
      </c>
      <c r="Q713" s="755">
        <f t="shared" si="312"/>
        <v>0</v>
      </c>
      <c r="R713" s="341">
        <v>1</v>
      </c>
      <c r="S713" s="318">
        <f t="shared" si="313"/>
        <v>4.49</v>
      </c>
      <c r="T713" s="609" t="s">
        <v>3458</v>
      </c>
      <c r="V713" s="328">
        <f t="shared" si="307"/>
        <v>4.49</v>
      </c>
      <c r="W713" s="320">
        <v>1</v>
      </c>
      <c r="X713" s="328">
        <f t="shared" si="309"/>
        <v>4.49</v>
      </c>
      <c r="Y713" s="464">
        <v>1</v>
      </c>
      <c r="Z713" s="328">
        <f t="shared" si="310"/>
        <v>4.49</v>
      </c>
      <c r="AB713" s="458">
        <f t="shared" si="311"/>
        <v>0</v>
      </c>
      <c r="AC713" s="348">
        <f t="shared" si="304"/>
        <v>0</v>
      </c>
    </row>
    <row r="714" spans="1:29">
      <c r="A714" s="318"/>
      <c r="B714" s="319"/>
      <c r="C714" s="318"/>
      <c r="D714" s="318"/>
      <c r="E714" s="319"/>
      <c r="F714" s="336"/>
      <c r="G714" s="318" t="s">
        <v>2049</v>
      </c>
      <c r="H714" s="328">
        <v>4.49</v>
      </c>
      <c r="I714" s="318">
        <v>1</v>
      </c>
      <c r="J714" s="318">
        <f t="shared" si="296"/>
        <v>1</v>
      </c>
      <c r="K714" s="328">
        <f t="shared" si="297"/>
        <v>4.49</v>
      </c>
      <c r="L714" s="318">
        <v>1720</v>
      </c>
      <c r="M714" s="318">
        <v>159</v>
      </c>
      <c r="N714" s="318">
        <v>1</v>
      </c>
      <c r="O714" s="621">
        <f t="shared" si="298"/>
        <v>4.49</v>
      </c>
      <c r="P714" s="755">
        <v>1</v>
      </c>
      <c r="Q714" s="755">
        <f t="shared" si="312"/>
        <v>0</v>
      </c>
      <c r="R714" s="341">
        <v>1</v>
      </c>
      <c r="S714" s="318">
        <f t="shared" si="313"/>
        <v>4.49</v>
      </c>
      <c r="T714" s="609" t="s">
        <v>3458</v>
      </c>
      <c r="V714" s="328">
        <f t="shared" si="307"/>
        <v>4.49</v>
      </c>
      <c r="W714" s="320">
        <v>1</v>
      </c>
      <c r="X714" s="328">
        <f t="shared" si="309"/>
        <v>4.49</v>
      </c>
      <c r="Y714" s="464">
        <v>1</v>
      </c>
      <c r="Z714" s="328">
        <f t="shared" si="310"/>
        <v>4.49</v>
      </c>
      <c r="AB714" s="458">
        <f t="shared" si="311"/>
        <v>0</v>
      </c>
      <c r="AC714" s="348">
        <f t="shared" si="304"/>
        <v>0</v>
      </c>
    </row>
    <row r="715" spans="1:29">
      <c r="A715" s="318"/>
      <c r="B715" s="319"/>
      <c r="C715" s="318"/>
      <c r="D715" s="318"/>
      <c r="E715" s="319"/>
      <c r="F715" s="336"/>
      <c r="G715" s="318" t="s">
        <v>2050</v>
      </c>
      <c r="H715" s="328">
        <v>4.49</v>
      </c>
      <c r="I715" s="318">
        <v>1</v>
      </c>
      <c r="J715" s="318">
        <f t="shared" si="296"/>
        <v>1</v>
      </c>
      <c r="K715" s="328">
        <f t="shared" si="297"/>
        <v>4.49</v>
      </c>
      <c r="L715" s="318">
        <v>1720</v>
      </c>
      <c r="M715" s="318">
        <v>159</v>
      </c>
      <c r="N715" s="318">
        <v>1</v>
      </c>
      <c r="O715" s="621">
        <f t="shared" si="298"/>
        <v>4.49</v>
      </c>
      <c r="P715" s="755">
        <v>1</v>
      </c>
      <c r="Q715" s="755">
        <f t="shared" si="312"/>
        <v>0</v>
      </c>
      <c r="R715" s="341">
        <v>1</v>
      </c>
      <c r="S715" s="318">
        <f t="shared" si="313"/>
        <v>4.49</v>
      </c>
      <c r="T715" s="609" t="s">
        <v>3458</v>
      </c>
      <c r="V715" s="328">
        <f t="shared" si="307"/>
        <v>4.49</v>
      </c>
      <c r="W715" s="320">
        <v>1</v>
      </c>
      <c r="X715" s="328">
        <f t="shared" si="309"/>
        <v>4.49</v>
      </c>
      <c r="Y715" s="464">
        <v>1</v>
      </c>
      <c r="Z715" s="328">
        <f t="shared" si="310"/>
        <v>4.49</v>
      </c>
      <c r="AB715" s="458">
        <f t="shared" si="311"/>
        <v>0</v>
      </c>
      <c r="AC715" s="348">
        <f t="shared" si="304"/>
        <v>0</v>
      </c>
    </row>
    <row r="716" spans="1:29">
      <c r="A716" s="318"/>
      <c r="B716" s="319"/>
      <c r="C716" s="318"/>
      <c r="D716" s="318"/>
      <c r="E716" s="319"/>
      <c r="F716" s="336"/>
      <c r="G716" s="318" t="s">
        <v>2051</v>
      </c>
      <c r="H716" s="328">
        <v>4.49</v>
      </c>
      <c r="I716" s="318">
        <v>1</v>
      </c>
      <c r="J716" s="318">
        <f t="shared" si="296"/>
        <v>1</v>
      </c>
      <c r="K716" s="328">
        <f t="shared" si="297"/>
        <v>4.49</v>
      </c>
      <c r="L716" s="350" t="s">
        <v>2301</v>
      </c>
      <c r="M716" s="349">
        <v>159160</v>
      </c>
      <c r="N716" s="318">
        <v>1</v>
      </c>
      <c r="O716" s="621">
        <f t="shared" si="298"/>
        <v>4.49</v>
      </c>
      <c r="P716" s="755">
        <v>1</v>
      </c>
      <c r="Q716" s="755">
        <f t="shared" si="312"/>
        <v>0</v>
      </c>
      <c r="R716" s="341">
        <v>1</v>
      </c>
      <c r="S716" s="318">
        <f t="shared" si="313"/>
        <v>4.49</v>
      </c>
      <c r="T716" s="609" t="s">
        <v>3458</v>
      </c>
      <c r="V716" s="328">
        <f t="shared" si="307"/>
        <v>4.49</v>
      </c>
      <c r="W716" s="320">
        <v>1</v>
      </c>
      <c r="X716" s="328">
        <f t="shared" si="309"/>
        <v>4.49</v>
      </c>
      <c r="Y716" s="464">
        <v>1</v>
      </c>
      <c r="Z716" s="328">
        <f t="shared" si="310"/>
        <v>4.49</v>
      </c>
      <c r="AB716" s="458">
        <f t="shared" si="311"/>
        <v>0</v>
      </c>
      <c r="AC716" s="348">
        <f t="shared" si="304"/>
        <v>0</v>
      </c>
    </row>
    <row r="717" spans="1:29" ht="15" thickBot="1">
      <c r="A717" s="318"/>
      <c r="B717" s="319"/>
      <c r="C717" s="318"/>
      <c r="D717" s="318"/>
      <c r="E717" s="319"/>
      <c r="F717" s="336"/>
      <c r="G717" s="318" t="s">
        <v>2052</v>
      </c>
      <c r="H717" s="328">
        <v>4.49</v>
      </c>
      <c r="I717" s="318">
        <v>1</v>
      </c>
      <c r="J717" s="318">
        <f t="shared" si="296"/>
        <v>1</v>
      </c>
      <c r="K717" s="328">
        <f t="shared" si="297"/>
        <v>4.49</v>
      </c>
      <c r="L717" s="350" t="s">
        <v>2701</v>
      </c>
      <c r="M717" s="318">
        <v>173</v>
      </c>
      <c r="N717" s="318">
        <v>1</v>
      </c>
      <c r="O717" s="621">
        <f t="shared" si="298"/>
        <v>4.49</v>
      </c>
      <c r="P717" s="755">
        <v>1</v>
      </c>
      <c r="Q717" s="755">
        <f t="shared" si="312"/>
        <v>0</v>
      </c>
      <c r="R717" s="341">
        <v>1</v>
      </c>
      <c r="S717" s="318">
        <f t="shared" si="313"/>
        <v>4.49</v>
      </c>
      <c r="T717" s="609" t="s">
        <v>3460</v>
      </c>
      <c r="V717" s="328">
        <f t="shared" si="307"/>
        <v>4.49</v>
      </c>
      <c r="W717" s="320">
        <v>1</v>
      </c>
      <c r="X717" s="328">
        <f t="shared" si="309"/>
        <v>4.49</v>
      </c>
      <c r="Y717" s="464">
        <v>1</v>
      </c>
      <c r="Z717" s="328">
        <f t="shared" si="310"/>
        <v>4.49</v>
      </c>
      <c r="AB717" s="458">
        <f t="shared" si="311"/>
        <v>0</v>
      </c>
      <c r="AC717" s="348">
        <f t="shared" si="304"/>
        <v>0</v>
      </c>
    </row>
    <row r="718" spans="1:29" ht="15.6" thickTop="1" thickBot="1">
      <c r="A718" s="318"/>
      <c r="B718" s="319"/>
      <c r="C718" s="318"/>
      <c r="D718" s="318"/>
      <c r="E718" s="319"/>
      <c r="F718" s="336"/>
      <c r="G718" s="649" t="s">
        <v>2053</v>
      </c>
      <c r="H718" s="328">
        <v>3.26</v>
      </c>
      <c r="I718" s="318">
        <v>1</v>
      </c>
      <c r="J718" s="318">
        <f t="shared" si="296"/>
        <v>1</v>
      </c>
      <c r="K718" s="328">
        <f t="shared" si="297"/>
        <v>3.26</v>
      </c>
      <c r="L718" s="318">
        <v>2049</v>
      </c>
      <c r="M718" s="318">
        <v>190</v>
      </c>
      <c r="N718" s="318">
        <v>1</v>
      </c>
      <c r="O718" s="621">
        <f t="shared" si="298"/>
        <v>3.26</v>
      </c>
      <c r="P718" s="755"/>
      <c r="Q718" s="771"/>
      <c r="R718" s="627"/>
      <c r="S718" s="328">
        <f t="shared" ref="S718:S722" si="314">H718*R718</f>
        <v>0</v>
      </c>
      <c r="T718" s="609" t="s">
        <v>3458</v>
      </c>
      <c r="V718" s="328">
        <v>3.2509999999999999</v>
      </c>
      <c r="W718" s="320">
        <v>1</v>
      </c>
      <c r="X718" s="328">
        <f t="shared" si="309"/>
        <v>3.2509999999999999</v>
      </c>
      <c r="Y718" s="464">
        <v>1</v>
      </c>
      <c r="Z718" s="328">
        <f t="shared" si="310"/>
        <v>3.2509999999999999</v>
      </c>
      <c r="AB718" s="458">
        <f t="shared" si="311"/>
        <v>-8.999999999999897E-3</v>
      </c>
      <c r="AC718" s="348">
        <f t="shared" si="304"/>
        <v>3.2509999999999999</v>
      </c>
    </row>
    <row r="719" spans="1:29" ht="15.6" thickTop="1" thickBot="1">
      <c r="A719" s="318"/>
      <c r="B719" s="319"/>
      <c r="C719" s="318"/>
      <c r="D719" s="318"/>
      <c r="E719" s="319"/>
      <c r="F719" s="336"/>
      <c r="G719" s="649" t="s">
        <v>2054</v>
      </c>
      <c r="H719" s="328">
        <v>3.26</v>
      </c>
      <c r="I719" s="318">
        <v>1</v>
      </c>
      <c r="J719" s="318">
        <f t="shared" si="296"/>
        <v>1</v>
      </c>
      <c r="K719" s="328">
        <f t="shared" si="297"/>
        <v>3.26</v>
      </c>
      <c r="L719" s="318">
        <v>2044</v>
      </c>
      <c r="M719" s="318">
        <v>190</v>
      </c>
      <c r="N719" s="318">
        <v>1</v>
      </c>
      <c r="O719" s="621">
        <f t="shared" si="298"/>
        <v>3.26</v>
      </c>
      <c r="P719" s="755"/>
      <c r="Q719" s="771"/>
      <c r="R719" s="627"/>
      <c r="S719" s="328">
        <f t="shared" si="314"/>
        <v>0</v>
      </c>
      <c r="T719" s="609" t="s">
        <v>3458</v>
      </c>
      <c r="V719" s="328">
        <v>3.2509999999999999</v>
      </c>
      <c r="W719" s="320">
        <v>1</v>
      </c>
      <c r="X719" s="328">
        <f t="shared" si="309"/>
        <v>3.2509999999999999</v>
      </c>
      <c r="Y719" s="464">
        <v>1</v>
      </c>
      <c r="Z719" s="328">
        <f t="shared" si="310"/>
        <v>3.2509999999999999</v>
      </c>
      <c r="AB719" s="458">
        <f t="shared" si="311"/>
        <v>-8.999999999999897E-3</v>
      </c>
      <c r="AC719" s="348">
        <f t="shared" si="304"/>
        <v>3.2509999999999999</v>
      </c>
    </row>
    <row r="720" spans="1:29" ht="15.6" thickTop="1" thickBot="1">
      <c r="A720" s="318"/>
      <c r="B720" s="319"/>
      <c r="C720" s="318"/>
      <c r="D720" s="318"/>
      <c r="E720" s="319"/>
      <c r="F720" s="655"/>
      <c r="G720" s="649" t="s">
        <v>2055</v>
      </c>
      <c r="H720" s="328">
        <v>4.08</v>
      </c>
      <c r="I720" s="318">
        <v>1</v>
      </c>
      <c r="J720" s="318">
        <v>1</v>
      </c>
      <c r="K720" s="328">
        <f t="shared" si="297"/>
        <v>4.08</v>
      </c>
      <c r="L720" s="350" t="s">
        <v>3372</v>
      </c>
      <c r="M720" s="350" t="s">
        <v>3404</v>
      </c>
      <c r="N720" s="318">
        <v>0.25</v>
      </c>
      <c r="O720" s="621">
        <f t="shared" si="298"/>
        <v>1.02</v>
      </c>
      <c r="P720" s="633"/>
      <c r="Q720" s="762"/>
      <c r="R720" s="627"/>
      <c r="S720" s="622">
        <f t="shared" si="314"/>
        <v>0</v>
      </c>
      <c r="T720" s="583" t="s">
        <v>3212</v>
      </c>
      <c r="V720" s="328">
        <v>4.0739999999999998</v>
      </c>
      <c r="W720" s="320"/>
      <c r="X720" s="328">
        <f t="shared" si="309"/>
        <v>0</v>
      </c>
      <c r="Y720" s="320"/>
      <c r="Z720" s="328">
        <f t="shared" si="310"/>
        <v>0</v>
      </c>
      <c r="AB720" s="458">
        <f t="shared" si="311"/>
        <v>-1.02</v>
      </c>
      <c r="AC720" s="348">
        <f t="shared" si="304"/>
        <v>0</v>
      </c>
    </row>
    <row r="721" spans="1:29" ht="15" thickTop="1">
      <c r="A721" s="318"/>
      <c r="B721" s="319"/>
      <c r="C721" s="318"/>
      <c r="D721" s="318"/>
      <c r="E721" s="319"/>
      <c r="F721" s="655"/>
      <c r="G721" s="649" t="s">
        <v>2056</v>
      </c>
      <c r="H721" s="328">
        <v>4.21</v>
      </c>
      <c r="I721" s="318">
        <v>1</v>
      </c>
      <c r="J721" s="318">
        <v>1</v>
      </c>
      <c r="K721" s="328">
        <f t="shared" si="297"/>
        <v>4.21</v>
      </c>
      <c r="L721" s="350" t="s">
        <v>3372</v>
      </c>
      <c r="M721" s="350" t="s">
        <v>3404</v>
      </c>
      <c r="N721" s="318">
        <v>0.25</v>
      </c>
      <c r="O721" s="621">
        <f t="shared" si="298"/>
        <v>1.0525</v>
      </c>
      <c r="P721" s="633"/>
      <c r="Q721" s="762"/>
      <c r="R721" s="916"/>
      <c r="S721" s="622">
        <f t="shared" si="314"/>
        <v>0</v>
      </c>
      <c r="T721" s="583" t="s">
        <v>3212</v>
      </c>
      <c r="V721" s="328">
        <f>4.074+0.122</f>
        <v>4.1959999999999997</v>
      </c>
      <c r="W721" s="320"/>
      <c r="X721" s="328">
        <f t="shared" si="309"/>
        <v>0</v>
      </c>
      <c r="Y721" s="320"/>
      <c r="Z721" s="328">
        <f t="shared" si="310"/>
        <v>0</v>
      </c>
      <c r="AB721" s="458">
        <f t="shared" si="311"/>
        <v>-1.0525</v>
      </c>
      <c r="AC721" s="348">
        <f t="shared" si="304"/>
        <v>0</v>
      </c>
    </row>
    <row r="722" spans="1:29">
      <c r="A722" s="318"/>
      <c r="B722" s="319"/>
      <c r="C722" s="318"/>
      <c r="D722" s="318"/>
      <c r="E722" s="319"/>
      <c r="F722" s="336"/>
      <c r="G722" s="652" t="s">
        <v>2057</v>
      </c>
      <c r="H722" s="328">
        <v>4.24</v>
      </c>
      <c r="I722" s="318">
        <v>1</v>
      </c>
      <c r="J722" s="318">
        <v>1</v>
      </c>
      <c r="K722" s="328">
        <f t="shared" si="297"/>
        <v>4.24</v>
      </c>
      <c r="L722" s="318"/>
      <c r="M722" s="318"/>
      <c r="N722" s="318">
        <v>1</v>
      </c>
      <c r="O722" s="621">
        <f t="shared" si="298"/>
        <v>4.24</v>
      </c>
      <c r="P722" s="750">
        <v>1</v>
      </c>
      <c r="Q722" s="755">
        <f t="shared" ref="Q722:Q727" si="315">R722-P722</f>
        <v>0</v>
      </c>
      <c r="R722" s="341">
        <v>1</v>
      </c>
      <c r="S722" s="318">
        <f t="shared" si="314"/>
        <v>4.24</v>
      </c>
      <c r="T722" s="597"/>
      <c r="V722" s="328">
        <v>4.2300000000000004</v>
      </c>
      <c r="W722" s="320"/>
      <c r="X722" s="328">
        <f t="shared" si="309"/>
        <v>0</v>
      </c>
      <c r="Y722" s="320"/>
      <c r="Z722" s="328">
        <f t="shared" si="310"/>
        <v>0</v>
      </c>
      <c r="AB722" s="458">
        <f t="shared" si="311"/>
        <v>-4.24</v>
      </c>
      <c r="AC722" s="348">
        <f t="shared" si="304"/>
        <v>-4.24</v>
      </c>
    </row>
    <row r="723" spans="1:29">
      <c r="A723" s="318"/>
      <c r="B723" s="319"/>
      <c r="C723" s="318"/>
      <c r="D723" s="318"/>
      <c r="E723" s="319"/>
      <c r="F723" s="336"/>
      <c r="G723" s="652" t="s">
        <v>2058</v>
      </c>
      <c r="H723" s="328">
        <v>4.24</v>
      </c>
      <c r="I723" s="318">
        <v>1</v>
      </c>
      <c r="J723" s="318">
        <v>1</v>
      </c>
      <c r="K723" s="328">
        <f t="shared" si="297"/>
        <v>4.24</v>
      </c>
      <c r="L723" s="318"/>
      <c r="M723" s="318"/>
      <c r="N723" s="318">
        <v>1</v>
      </c>
      <c r="O723" s="621">
        <f t="shared" si="298"/>
        <v>4.24</v>
      </c>
      <c r="P723" s="750">
        <v>1</v>
      </c>
      <c r="Q723" s="755">
        <f t="shared" si="315"/>
        <v>0</v>
      </c>
      <c r="R723" s="341">
        <v>1</v>
      </c>
      <c r="S723" s="318">
        <f t="shared" ref="S723:S727" si="316">H723*R723</f>
        <v>4.24</v>
      </c>
      <c r="T723" s="597"/>
      <c r="V723" s="328">
        <v>4.2300000000000004</v>
      </c>
      <c r="W723" s="320"/>
      <c r="X723" s="328">
        <f t="shared" si="309"/>
        <v>0</v>
      </c>
      <c r="Y723" s="320"/>
      <c r="Z723" s="328">
        <f t="shared" si="310"/>
        <v>0</v>
      </c>
      <c r="AB723" s="458">
        <f t="shared" si="311"/>
        <v>-4.24</v>
      </c>
      <c r="AC723" s="348">
        <f t="shared" si="304"/>
        <v>-4.24</v>
      </c>
    </row>
    <row r="724" spans="1:29">
      <c r="A724" s="318"/>
      <c r="B724" s="319"/>
      <c r="C724" s="318"/>
      <c r="D724" s="318"/>
      <c r="E724" s="319"/>
      <c r="F724" s="336"/>
      <c r="G724" s="652" t="s">
        <v>2059</v>
      </c>
      <c r="H724" s="328">
        <v>4.24</v>
      </c>
      <c r="I724" s="318">
        <v>1</v>
      </c>
      <c r="J724" s="318">
        <v>1</v>
      </c>
      <c r="K724" s="328">
        <f t="shared" si="297"/>
        <v>4.24</v>
      </c>
      <c r="L724" s="318"/>
      <c r="M724" s="318"/>
      <c r="N724" s="318">
        <v>1</v>
      </c>
      <c r="O724" s="621">
        <f t="shared" si="298"/>
        <v>4.24</v>
      </c>
      <c r="P724" s="750">
        <v>1</v>
      </c>
      <c r="Q724" s="755">
        <f t="shared" si="315"/>
        <v>0</v>
      </c>
      <c r="R724" s="341">
        <v>1</v>
      </c>
      <c r="S724" s="318">
        <f t="shared" si="316"/>
        <v>4.24</v>
      </c>
      <c r="T724" s="597"/>
      <c r="V724" s="328">
        <v>4.2300000000000004</v>
      </c>
      <c r="W724" s="320"/>
      <c r="X724" s="328">
        <f t="shared" si="309"/>
        <v>0</v>
      </c>
      <c r="Y724" s="320"/>
      <c r="Z724" s="328">
        <f t="shared" si="310"/>
        <v>0</v>
      </c>
      <c r="AB724" s="458">
        <f t="shared" si="311"/>
        <v>-4.24</v>
      </c>
      <c r="AC724" s="348">
        <f t="shared" si="304"/>
        <v>-4.24</v>
      </c>
    </row>
    <row r="725" spans="1:29">
      <c r="A725" s="318"/>
      <c r="B725" s="319"/>
      <c r="C725" s="318"/>
      <c r="D725" s="318"/>
      <c r="E725" s="319"/>
      <c r="F725" s="336"/>
      <c r="G725" s="652" t="s">
        <v>2060</v>
      </c>
      <c r="H725" s="328">
        <v>4.24</v>
      </c>
      <c r="I725" s="318">
        <v>1</v>
      </c>
      <c r="J725" s="318">
        <v>1</v>
      </c>
      <c r="K725" s="328">
        <f t="shared" si="297"/>
        <v>4.24</v>
      </c>
      <c r="L725" s="318"/>
      <c r="M725" s="318"/>
      <c r="N725" s="318">
        <v>1</v>
      </c>
      <c r="O725" s="621">
        <f t="shared" si="298"/>
        <v>4.24</v>
      </c>
      <c r="P725" s="750">
        <v>1</v>
      </c>
      <c r="Q725" s="755">
        <f t="shared" si="315"/>
        <v>0</v>
      </c>
      <c r="R725" s="341">
        <v>1</v>
      </c>
      <c r="S725" s="318">
        <f t="shared" si="316"/>
        <v>4.24</v>
      </c>
      <c r="T725" s="597"/>
      <c r="V725" s="328">
        <v>4.2300000000000004</v>
      </c>
      <c r="W725" s="320"/>
      <c r="X725" s="328">
        <f t="shared" si="309"/>
        <v>0</v>
      </c>
      <c r="Y725" s="320"/>
      <c r="Z725" s="328">
        <f t="shared" si="310"/>
        <v>0</v>
      </c>
      <c r="AB725" s="458">
        <f t="shared" si="311"/>
        <v>-4.24</v>
      </c>
      <c r="AC725" s="348">
        <f t="shared" si="304"/>
        <v>-4.24</v>
      </c>
    </row>
    <row r="726" spans="1:29">
      <c r="A726" s="318"/>
      <c r="B726" s="319"/>
      <c r="C726" s="318"/>
      <c r="D726" s="318"/>
      <c r="E726" s="319"/>
      <c r="F726" s="655"/>
      <c r="G726" s="649" t="s">
        <v>2061</v>
      </c>
      <c r="H726" s="328">
        <v>3.43</v>
      </c>
      <c r="I726" s="318">
        <v>1</v>
      </c>
      <c r="J726" s="318">
        <v>1</v>
      </c>
      <c r="K726" s="328">
        <f t="shared" si="297"/>
        <v>3.43</v>
      </c>
      <c r="L726" s="350" t="s">
        <v>3372</v>
      </c>
      <c r="M726" s="350" t="s">
        <v>3404</v>
      </c>
      <c r="N726" s="318">
        <v>1</v>
      </c>
      <c r="O726" s="621">
        <f t="shared" si="298"/>
        <v>3.43</v>
      </c>
      <c r="P726" s="750">
        <v>1</v>
      </c>
      <c r="Q726" s="755">
        <f t="shared" si="315"/>
        <v>0</v>
      </c>
      <c r="R726" s="341">
        <v>1</v>
      </c>
      <c r="S726" s="318">
        <f t="shared" si="316"/>
        <v>3.43</v>
      </c>
      <c r="T726" s="597"/>
      <c r="V726" s="328">
        <f>0.973+2.442</f>
        <v>3.415</v>
      </c>
      <c r="W726" s="320"/>
      <c r="X726" s="328">
        <f t="shared" si="309"/>
        <v>0</v>
      </c>
      <c r="Y726" s="320"/>
      <c r="Z726" s="328">
        <f t="shared" si="310"/>
        <v>0</v>
      </c>
      <c r="AB726" s="458">
        <f t="shared" si="311"/>
        <v>-3.43</v>
      </c>
      <c r="AC726" s="348">
        <f t="shared" si="304"/>
        <v>-3.43</v>
      </c>
    </row>
    <row r="727" spans="1:29">
      <c r="A727" s="318"/>
      <c r="B727" s="319"/>
      <c r="C727" s="318"/>
      <c r="D727" s="318"/>
      <c r="E727" s="319"/>
      <c r="F727" s="655"/>
      <c r="G727" s="649" t="s">
        <v>2062</v>
      </c>
      <c r="H727" s="328">
        <v>2.4500000000000002</v>
      </c>
      <c r="I727" s="318">
        <v>1</v>
      </c>
      <c r="J727" s="318">
        <v>1</v>
      </c>
      <c r="K727" s="328">
        <f t="shared" si="297"/>
        <v>2.4500000000000002</v>
      </c>
      <c r="L727" s="350" t="s">
        <v>3372</v>
      </c>
      <c r="M727" s="350" t="s">
        <v>3404</v>
      </c>
      <c r="N727" s="318">
        <v>1</v>
      </c>
      <c r="O727" s="621">
        <f t="shared" si="298"/>
        <v>2.4500000000000002</v>
      </c>
      <c r="P727" s="750">
        <v>1</v>
      </c>
      <c r="Q727" s="755">
        <f t="shared" si="315"/>
        <v>0</v>
      </c>
      <c r="R727" s="341">
        <v>1</v>
      </c>
      <c r="S727" s="318">
        <f t="shared" si="316"/>
        <v>2.4500000000000002</v>
      </c>
      <c r="T727" s="597"/>
      <c r="V727" s="328">
        <f>2.442</f>
        <v>2.4420000000000002</v>
      </c>
      <c r="W727" s="320"/>
      <c r="X727" s="328">
        <f t="shared" si="309"/>
        <v>0</v>
      </c>
      <c r="Y727" s="320"/>
      <c r="Z727" s="328">
        <f t="shared" si="310"/>
        <v>0</v>
      </c>
      <c r="AB727" s="458">
        <f t="shared" si="311"/>
        <v>-2.4500000000000002</v>
      </c>
      <c r="AC727" s="348">
        <f t="shared" si="304"/>
        <v>-2.4500000000000002</v>
      </c>
    </row>
    <row r="728" spans="1:29">
      <c r="A728" s="318"/>
      <c r="B728" s="319"/>
      <c r="C728" s="318"/>
      <c r="D728" s="318"/>
      <c r="E728" s="319"/>
      <c r="F728" s="319"/>
      <c r="G728" s="318"/>
      <c r="H728" s="318"/>
      <c r="I728" s="318"/>
      <c r="J728" s="382" t="s">
        <v>389</v>
      </c>
      <c r="K728" s="338">
        <f>SUM(K676:K727)</f>
        <v>226.24000000000012</v>
      </c>
      <c r="L728" s="318"/>
      <c r="M728" s="318"/>
      <c r="N728" s="382" t="s">
        <v>389</v>
      </c>
      <c r="O728" s="759">
        <f>SUM(O676:O727)</f>
        <v>202.06250000000009</v>
      </c>
      <c r="P728" s="751" t="s">
        <v>389</v>
      </c>
      <c r="Q728" s="751"/>
      <c r="R728" s="382"/>
      <c r="S728" s="338">
        <f>SUM(S676:S727)</f>
        <v>67.360000000000028</v>
      </c>
      <c r="T728" s="323"/>
      <c r="V728" s="318"/>
      <c r="W728" s="321" t="s">
        <v>389</v>
      </c>
      <c r="X728" s="338">
        <f>SUM(X676:X727)</f>
        <v>113.87099999999998</v>
      </c>
      <c r="Y728" s="321" t="s">
        <v>389</v>
      </c>
      <c r="Z728" s="338">
        <f>SUM(Z676:Z727)</f>
        <v>113.87099999999998</v>
      </c>
      <c r="AB728" s="338"/>
      <c r="AC728" s="338"/>
    </row>
    <row r="729" spans="1:29" ht="6.75" customHeight="1">
      <c r="A729" s="316"/>
      <c r="B729" s="317"/>
      <c r="C729" s="316"/>
      <c r="D729" s="316"/>
      <c r="E729" s="317"/>
      <c r="F729" s="317"/>
      <c r="G729" s="316"/>
      <c r="H729" s="316"/>
      <c r="I729" s="316"/>
      <c r="J729" s="316"/>
      <c r="K729" s="316"/>
      <c r="L729" s="316"/>
      <c r="M729" s="316"/>
      <c r="N729" s="316"/>
      <c r="O729" s="749"/>
      <c r="P729" s="752"/>
      <c r="Q729" s="752"/>
      <c r="R729" s="316"/>
      <c r="S729" s="316"/>
      <c r="T729" s="317"/>
      <c r="V729" s="316"/>
      <c r="W729" s="316"/>
      <c r="X729" s="316"/>
      <c r="Y729" s="316"/>
      <c r="Z729" s="316"/>
      <c r="AB729" s="339"/>
      <c r="AC729" s="339"/>
    </row>
    <row r="730" spans="1:29">
      <c r="A730" s="318">
        <v>18</v>
      </c>
      <c r="B730" s="319" t="s">
        <v>383</v>
      </c>
      <c r="C730" s="318">
        <v>600</v>
      </c>
      <c r="D730" s="318">
        <v>25</v>
      </c>
      <c r="E730" s="319">
        <v>1</v>
      </c>
      <c r="F730" s="336"/>
      <c r="G730" s="318" t="s">
        <v>2063</v>
      </c>
      <c r="H730" s="328">
        <v>1.39</v>
      </c>
      <c r="I730" s="318">
        <v>1</v>
      </c>
      <c r="J730" s="318">
        <f t="shared" ref="J730:J757" si="317">IF(N730&gt;0,1,0)</f>
        <v>1</v>
      </c>
      <c r="K730" s="328">
        <f t="shared" ref="K730:K758" si="318">H730*J730</f>
        <v>1.39</v>
      </c>
      <c r="L730" s="318"/>
      <c r="M730" s="318"/>
      <c r="N730" s="318">
        <v>1</v>
      </c>
      <c r="O730" s="621">
        <f t="shared" ref="O730:O766" si="319">H730*N730</f>
        <v>1.39</v>
      </c>
      <c r="P730" s="755">
        <v>1</v>
      </c>
      <c r="Q730" s="755">
        <f t="shared" ref="Q730:Q758" si="320">R730-P730</f>
        <v>0</v>
      </c>
      <c r="R730" s="341">
        <v>1</v>
      </c>
      <c r="S730" s="318">
        <f t="shared" ref="S730" si="321">H730*R730</f>
        <v>1.39</v>
      </c>
      <c r="T730" s="319"/>
      <c r="V730" s="328">
        <f>1.39</f>
        <v>1.39</v>
      </c>
      <c r="W730" s="320"/>
      <c r="X730" s="328">
        <f t="shared" ref="X730:X758" si="322">V730*W730</f>
        <v>0</v>
      </c>
      <c r="Y730" s="320"/>
      <c r="Z730" s="328">
        <f t="shared" ref="Z730:Z758" si="323">V730*Y730</f>
        <v>0</v>
      </c>
      <c r="AB730" s="458">
        <f t="shared" ref="AB730:AB758" si="324">X730-O730</f>
        <v>-1.39</v>
      </c>
      <c r="AC730" s="348">
        <f t="shared" ref="AC730:AC758" si="325">Z730-S730</f>
        <v>-1.39</v>
      </c>
    </row>
    <row r="731" spans="1:29">
      <c r="A731" s="318"/>
      <c r="B731" s="319"/>
      <c r="C731" s="318"/>
      <c r="D731" s="318"/>
      <c r="E731" s="319"/>
      <c r="F731" s="336"/>
      <c r="G731" s="318" t="s">
        <v>2064</v>
      </c>
      <c r="H731" s="328">
        <v>1.18</v>
      </c>
      <c r="I731" s="318">
        <v>1</v>
      </c>
      <c r="J731" s="318">
        <f t="shared" si="317"/>
        <v>1</v>
      </c>
      <c r="K731" s="328">
        <f t="shared" si="318"/>
        <v>1.18</v>
      </c>
      <c r="L731" s="318">
        <v>2068</v>
      </c>
      <c r="M731" s="318">
        <v>194</v>
      </c>
      <c r="N731" s="318">
        <v>1</v>
      </c>
      <c r="O731" s="621">
        <f t="shared" si="319"/>
        <v>1.18</v>
      </c>
      <c r="P731" s="755">
        <v>1</v>
      </c>
      <c r="Q731" s="755">
        <f t="shared" si="320"/>
        <v>0</v>
      </c>
      <c r="R731" s="341">
        <v>1</v>
      </c>
      <c r="S731" s="318">
        <f t="shared" ref="S731:S758" si="326">H731*R731</f>
        <v>1.18</v>
      </c>
      <c r="T731" s="319"/>
      <c r="V731" s="328">
        <f>1.15</f>
        <v>1.1499999999999999</v>
      </c>
      <c r="W731" s="320"/>
      <c r="X731" s="328">
        <f t="shared" si="322"/>
        <v>0</v>
      </c>
      <c r="Y731" s="320"/>
      <c r="Z731" s="328">
        <f t="shared" si="323"/>
        <v>0</v>
      </c>
      <c r="AB731" s="458">
        <f t="shared" si="324"/>
        <v>-1.18</v>
      </c>
      <c r="AC731" s="348">
        <f t="shared" si="325"/>
        <v>-1.18</v>
      </c>
    </row>
    <row r="732" spans="1:29">
      <c r="A732" s="318"/>
      <c r="B732" s="319"/>
      <c r="C732" s="318"/>
      <c r="D732" s="318"/>
      <c r="E732" s="319"/>
      <c r="F732" s="319"/>
      <c r="G732" s="318" t="s">
        <v>2065</v>
      </c>
      <c r="H732" s="328">
        <v>4.49</v>
      </c>
      <c r="I732" s="318">
        <v>1</v>
      </c>
      <c r="J732" s="318">
        <f t="shared" si="317"/>
        <v>1</v>
      </c>
      <c r="K732" s="328">
        <f t="shared" si="318"/>
        <v>4.49</v>
      </c>
      <c r="L732" s="318">
        <v>1610</v>
      </c>
      <c r="M732" s="318">
        <v>143</v>
      </c>
      <c r="N732" s="318">
        <v>1</v>
      </c>
      <c r="O732" s="621">
        <f t="shared" si="319"/>
        <v>4.49</v>
      </c>
      <c r="P732" s="755">
        <v>1</v>
      </c>
      <c r="Q732" s="755">
        <f t="shared" si="320"/>
        <v>0</v>
      </c>
      <c r="R732" s="341">
        <v>1</v>
      </c>
      <c r="S732" s="318">
        <f t="shared" si="326"/>
        <v>4.49</v>
      </c>
      <c r="T732" s="319"/>
      <c r="V732" s="328">
        <f t="shared" ref="V732:V745" si="327">4.49</f>
        <v>4.49</v>
      </c>
      <c r="W732" s="320">
        <v>1</v>
      </c>
      <c r="X732" s="328">
        <f t="shared" si="322"/>
        <v>4.49</v>
      </c>
      <c r="Y732" s="464">
        <v>1</v>
      </c>
      <c r="Z732" s="328">
        <f t="shared" si="323"/>
        <v>4.49</v>
      </c>
      <c r="AB732" s="458">
        <f t="shared" si="324"/>
        <v>0</v>
      </c>
      <c r="AC732" s="348">
        <f t="shared" si="325"/>
        <v>0</v>
      </c>
    </row>
    <row r="733" spans="1:29">
      <c r="A733" s="318"/>
      <c r="B733" s="319"/>
      <c r="C733" s="318"/>
      <c r="D733" s="318"/>
      <c r="E733" s="319"/>
      <c r="F733" s="319"/>
      <c r="G733" s="318" t="s">
        <v>2066</v>
      </c>
      <c r="H733" s="328">
        <v>4.49</v>
      </c>
      <c r="I733" s="318">
        <v>1</v>
      </c>
      <c r="J733" s="318">
        <f t="shared" si="317"/>
        <v>1</v>
      </c>
      <c r="K733" s="328">
        <f t="shared" si="318"/>
        <v>4.49</v>
      </c>
      <c r="L733" s="318">
        <v>1610</v>
      </c>
      <c r="M733" s="318">
        <v>143</v>
      </c>
      <c r="N733" s="318">
        <v>1</v>
      </c>
      <c r="O733" s="621">
        <f t="shared" si="319"/>
        <v>4.49</v>
      </c>
      <c r="P733" s="755">
        <v>1</v>
      </c>
      <c r="Q733" s="755">
        <f t="shared" si="320"/>
        <v>0</v>
      </c>
      <c r="R733" s="341">
        <v>1</v>
      </c>
      <c r="S733" s="318">
        <f t="shared" si="326"/>
        <v>4.49</v>
      </c>
      <c r="T733" s="319"/>
      <c r="V733" s="328">
        <f t="shared" si="327"/>
        <v>4.49</v>
      </c>
      <c r="W733" s="320">
        <v>1</v>
      </c>
      <c r="X733" s="328">
        <f t="shared" si="322"/>
        <v>4.49</v>
      </c>
      <c r="Y733" s="464">
        <v>1</v>
      </c>
      <c r="Z733" s="328">
        <f t="shared" si="323"/>
        <v>4.49</v>
      </c>
      <c r="AB733" s="458">
        <f t="shared" si="324"/>
        <v>0</v>
      </c>
      <c r="AC733" s="348">
        <f t="shared" si="325"/>
        <v>0</v>
      </c>
    </row>
    <row r="734" spans="1:29">
      <c r="A734" s="318"/>
      <c r="B734" s="319"/>
      <c r="C734" s="318"/>
      <c r="D734" s="318"/>
      <c r="E734" s="319"/>
      <c r="F734" s="319"/>
      <c r="G734" s="318" t="s">
        <v>2067</v>
      </c>
      <c r="H734" s="328">
        <v>4.49</v>
      </c>
      <c r="I734" s="318">
        <v>1</v>
      </c>
      <c r="J734" s="318">
        <f t="shared" si="317"/>
        <v>1</v>
      </c>
      <c r="K734" s="328">
        <f t="shared" si="318"/>
        <v>4.49</v>
      </c>
      <c r="L734" s="318">
        <v>1610</v>
      </c>
      <c r="M734" s="318">
        <v>143</v>
      </c>
      <c r="N734" s="318">
        <v>1</v>
      </c>
      <c r="O734" s="621">
        <f t="shared" si="319"/>
        <v>4.49</v>
      </c>
      <c r="P734" s="755">
        <v>1</v>
      </c>
      <c r="Q734" s="755">
        <f t="shared" si="320"/>
        <v>0</v>
      </c>
      <c r="R734" s="341">
        <v>1</v>
      </c>
      <c r="S734" s="318">
        <f t="shared" si="326"/>
        <v>4.49</v>
      </c>
      <c r="T734" s="319"/>
      <c r="V734" s="328">
        <f t="shared" si="327"/>
        <v>4.49</v>
      </c>
      <c r="W734" s="320">
        <v>1</v>
      </c>
      <c r="X734" s="328">
        <f t="shared" si="322"/>
        <v>4.49</v>
      </c>
      <c r="Y734" s="464">
        <v>1</v>
      </c>
      <c r="Z734" s="328">
        <f t="shared" si="323"/>
        <v>4.49</v>
      </c>
      <c r="AB734" s="458">
        <f t="shared" si="324"/>
        <v>0</v>
      </c>
      <c r="AC734" s="348">
        <f t="shared" si="325"/>
        <v>0</v>
      </c>
    </row>
    <row r="735" spans="1:29">
      <c r="A735" s="318"/>
      <c r="B735" s="319"/>
      <c r="C735" s="318"/>
      <c r="D735" s="318"/>
      <c r="E735" s="319"/>
      <c r="F735" s="319"/>
      <c r="G735" s="318" t="s">
        <v>2068</v>
      </c>
      <c r="H735" s="328">
        <v>4.49</v>
      </c>
      <c r="I735" s="318">
        <v>1</v>
      </c>
      <c r="J735" s="318">
        <f t="shared" si="317"/>
        <v>1</v>
      </c>
      <c r="K735" s="328">
        <f t="shared" si="318"/>
        <v>4.49</v>
      </c>
      <c r="L735" s="318">
        <v>1610</v>
      </c>
      <c r="M735" s="318">
        <v>143</v>
      </c>
      <c r="N735" s="318">
        <v>1</v>
      </c>
      <c r="O735" s="621">
        <f t="shared" si="319"/>
        <v>4.49</v>
      </c>
      <c r="P735" s="755">
        <v>1</v>
      </c>
      <c r="Q735" s="755">
        <f t="shared" si="320"/>
        <v>0</v>
      </c>
      <c r="R735" s="341">
        <v>1</v>
      </c>
      <c r="S735" s="318">
        <f t="shared" si="326"/>
        <v>4.49</v>
      </c>
      <c r="T735" s="319"/>
      <c r="V735" s="328">
        <f t="shared" si="327"/>
        <v>4.49</v>
      </c>
      <c r="W735" s="320">
        <v>1</v>
      </c>
      <c r="X735" s="328">
        <f t="shared" si="322"/>
        <v>4.49</v>
      </c>
      <c r="Y735" s="464">
        <v>1</v>
      </c>
      <c r="Z735" s="328">
        <f t="shared" si="323"/>
        <v>4.49</v>
      </c>
      <c r="AB735" s="458">
        <f t="shared" si="324"/>
        <v>0</v>
      </c>
      <c r="AC735" s="348">
        <f t="shared" si="325"/>
        <v>0</v>
      </c>
    </row>
    <row r="736" spans="1:29">
      <c r="A736" s="318"/>
      <c r="B736" s="319"/>
      <c r="C736" s="318"/>
      <c r="D736" s="318"/>
      <c r="E736" s="319"/>
      <c r="F736" s="319"/>
      <c r="G736" s="318" t="s">
        <v>2069</v>
      </c>
      <c r="H736" s="328">
        <v>4.49</v>
      </c>
      <c r="I736" s="318">
        <v>1</v>
      </c>
      <c r="J736" s="318">
        <f t="shared" si="317"/>
        <v>1</v>
      </c>
      <c r="K736" s="328">
        <f t="shared" si="318"/>
        <v>4.49</v>
      </c>
      <c r="L736" s="318">
        <v>1614</v>
      </c>
      <c r="M736" s="318">
        <v>143</v>
      </c>
      <c r="N736" s="318">
        <v>1</v>
      </c>
      <c r="O736" s="621">
        <f t="shared" si="319"/>
        <v>4.49</v>
      </c>
      <c r="P736" s="755">
        <v>1</v>
      </c>
      <c r="Q736" s="755">
        <f t="shared" si="320"/>
        <v>0</v>
      </c>
      <c r="R736" s="341">
        <v>1</v>
      </c>
      <c r="S736" s="318">
        <f t="shared" si="326"/>
        <v>4.49</v>
      </c>
      <c r="T736" s="319"/>
      <c r="V736" s="328">
        <f t="shared" si="327"/>
        <v>4.49</v>
      </c>
      <c r="W736" s="320">
        <v>1</v>
      </c>
      <c r="X736" s="328">
        <f t="shared" si="322"/>
        <v>4.49</v>
      </c>
      <c r="Y736" s="464">
        <v>1</v>
      </c>
      <c r="Z736" s="328">
        <f t="shared" si="323"/>
        <v>4.49</v>
      </c>
      <c r="AB736" s="458">
        <f t="shared" si="324"/>
        <v>0</v>
      </c>
      <c r="AC736" s="348">
        <f t="shared" si="325"/>
        <v>0</v>
      </c>
    </row>
    <row r="737" spans="1:29">
      <c r="A737" s="318"/>
      <c r="B737" s="319"/>
      <c r="C737" s="318"/>
      <c r="D737" s="318"/>
      <c r="E737" s="319"/>
      <c r="F737" s="319"/>
      <c r="G737" s="318" t="s">
        <v>2070</v>
      </c>
      <c r="H737" s="328">
        <v>4.49</v>
      </c>
      <c r="I737" s="318">
        <v>1</v>
      </c>
      <c r="J737" s="318">
        <f t="shared" si="317"/>
        <v>1</v>
      </c>
      <c r="K737" s="328">
        <f t="shared" si="318"/>
        <v>4.49</v>
      </c>
      <c r="L737" s="318">
        <v>1614</v>
      </c>
      <c r="M737" s="318">
        <v>143</v>
      </c>
      <c r="N737" s="318">
        <v>1</v>
      </c>
      <c r="O737" s="621">
        <f t="shared" si="319"/>
        <v>4.49</v>
      </c>
      <c r="P737" s="755">
        <v>1</v>
      </c>
      <c r="Q737" s="755">
        <f t="shared" si="320"/>
        <v>0</v>
      </c>
      <c r="R737" s="341">
        <v>1</v>
      </c>
      <c r="S737" s="318">
        <f t="shared" si="326"/>
        <v>4.49</v>
      </c>
      <c r="T737" s="319"/>
      <c r="V737" s="328">
        <f t="shared" si="327"/>
        <v>4.49</v>
      </c>
      <c r="W737" s="320">
        <v>1</v>
      </c>
      <c r="X737" s="328">
        <f t="shared" si="322"/>
        <v>4.49</v>
      </c>
      <c r="Y737" s="464">
        <v>1</v>
      </c>
      <c r="Z737" s="328">
        <f t="shared" si="323"/>
        <v>4.49</v>
      </c>
      <c r="AB737" s="458">
        <f t="shared" si="324"/>
        <v>0</v>
      </c>
      <c r="AC737" s="348">
        <f t="shared" si="325"/>
        <v>0</v>
      </c>
    </row>
    <row r="738" spans="1:29">
      <c r="A738" s="318"/>
      <c r="B738" s="319"/>
      <c r="C738" s="318"/>
      <c r="D738" s="318"/>
      <c r="E738" s="319"/>
      <c r="F738" s="319"/>
      <c r="G738" s="318" t="s">
        <v>2071</v>
      </c>
      <c r="H738" s="328">
        <v>4.49</v>
      </c>
      <c r="I738" s="318">
        <v>1</v>
      </c>
      <c r="J738" s="318">
        <f t="shared" si="317"/>
        <v>1</v>
      </c>
      <c r="K738" s="328">
        <f t="shared" si="318"/>
        <v>4.49</v>
      </c>
      <c r="L738" s="318">
        <v>1614</v>
      </c>
      <c r="M738" s="318">
        <v>143</v>
      </c>
      <c r="N738" s="318">
        <v>1</v>
      </c>
      <c r="O738" s="621">
        <f t="shared" si="319"/>
        <v>4.49</v>
      </c>
      <c r="P738" s="755">
        <v>1</v>
      </c>
      <c r="Q738" s="755">
        <f t="shared" si="320"/>
        <v>0</v>
      </c>
      <c r="R738" s="341">
        <v>1</v>
      </c>
      <c r="S738" s="318">
        <f t="shared" si="326"/>
        <v>4.49</v>
      </c>
      <c r="T738" s="319"/>
      <c r="V738" s="328">
        <f t="shared" si="327"/>
        <v>4.49</v>
      </c>
      <c r="W738" s="320">
        <v>1</v>
      </c>
      <c r="X738" s="328">
        <f t="shared" si="322"/>
        <v>4.49</v>
      </c>
      <c r="Y738" s="464">
        <v>1</v>
      </c>
      <c r="Z738" s="328">
        <f t="shared" si="323"/>
        <v>4.49</v>
      </c>
      <c r="AB738" s="458">
        <f t="shared" si="324"/>
        <v>0</v>
      </c>
      <c r="AC738" s="348">
        <f t="shared" si="325"/>
        <v>0</v>
      </c>
    </row>
    <row r="739" spans="1:29">
      <c r="A739" s="318"/>
      <c r="B739" s="319"/>
      <c r="C739" s="318"/>
      <c r="D739" s="318"/>
      <c r="E739" s="319"/>
      <c r="F739" s="319"/>
      <c r="G739" s="318" t="s">
        <v>2072</v>
      </c>
      <c r="H739" s="328">
        <v>4.49</v>
      </c>
      <c r="I739" s="318">
        <v>1</v>
      </c>
      <c r="J739" s="318">
        <f t="shared" si="317"/>
        <v>1</v>
      </c>
      <c r="K739" s="328">
        <f t="shared" si="318"/>
        <v>4.49</v>
      </c>
      <c r="L739" s="318">
        <v>1610</v>
      </c>
      <c r="M739" s="318">
        <v>143</v>
      </c>
      <c r="N739" s="318">
        <v>1</v>
      </c>
      <c r="O739" s="621">
        <f t="shared" si="319"/>
        <v>4.49</v>
      </c>
      <c r="P739" s="755">
        <v>1</v>
      </c>
      <c r="Q739" s="755">
        <f t="shared" si="320"/>
        <v>0</v>
      </c>
      <c r="R739" s="341">
        <v>1</v>
      </c>
      <c r="S739" s="318">
        <f t="shared" si="326"/>
        <v>4.49</v>
      </c>
      <c r="T739" s="319"/>
      <c r="V739" s="328">
        <f t="shared" si="327"/>
        <v>4.49</v>
      </c>
      <c r="W739" s="320">
        <v>1</v>
      </c>
      <c r="X739" s="328">
        <f t="shared" si="322"/>
        <v>4.49</v>
      </c>
      <c r="Y739" s="464">
        <v>1</v>
      </c>
      <c r="Z739" s="328">
        <f t="shared" si="323"/>
        <v>4.49</v>
      </c>
      <c r="AB739" s="458">
        <f t="shared" si="324"/>
        <v>0</v>
      </c>
      <c r="AC739" s="348">
        <f t="shared" si="325"/>
        <v>0</v>
      </c>
    </row>
    <row r="740" spans="1:29">
      <c r="A740" s="318"/>
      <c r="B740" s="319"/>
      <c r="C740" s="318"/>
      <c r="D740" s="318"/>
      <c r="E740" s="319"/>
      <c r="F740" s="336"/>
      <c r="G740" s="318" t="s">
        <v>2073</v>
      </c>
      <c r="H740" s="328">
        <v>4.49</v>
      </c>
      <c r="I740" s="318">
        <v>1</v>
      </c>
      <c r="J740" s="318">
        <f t="shared" si="317"/>
        <v>1</v>
      </c>
      <c r="K740" s="328">
        <f t="shared" si="318"/>
        <v>4.49</v>
      </c>
      <c r="L740" s="318">
        <v>1614</v>
      </c>
      <c r="M740" s="318">
        <v>143</v>
      </c>
      <c r="N740" s="318">
        <v>1</v>
      </c>
      <c r="O740" s="621">
        <f t="shared" si="319"/>
        <v>4.49</v>
      </c>
      <c r="P740" s="755">
        <v>1</v>
      </c>
      <c r="Q740" s="755">
        <f t="shared" si="320"/>
        <v>0</v>
      </c>
      <c r="R740" s="341">
        <v>1</v>
      </c>
      <c r="S740" s="318">
        <f t="shared" si="326"/>
        <v>4.49</v>
      </c>
      <c r="T740" s="319"/>
      <c r="V740" s="328">
        <f t="shared" si="327"/>
        <v>4.49</v>
      </c>
      <c r="W740" s="320">
        <v>1</v>
      </c>
      <c r="X740" s="328">
        <f t="shared" si="322"/>
        <v>4.49</v>
      </c>
      <c r="Y740" s="464">
        <v>1</v>
      </c>
      <c r="Z740" s="328">
        <f t="shared" si="323"/>
        <v>4.49</v>
      </c>
      <c r="AB740" s="458">
        <f t="shared" si="324"/>
        <v>0</v>
      </c>
      <c r="AC740" s="348">
        <f t="shared" si="325"/>
        <v>0</v>
      </c>
    </row>
    <row r="741" spans="1:29">
      <c r="A741" s="318"/>
      <c r="B741" s="319"/>
      <c r="C741" s="318"/>
      <c r="D741" s="318"/>
      <c r="E741" s="319"/>
      <c r="F741" s="336"/>
      <c r="G741" s="318" t="s">
        <v>2074</v>
      </c>
      <c r="H741" s="328">
        <v>4.49</v>
      </c>
      <c r="I741" s="318">
        <v>1</v>
      </c>
      <c r="J741" s="318">
        <f t="shared" si="317"/>
        <v>1</v>
      </c>
      <c r="K741" s="328">
        <f t="shared" si="318"/>
        <v>4.49</v>
      </c>
      <c r="L741" s="318">
        <v>1607</v>
      </c>
      <c r="M741" s="318">
        <v>142</v>
      </c>
      <c r="N741" s="318">
        <v>1</v>
      </c>
      <c r="O741" s="621">
        <f t="shared" si="319"/>
        <v>4.49</v>
      </c>
      <c r="P741" s="755">
        <v>1</v>
      </c>
      <c r="Q741" s="755">
        <f t="shared" si="320"/>
        <v>0</v>
      </c>
      <c r="R741" s="341">
        <v>1</v>
      </c>
      <c r="S741" s="318">
        <f t="shared" si="326"/>
        <v>4.49</v>
      </c>
      <c r="T741" s="319"/>
      <c r="V741" s="328">
        <f t="shared" si="327"/>
        <v>4.49</v>
      </c>
      <c r="W741" s="320">
        <v>1</v>
      </c>
      <c r="X741" s="328">
        <f t="shared" si="322"/>
        <v>4.49</v>
      </c>
      <c r="Y741" s="464">
        <v>1</v>
      </c>
      <c r="Z741" s="328">
        <f t="shared" si="323"/>
        <v>4.49</v>
      </c>
      <c r="AB741" s="458">
        <f t="shared" si="324"/>
        <v>0</v>
      </c>
      <c r="AC741" s="348">
        <f t="shared" si="325"/>
        <v>0</v>
      </c>
    </row>
    <row r="742" spans="1:29">
      <c r="A742" s="318"/>
      <c r="B742" s="319"/>
      <c r="C742" s="318"/>
      <c r="D742" s="318"/>
      <c r="E742" s="319"/>
      <c r="F742" s="319"/>
      <c r="G742" s="318" t="s">
        <v>2075</v>
      </c>
      <c r="H742" s="328">
        <v>4.49</v>
      </c>
      <c r="I742" s="318">
        <v>1</v>
      </c>
      <c r="J742" s="318">
        <f t="shared" si="317"/>
        <v>1</v>
      </c>
      <c r="K742" s="328">
        <f t="shared" si="318"/>
        <v>4.49</v>
      </c>
      <c r="L742" s="318">
        <v>1607</v>
      </c>
      <c r="M742" s="318">
        <v>142</v>
      </c>
      <c r="N742" s="318">
        <v>1</v>
      </c>
      <c r="O742" s="621">
        <f t="shared" si="319"/>
        <v>4.49</v>
      </c>
      <c r="P742" s="755">
        <v>1</v>
      </c>
      <c r="Q742" s="755">
        <f t="shared" si="320"/>
        <v>0</v>
      </c>
      <c r="R742" s="341">
        <v>1</v>
      </c>
      <c r="S742" s="318">
        <f t="shared" si="326"/>
        <v>4.49</v>
      </c>
      <c r="T742" s="319"/>
      <c r="V742" s="328">
        <f t="shared" si="327"/>
        <v>4.49</v>
      </c>
      <c r="W742" s="320">
        <v>1</v>
      </c>
      <c r="X742" s="328">
        <f t="shared" si="322"/>
        <v>4.49</v>
      </c>
      <c r="Y742" s="464">
        <v>1</v>
      </c>
      <c r="Z742" s="328">
        <f t="shared" si="323"/>
        <v>4.49</v>
      </c>
      <c r="AB742" s="458">
        <f t="shared" si="324"/>
        <v>0</v>
      </c>
      <c r="AC742" s="348">
        <f t="shared" si="325"/>
        <v>0</v>
      </c>
    </row>
    <row r="743" spans="1:29">
      <c r="A743" s="318"/>
      <c r="B743" s="319"/>
      <c r="C743" s="318"/>
      <c r="D743" s="318"/>
      <c r="E743" s="319"/>
      <c r="F743" s="319"/>
      <c r="G743" s="318" t="s">
        <v>2076</v>
      </c>
      <c r="H743" s="328">
        <v>4.49</v>
      </c>
      <c r="I743" s="318">
        <v>1</v>
      </c>
      <c r="J743" s="318">
        <f t="shared" si="317"/>
        <v>1</v>
      </c>
      <c r="K743" s="328">
        <f t="shared" si="318"/>
        <v>4.49</v>
      </c>
      <c r="L743" s="318">
        <v>1607</v>
      </c>
      <c r="M743" s="318">
        <v>142</v>
      </c>
      <c r="N743" s="318">
        <v>1</v>
      </c>
      <c r="O743" s="621">
        <f t="shared" si="319"/>
        <v>4.49</v>
      </c>
      <c r="P743" s="755">
        <v>1</v>
      </c>
      <c r="Q743" s="755">
        <f t="shared" si="320"/>
        <v>0</v>
      </c>
      <c r="R743" s="341">
        <v>1</v>
      </c>
      <c r="S743" s="318">
        <f t="shared" si="326"/>
        <v>4.49</v>
      </c>
      <c r="T743" s="319"/>
      <c r="V743" s="328">
        <f t="shared" si="327"/>
        <v>4.49</v>
      </c>
      <c r="W743" s="320">
        <v>1</v>
      </c>
      <c r="X743" s="328">
        <f t="shared" si="322"/>
        <v>4.49</v>
      </c>
      <c r="Y743" s="464">
        <v>1</v>
      </c>
      <c r="Z743" s="328">
        <f t="shared" si="323"/>
        <v>4.49</v>
      </c>
      <c r="AB743" s="458">
        <f t="shared" si="324"/>
        <v>0</v>
      </c>
      <c r="AC743" s="348">
        <f t="shared" si="325"/>
        <v>0</v>
      </c>
    </row>
    <row r="744" spans="1:29">
      <c r="A744" s="318"/>
      <c r="B744" s="319"/>
      <c r="C744" s="318"/>
      <c r="D744" s="318"/>
      <c r="E744" s="319"/>
      <c r="F744" s="319"/>
      <c r="G744" s="318" t="s">
        <v>2077</v>
      </c>
      <c r="H744" s="328">
        <v>4.49</v>
      </c>
      <c r="I744" s="318">
        <v>1</v>
      </c>
      <c r="J744" s="318">
        <f t="shared" si="317"/>
        <v>1</v>
      </c>
      <c r="K744" s="328">
        <f t="shared" si="318"/>
        <v>4.49</v>
      </c>
      <c r="L744" s="318">
        <v>1607</v>
      </c>
      <c r="M744" s="318">
        <v>142</v>
      </c>
      <c r="N744" s="318">
        <v>1</v>
      </c>
      <c r="O744" s="621">
        <f t="shared" si="319"/>
        <v>4.49</v>
      </c>
      <c r="P744" s="755">
        <v>1</v>
      </c>
      <c r="Q744" s="755">
        <f t="shared" si="320"/>
        <v>0</v>
      </c>
      <c r="R744" s="341">
        <v>1</v>
      </c>
      <c r="S744" s="318">
        <f t="shared" si="326"/>
        <v>4.49</v>
      </c>
      <c r="T744" s="319"/>
      <c r="V744" s="328">
        <f t="shared" si="327"/>
        <v>4.49</v>
      </c>
      <c r="W744" s="320">
        <v>1</v>
      </c>
      <c r="X744" s="328">
        <f t="shared" si="322"/>
        <v>4.49</v>
      </c>
      <c r="Y744" s="464">
        <v>1</v>
      </c>
      <c r="Z744" s="328">
        <f t="shared" si="323"/>
        <v>4.49</v>
      </c>
      <c r="AB744" s="458">
        <f t="shared" si="324"/>
        <v>0</v>
      </c>
      <c r="AC744" s="348">
        <f t="shared" si="325"/>
        <v>0</v>
      </c>
    </row>
    <row r="745" spans="1:29">
      <c r="A745" s="318"/>
      <c r="B745" s="319"/>
      <c r="C745" s="318"/>
      <c r="D745" s="318"/>
      <c r="E745" s="319"/>
      <c r="F745" s="319"/>
      <c r="G745" s="318" t="s">
        <v>2078</v>
      </c>
      <c r="H745" s="328">
        <v>4.49</v>
      </c>
      <c r="I745" s="318">
        <v>1</v>
      </c>
      <c r="J745" s="318">
        <f t="shared" si="317"/>
        <v>1</v>
      </c>
      <c r="K745" s="328">
        <f t="shared" si="318"/>
        <v>4.49</v>
      </c>
      <c r="L745" s="318">
        <v>1607</v>
      </c>
      <c r="M745" s="318">
        <v>142</v>
      </c>
      <c r="N745" s="318">
        <v>1</v>
      </c>
      <c r="O745" s="621">
        <f t="shared" si="319"/>
        <v>4.49</v>
      </c>
      <c r="P745" s="755">
        <v>1</v>
      </c>
      <c r="Q745" s="755">
        <f t="shared" si="320"/>
        <v>0</v>
      </c>
      <c r="R745" s="341">
        <v>1</v>
      </c>
      <c r="S745" s="318">
        <f t="shared" si="326"/>
        <v>4.49</v>
      </c>
      <c r="T745" s="319"/>
      <c r="V745" s="328">
        <f t="shared" si="327"/>
        <v>4.49</v>
      </c>
      <c r="W745" s="320">
        <v>1</v>
      </c>
      <c r="X745" s="328">
        <f t="shared" si="322"/>
        <v>4.49</v>
      </c>
      <c r="Y745" s="464">
        <v>1</v>
      </c>
      <c r="Z745" s="328">
        <f t="shared" si="323"/>
        <v>4.49</v>
      </c>
      <c r="AB745" s="458">
        <f t="shared" si="324"/>
        <v>0</v>
      </c>
      <c r="AC745" s="348">
        <f t="shared" si="325"/>
        <v>0</v>
      </c>
    </row>
    <row r="746" spans="1:29">
      <c r="A746" s="318"/>
      <c r="B746" s="319"/>
      <c r="C746" s="318"/>
      <c r="D746" s="318"/>
      <c r="E746" s="319"/>
      <c r="F746" s="336"/>
      <c r="G746" s="318" t="s">
        <v>2079</v>
      </c>
      <c r="H746" s="328">
        <v>2.68</v>
      </c>
      <c r="I746" s="318">
        <v>1</v>
      </c>
      <c r="J746" s="318">
        <f t="shared" si="317"/>
        <v>1</v>
      </c>
      <c r="K746" s="328">
        <f t="shared" si="318"/>
        <v>2.68</v>
      </c>
      <c r="L746" s="318">
        <v>1634</v>
      </c>
      <c r="M746" s="318">
        <v>146</v>
      </c>
      <c r="N746" s="318">
        <v>1</v>
      </c>
      <c r="O746" s="621">
        <f t="shared" si="319"/>
        <v>2.68</v>
      </c>
      <c r="P746" s="755">
        <v>1</v>
      </c>
      <c r="Q746" s="755">
        <f t="shared" si="320"/>
        <v>0</v>
      </c>
      <c r="R746" s="341">
        <v>1</v>
      </c>
      <c r="S746" s="318">
        <f t="shared" si="326"/>
        <v>2.68</v>
      </c>
      <c r="T746" s="319"/>
      <c r="V746" s="328">
        <f>2.673</f>
        <v>2.673</v>
      </c>
      <c r="W746" s="320">
        <v>1</v>
      </c>
      <c r="X746" s="328">
        <f t="shared" si="322"/>
        <v>2.673</v>
      </c>
      <c r="Y746" s="464">
        <v>1</v>
      </c>
      <c r="Z746" s="328">
        <f t="shared" si="323"/>
        <v>2.673</v>
      </c>
      <c r="AB746" s="458">
        <f t="shared" si="324"/>
        <v>-7.0000000000001172E-3</v>
      </c>
      <c r="AC746" s="348">
        <f t="shared" si="325"/>
        <v>-7.0000000000001172E-3</v>
      </c>
    </row>
    <row r="747" spans="1:29">
      <c r="A747" s="318"/>
      <c r="B747" s="319"/>
      <c r="C747" s="318"/>
      <c r="D747" s="318"/>
      <c r="E747" s="319"/>
      <c r="F747" s="336" t="s">
        <v>721</v>
      </c>
      <c r="G747" s="318" t="s">
        <v>2080</v>
      </c>
      <c r="H747" s="328">
        <v>4.05</v>
      </c>
      <c r="I747" s="318">
        <v>1</v>
      </c>
      <c r="J747" s="318">
        <f t="shared" si="317"/>
        <v>1</v>
      </c>
      <c r="K747" s="328">
        <f t="shared" si="318"/>
        <v>4.05</v>
      </c>
      <c r="L747" s="648" t="s">
        <v>3468</v>
      </c>
      <c r="M747" s="350" t="s">
        <v>3308</v>
      </c>
      <c r="N747" s="318">
        <v>1</v>
      </c>
      <c r="O747" s="621">
        <f t="shared" si="319"/>
        <v>4.05</v>
      </c>
      <c r="P747" s="755">
        <v>1</v>
      </c>
      <c r="Q747" s="755">
        <f t="shared" si="320"/>
        <v>0</v>
      </c>
      <c r="R747" s="341">
        <v>1</v>
      </c>
      <c r="S747" s="318">
        <f t="shared" si="326"/>
        <v>4.05</v>
      </c>
      <c r="T747" s="319"/>
      <c r="V747" s="328">
        <f>2.673+2.055</f>
        <v>4.7279999999999998</v>
      </c>
      <c r="W747" s="320">
        <v>1</v>
      </c>
      <c r="X747" s="328">
        <f t="shared" si="322"/>
        <v>4.7279999999999998</v>
      </c>
      <c r="Y747" s="464">
        <v>1</v>
      </c>
      <c r="Z747" s="328">
        <f t="shared" si="323"/>
        <v>4.7279999999999998</v>
      </c>
      <c r="AB747" s="458">
        <f t="shared" si="324"/>
        <v>0.67799999999999994</v>
      </c>
      <c r="AC747" s="348">
        <f t="shared" si="325"/>
        <v>0.67799999999999994</v>
      </c>
    </row>
    <row r="748" spans="1:29">
      <c r="A748" s="318"/>
      <c r="B748" s="319"/>
      <c r="C748" s="318"/>
      <c r="D748" s="318"/>
      <c r="E748" s="319"/>
      <c r="F748" s="336" t="s">
        <v>721</v>
      </c>
      <c r="G748" s="318" t="s">
        <v>2081</v>
      </c>
      <c r="H748" s="328">
        <v>3.89</v>
      </c>
      <c r="I748" s="318">
        <v>1</v>
      </c>
      <c r="J748" s="318">
        <f t="shared" si="317"/>
        <v>1</v>
      </c>
      <c r="K748" s="328">
        <f t="shared" si="318"/>
        <v>3.89</v>
      </c>
      <c r="L748" s="318">
        <v>1620</v>
      </c>
      <c r="M748" s="318">
        <v>144</v>
      </c>
      <c r="N748" s="318">
        <v>1</v>
      </c>
      <c r="O748" s="621">
        <f t="shared" si="319"/>
        <v>3.89</v>
      </c>
      <c r="P748" s="755">
        <v>1</v>
      </c>
      <c r="Q748" s="755">
        <f t="shared" si="320"/>
        <v>0</v>
      </c>
      <c r="R748" s="341">
        <v>1</v>
      </c>
      <c r="S748" s="318">
        <f t="shared" si="326"/>
        <v>3.89</v>
      </c>
      <c r="T748" s="319"/>
      <c r="V748" s="328">
        <f>2.055+2.542</f>
        <v>4.5969999999999995</v>
      </c>
      <c r="W748" s="320">
        <v>1</v>
      </c>
      <c r="X748" s="328">
        <f t="shared" si="322"/>
        <v>4.5969999999999995</v>
      </c>
      <c r="Y748" s="464">
        <v>1</v>
      </c>
      <c r="Z748" s="328">
        <f t="shared" si="323"/>
        <v>4.5969999999999995</v>
      </c>
      <c r="AB748" s="458">
        <f t="shared" si="324"/>
        <v>0.70699999999999941</v>
      </c>
      <c r="AC748" s="348">
        <f t="shared" si="325"/>
        <v>0.70699999999999941</v>
      </c>
    </row>
    <row r="749" spans="1:29">
      <c r="A749" s="318"/>
      <c r="B749" s="319"/>
      <c r="C749" s="318"/>
      <c r="D749" s="318"/>
      <c r="E749" s="319"/>
      <c r="F749" s="336"/>
      <c r="G749" s="318" t="s">
        <v>2082</v>
      </c>
      <c r="H749" s="328">
        <v>2.5499999999999998</v>
      </c>
      <c r="I749" s="318">
        <v>1</v>
      </c>
      <c r="J749" s="318">
        <f t="shared" si="317"/>
        <v>1</v>
      </c>
      <c r="K749" s="328">
        <f t="shared" si="318"/>
        <v>2.5499999999999998</v>
      </c>
      <c r="L749" s="318" t="s">
        <v>330</v>
      </c>
      <c r="M749" s="318" t="s">
        <v>334</v>
      </c>
      <c r="N749" s="318">
        <v>1</v>
      </c>
      <c r="O749" s="621">
        <f t="shared" si="319"/>
        <v>2.5499999999999998</v>
      </c>
      <c r="P749" s="755">
        <v>1</v>
      </c>
      <c r="Q749" s="755">
        <f t="shared" si="320"/>
        <v>0</v>
      </c>
      <c r="R749" s="341">
        <v>1</v>
      </c>
      <c r="S749" s="318">
        <f t="shared" si="326"/>
        <v>2.5499999999999998</v>
      </c>
      <c r="T749" s="319"/>
      <c r="V749" s="328">
        <f>2.542</f>
        <v>2.5419999999999998</v>
      </c>
      <c r="W749" s="320">
        <v>1</v>
      </c>
      <c r="X749" s="328">
        <f t="shared" si="322"/>
        <v>2.5419999999999998</v>
      </c>
      <c r="Y749" s="464">
        <v>1</v>
      </c>
      <c r="Z749" s="328">
        <f t="shared" si="323"/>
        <v>2.5419999999999998</v>
      </c>
      <c r="AB749" s="458">
        <f t="shared" si="324"/>
        <v>-8.0000000000000071E-3</v>
      </c>
      <c r="AC749" s="348">
        <f t="shared" si="325"/>
        <v>-8.0000000000000071E-3</v>
      </c>
    </row>
    <row r="750" spans="1:29">
      <c r="A750" s="318"/>
      <c r="B750" s="319"/>
      <c r="C750" s="318"/>
      <c r="D750" s="318"/>
      <c r="E750" s="319"/>
      <c r="F750" s="319"/>
      <c r="G750" s="318" t="s">
        <v>2083</v>
      </c>
      <c r="H750" s="328">
        <v>4.49</v>
      </c>
      <c r="I750" s="318">
        <v>1</v>
      </c>
      <c r="J750" s="318">
        <f t="shared" si="317"/>
        <v>1</v>
      </c>
      <c r="K750" s="328">
        <f t="shared" si="318"/>
        <v>4.49</v>
      </c>
      <c r="L750" s="318">
        <v>1614</v>
      </c>
      <c r="M750" s="318">
        <v>143</v>
      </c>
      <c r="N750" s="318">
        <v>1</v>
      </c>
      <c r="O750" s="621">
        <f t="shared" si="319"/>
        <v>4.49</v>
      </c>
      <c r="P750" s="755">
        <v>1</v>
      </c>
      <c r="Q750" s="755">
        <f t="shared" si="320"/>
        <v>0</v>
      </c>
      <c r="R750" s="341">
        <v>1</v>
      </c>
      <c r="S750" s="318">
        <f t="shared" si="326"/>
        <v>4.49</v>
      </c>
      <c r="T750" s="319"/>
      <c r="V750" s="328">
        <f t="shared" ref="V750:V764" si="328">4.49</f>
        <v>4.49</v>
      </c>
      <c r="W750" s="320">
        <v>1</v>
      </c>
      <c r="X750" s="328">
        <f t="shared" si="322"/>
        <v>4.49</v>
      </c>
      <c r="Y750" s="464">
        <v>1</v>
      </c>
      <c r="Z750" s="328">
        <f t="shared" si="323"/>
        <v>4.49</v>
      </c>
      <c r="AB750" s="458">
        <f t="shared" si="324"/>
        <v>0</v>
      </c>
      <c r="AC750" s="348">
        <f t="shared" si="325"/>
        <v>0</v>
      </c>
    </row>
    <row r="751" spans="1:29">
      <c r="A751" s="318"/>
      <c r="B751" s="319"/>
      <c r="C751" s="318"/>
      <c r="D751" s="318"/>
      <c r="E751" s="319"/>
      <c r="F751" s="319"/>
      <c r="G751" s="318" t="s">
        <v>2084</v>
      </c>
      <c r="H751" s="328">
        <v>4.49</v>
      </c>
      <c r="I751" s="318">
        <v>1</v>
      </c>
      <c r="J751" s="318">
        <f t="shared" si="317"/>
        <v>1</v>
      </c>
      <c r="K751" s="328">
        <f t="shared" si="318"/>
        <v>4.49</v>
      </c>
      <c r="L751" s="318">
        <v>1620</v>
      </c>
      <c r="M751" s="318">
        <v>144</v>
      </c>
      <c r="N751" s="318">
        <v>1</v>
      </c>
      <c r="O751" s="621">
        <f t="shared" si="319"/>
        <v>4.49</v>
      </c>
      <c r="P751" s="755">
        <v>1</v>
      </c>
      <c r="Q751" s="755">
        <f t="shared" si="320"/>
        <v>0</v>
      </c>
      <c r="R751" s="341">
        <v>1</v>
      </c>
      <c r="S751" s="318">
        <f t="shared" si="326"/>
        <v>4.49</v>
      </c>
      <c r="T751" s="319"/>
      <c r="V751" s="328">
        <f t="shared" si="328"/>
        <v>4.49</v>
      </c>
      <c r="W751" s="320">
        <v>1</v>
      </c>
      <c r="X751" s="328">
        <f t="shared" si="322"/>
        <v>4.49</v>
      </c>
      <c r="Y751" s="464">
        <v>1</v>
      </c>
      <c r="Z751" s="328">
        <f t="shared" si="323"/>
        <v>4.49</v>
      </c>
      <c r="AB751" s="458">
        <f t="shared" si="324"/>
        <v>0</v>
      </c>
      <c r="AC751" s="348">
        <f t="shared" si="325"/>
        <v>0</v>
      </c>
    </row>
    <row r="752" spans="1:29">
      <c r="A752" s="318"/>
      <c r="B752" s="319"/>
      <c r="C752" s="318"/>
      <c r="D752" s="318"/>
      <c r="E752" s="319"/>
      <c r="F752" s="336"/>
      <c r="G752" s="318" t="s">
        <v>2085</v>
      </c>
      <c r="H752" s="328">
        <v>4.49</v>
      </c>
      <c r="I752" s="318">
        <v>1</v>
      </c>
      <c r="J752" s="318">
        <f t="shared" si="317"/>
        <v>1</v>
      </c>
      <c r="K752" s="328">
        <f t="shared" si="318"/>
        <v>4.49</v>
      </c>
      <c r="L752" s="318">
        <v>1620</v>
      </c>
      <c r="M752" s="318">
        <v>144</v>
      </c>
      <c r="N752" s="318">
        <v>1</v>
      </c>
      <c r="O752" s="621">
        <f t="shared" si="319"/>
        <v>4.49</v>
      </c>
      <c r="P752" s="755">
        <v>1</v>
      </c>
      <c r="Q752" s="755">
        <f t="shared" si="320"/>
        <v>0</v>
      </c>
      <c r="R752" s="341">
        <v>1</v>
      </c>
      <c r="S752" s="318">
        <f t="shared" si="326"/>
        <v>4.49</v>
      </c>
      <c r="T752" s="389"/>
      <c r="V752" s="328">
        <f t="shared" si="328"/>
        <v>4.49</v>
      </c>
      <c r="W752" s="320">
        <v>1</v>
      </c>
      <c r="X752" s="328">
        <f t="shared" si="322"/>
        <v>4.49</v>
      </c>
      <c r="Y752" s="464">
        <v>1</v>
      </c>
      <c r="Z752" s="328">
        <f t="shared" si="323"/>
        <v>4.49</v>
      </c>
      <c r="AB752" s="458">
        <f t="shared" si="324"/>
        <v>0</v>
      </c>
      <c r="AC752" s="348">
        <f t="shared" si="325"/>
        <v>0</v>
      </c>
    </row>
    <row r="753" spans="1:29" ht="14.4" customHeight="1">
      <c r="A753" s="318"/>
      <c r="B753" s="319"/>
      <c r="C753" s="318"/>
      <c r="D753" s="318"/>
      <c r="E753" s="319"/>
      <c r="F753" s="336"/>
      <c r="G753" s="318" t="s">
        <v>2086</v>
      </c>
      <c r="H753" s="328">
        <v>4.49</v>
      </c>
      <c r="I753" s="318">
        <v>1</v>
      </c>
      <c r="J753" s="318">
        <f t="shared" si="317"/>
        <v>1</v>
      </c>
      <c r="K753" s="328">
        <f t="shared" si="318"/>
        <v>4.49</v>
      </c>
      <c r="L753" s="318" t="s">
        <v>347</v>
      </c>
      <c r="M753" s="318" t="s">
        <v>362</v>
      </c>
      <c r="N753" s="318">
        <v>1</v>
      </c>
      <c r="O753" s="621">
        <f t="shared" si="319"/>
        <v>4.49</v>
      </c>
      <c r="P753" s="755">
        <v>1</v>
      </c>
      <c r="Q753" s="755">
        <f t="shared" si="320"/>
        <v>0</v>
      </c>
      <c r="R753" s="341">
        <v>1</v>
      </c>
      <c r="S753" s="318">
        <f t="shared" si="326"/>
        <v>4.49</v>
      </c>
      <c r="T753" s="388"/>
      <c r="V753" s="328">
        <f t="shared" si="328"/>
        <v>4.49</v>
      </c>
      <c r="W753" s="320">
        <v>1</v>
      </c>
      <c r="X753" s="328">
        <f t="shared" si="322"/>
        <v>4.49</v>
      </c>
      <c r="Y753" s="464">
        <v>1</v>
      </c>
      <c r="Z753" s="328">
        <f t="shared" si="323"/>
        <v>4.49</v>
      </c>
      <c r="AB753" s="458">
        <f t="shared" si="324"/>
        <v>0</v>
      </c>
      <c r="AC753" s="348">
        <f t="shared" si="325"/>
        <v>0</v>
      </c>
    </row>
    <row r="754" spans="1:29">
      <c r="A754" s="318"/>
      <c r="B754" s="319"/>
      <c r="C754" s="318"/>
      <c r="D754" s="318"/>
      <c r="E754" s="319"/>
      <c r="F754" s="336"/>
      <c r="G754" s="318" t="s">
        <v>2087</v>
      </c>
      <c r="H754" s="328">
        <v>4.49</v>
      </c>
      <c r="I754" s="318">
        <v>1</v>
      </c>
      <c r="J754" s="318">
        <f t="shared" si="317"/>
        <v>1</v>
      </c>
      <c r="K754" s="328">
        <f t="shared" si="318"/>
        <v>4.49</v>
      </c>
      <c r="L754" s="318">
        <v>1622</v>
      </c>
      <c r="M754" s="318">
        <v>144</v>
      </c>
      <c r="N754" s="318">
        <v>1</v>
      </c>
      <c r="O754" s="621">
        <f t="shared" si="319"/>
        <v>4.49</v>
      </c>
      <c r="P754" s="755">
        <v>1</v>
      </c>
      <c r="Q754" s="755">
        <f t="shared" si="320"/>
        <v>0</v>
      </c>
      <c r="R754" s="341">
        <v>1</v>
      </c>
      <c r="S754" s="318">
        <f t="shared" si="326"/>
        <v>4.49</v>
      </c>
      <c r="T754" s="388"/>
      <c r="V754" s="328">
        <f t="shared" si="328"/>
        <v>4.49</v>
      </c>
      <c r="W754" s="320">
        <v>1</v>
      </c>
      <c r="X754" s="328">
        <f t="shared" si="322"/>
        <v>4.49</v>
      </c>
      <c r="Y754" s="464">
        <v>1</v>
      </c>
      <c r="Z754" s="328">
        <f t="shared" si="323"/>
        <v>4.49</v>
      </c>
      <c r="AB754" s="458">
        <f t="shared" si="324"/>
        <v>0</v>
      </c>
      <c r="AC754" s="348">
        <f t="shared" si="325"/>
        <v>0</v>
      </c>
    </row>
    <row r="755" spans="1:29">
      <c r="A755" s="318"/>
      <c r="B755" s="319"/>
      <c r="C755" s="318"/>
      <c r="D755" s="318"/>
      <c r="E755" s="319"/>
      <c r="F755" s="336"/>
      <c r="G755" s="318" t="s">
        <v>2088</v>
      </c>
      <c r="H755" s="328">
        <v>4.49</v>
      </c>
      <c r="I755" s="318">
        <v>1</v>
      </c>
      <c r="J755" s="318">
        <f t="shared" si="317"/>
        <v>1</v>
      </c>
      <c r="K755" s="328">
        <f t="shared" si="318"/>
        <v>4.49</v>
      </c>
      <c r="L755" s="318">
        <v>1622</v>
      </c>
      <c r="M755" s="318">
        <v>144</v>
      </c>
      <c r="N755" s="318">
        <v>1</v>
      </c>
      <c r="O755" s="621">
        <f t="shared" si="319"/>
        <v>4.49</v>
      </c>
      <c r="P755" s="755">
        <v>1</v>
      </c>
      <c r="Q755" s="755">
        <f t="shared" si="320"/>
        <v>0</v>
      </c>
      <c r="R755" s="341">
        <v>1</v>
      </c>
      <c r="S755" s="318">
        <f t="shared" si="326"/>
        <v>4.49</v>
      </c>
      <c r="T755" s="388"/>
      <c r="V755" s="328">
        <f t="shared" si="328"/>
        <v>4.49</v>
      </c>
      <c r="W755" s="320">
        <v>1</v>
      </c>
      <c r="X755" s="328">
        <f t="shared" si="322"/>
        <v>4.49</v>
      </c>
      <c r="Y755" s="464">
        <v>1</v>
      </c>
      <c r="Z755" s="328">
        <f t="shared" si="323"/>
        <v>4.49</v>
      </c>
      <c r="AB755" s="458">
        <f t="shared" si="324"/>
        <v>0</v>
      </c>
      <c r="AC755" s="348">
        <f t="shared" si="325"/>
        <v>0</v>
      </c>
    </row>
    <row r="756" spans="1:29">
      <c r="A756" s="318"/>
      <c r="B756" s="319"/>
      <c r="C756" s="318"/>
      <c r="D756" s="318"/>
      <c r="E756" s="319"/>
      <c r="F756" s="336"/>
      <c r="G756" s="318" t="s">
        <v>2089</v>
      </c>
      <c r="H756" s="328">
        <v>4.49</v>
      </c>
      <c r="I756" s="318">
        <v>1</v>
      </c>
      <c r="J756" s="318">
        <f t="shared" si="317"/>
        <v>1</v>
      </c>
      <c r="K756" s="328">
        <f t="shared" si="318"/>
        <v>4.49</v>
      </c>
      <c r="L756" s="318">
        <v>1622</v>
      </c>
      <c r="M756" s="318">
        <v>144</v>
      </c>
      <c r="N756" s="318">
        <v>1</v>
      </c>
      <c r="O756" s="621">
        <f t="shared" si="319"/>
        <v>4.49</v>
      </c>
      <c r="P756" s="755">
        <v>1</v>
      </c>
      <c r="Q756" s="755">
        <f t="shared" si="320"/>
        <v>0</v>
      </c>
      <c r="R756" s="341">
        <v>1</v>
      </c>
      <c r="S756" s="318">
        <f t="shared" si="326"/>
        <v>4.49</v>
      </c>
      <c r="T756" s="388"/>
      <c r="V756" s="328">
        <f t="shared" si="328"/>
        <v>4.49</v>
      </c>
      <c r="W756" s="320">
        <v>1</v>
      </c>
      <c r="X756" s="328">
        <f t="shared" si="322"/>
        <v>4.49</v>
      </c>
      <c r="Y756" s="464">
        <v>1</v>
      </c>
      <c r="Z756" s="328">
        <f t="shared" si="323"/>
        <v>4.49</v>
      </c>
      <c r="AB756" s="458">
        <f t="shared" si="324"/>
        <v>0</v>
      </c>
      <c r="AC756" s="348">
        <f t="shared" si="325"/>
        <v>0</v>
      </c>
    </row>
    <row r="757" spans="1:29">
      <c r="A757" s="318"/>
      <c r="B757" s="319"/>
      <c r="C757" s="318"/>
      <c r="D757" s="318"/>
      <c r="E757" s="319"/>
      <c r="F757" s="336"/>
      <c r="G757" s="318" t="s">
        <v>2090</v>
      </c>
      <c r="H757" s="328">
        <v>4.49</v>
      </c>
      <c r="I757" s="318">
        <v>1</v>
      </c>
      <c r="J757" s="318">
        <f t="shared" si="317"/>
        <v>1</v>
      </c>
      <c r="K757" s="328">
        <f t="shared" si="318"/>
        <v>4.49</v>
      </c>
      <c r="L757" s="318">
        <v>1622</v>
      </c>
      <c r="M757" s="318">
        <v>144</v>
      </c>
      <c r="N757" s="318">
        <v>1</v>
      </c>
      <c r="O757" s="621">
        <f t="shared" si="319"/>
        <v>4.49</v>
      </c>
      <c r="P757" s="755">
        <v>1</v>
      </c>
      <c r="Q757" s="755">
        <f t="shared" si="320"/>
        <v>0</v>
      </c>
      <c r="R757" s="341">
        <v>1</v>
      </c>
      <c r="S757" s="318">
        <f t="shared" si="326"/>
        <v>4.49</v>
      </c>
      <c r="T757" s="609" t="s">
        <v>3339</v>
      </c>
      <c r="V757" s="328">
        <f t="shared" si="328"/>
        <v>4.49</v>
      </c>
      <c r="W757" s="320">
        <v>1</v>
      </c>
      <c r="X757" s="328">
        <f t="shared" si="322"/>
        <v>4.49</v>
      </c>
      <c r="Y757" s="464">
        <v>1</v>
      </c>
      <c r="Z757" s="328">
        <f t="shared" si="323"/>
        <v>4.49</v>
      </c>
      <c r="AB757" s="458">
        <f t="shared" si="324"/>
        <v>0</v>
      </c>
      <c r="AC757" s="348">
        <f t="shared" si="325"/>
        <v>0</v>
      </c>
    </row>
    <row r="758" spans="1:29">
      <c r="A758" s="318"/>
      <c r="B758" s="319"/>
      <c r="C758" s="318"/>
      <c r="D758" s="318"/>
      <c r="E758" s="319"/>
      <c r="F758" s="336"/>
      <c r="G758" s="318" t="s">
        <v>2091</v>
      </c>
      <c r="H758" s="328">
        <v>4.72</v>
      </c>
      <c r="I758" s="318">
        <v>1</v>
      </c>
      <c r="J758" s="318">
        <v>1</v>
      </c>
      <c r="K758" s="328">
        <f t="shared" si="318"/>
        <v>4.72</v>
      </c>
      <c r="L758" s="350" t="s">
        <v>3206</v>
      </c>
      <c r="M758" s="318"/>
      <c r="N758" s="318">
        <v>1</v>
      </c>
      <c r="O758" s="621">
        <f t="shared" si="319"/>
        <v>4.72</v>
      </c>
      <c r="P758" s="750">
        <v>1</v>
      </c>
      <c r="Q758" s="755">
        <f t="shared" si="320"/>
        <v>0</v>
      </c>
      <c r="R758" s="341">
        <v>1</v>
      </c>
      <c r="S758" s="318">
        <f t="shared" si="326"/>
        <v>4.72</v>
      </c>
      <c r="T758" s="609" t="s">
        <v>3461</v>
      </c>
      <c r="V758" s="328">
        <f t="shared" si="328"/>
        <v>4.49</v>
      </c>
      <c r="W758" s="320"/>
      <c r="X758" s="328">
        <f t="shared" si="322"/>
        <v>0</v>
      </c>
      <c r="Y758" s="464"/>
      <c r="Z758" s="328">
        <f t="shared" si="323"/>
        <v>0</v>
      </c>
      <c r="AB758" s="458">
        <f t="shared" si="324"/>
        <v>-4.72</v>
      </c>
      <c r="AC758" s="348">
        <f t="shared" si="325"/>
        <v>-4.72</v>
      </c>
    </row>
    <row r="759" spans="1:29" collapsed="1">
      <c r="A759" s="584"/>
      <c r="B759" s="585"/>
      <c r="C759" s="584"/>
      <c r="D759" s="584"/>
      <c r="E759" s="585"/>
      <c r="F759" s="589"/>
      <c r="G759" s="584" t="s">
        <v>446</v>
      </c>
      <c r="H759" s="587"/>
      <c r="I759" s="584"/>
      <c r="J759" s="584"/>
      <c r="K759" s="584"/>
      <c r="L759" s="584"/>
      <c r="M759" s="584"/>
      <c r="N759" s="584"/>
      <c r="O759" s="634" t="s">
        <v>2321</v>
      </c>
      <c r="P759" s="766"/>
      <c r="Q759" s="766"/>
      <c r="R759" s="590"/>
      <c r="S759" s="588" t="s">
        <v>2321</v>
      </c>
      <c r="T759" s="1035" t="s">
        <v>1456</v>
      </c>
      <c r="V759" s="328"/>
      <c r="W759" s="320"/>
      <c r="X759" s="387" t="s">
        <v>2321</v>
      </c>
      <c r="Y759" s="320"/>
      <c r="Z759" s="387" t="s">
        <v>2321</v>
      </c>
      <c r="AB759" s="458"/>
      <c r="AC759" s="384"/>
    </row>
    <row r="760" spans="1:29">
      <c r="A760" s="584"/>
      <c r="B760" s="585"/>
      <c r="C760" s="584"/>
      <c r="D760" s="584"/>
      <c r="E760" s="585"/>
      <c r="F760" s="589"/>
      <c r="G760" s="584" t="s">
        <v>447</v>
      </c>
      <c r="H760" s="587"/>
      <c r="I760" s="584"/>
      <c r="J760" s="584"/>
      <c r="K760" s="584"/>
      <c r="L760" s="584"/>
      <c r="M760" s="584"/>
      <c r="N760" s="584"/>
      <c r="O760" s="634" t="s">
        <v>2321</v>
      </c>
      <c r="P760" s="766"/>
      <c r="Q760" s="766"/>
      <c r="R760" s="590"/>
      <c r="S760" s="588" t="s">
        <v>2321</v>
      </c>
      <c r="T760" s="1035"/>
      <c r="V760" s="328"/>
      <c r="W760" s="320"/>
      <c r="X760" s="387" t="s">
        <v>2321</v>
      </c>
      <c r="Y760" s="320"/>
      <c r="Z760" s="387" t="s">
        <v>2321</v>
      </c>
      <c r="AB760" s="458"/>
      <c r="AC760" s="384"/>
    </row>
    <row r="761" spans="1:29">
      <c r="A761" s="584"/>
      <c r="B761" s="585"/>
      <c r="C761" s="584"/>
      <c r="D761" s="584"/>
      <c r="E761" s="585"/>
      <c r="F761" s="589"/>
      <c r="G761" s="584" t="s">
        <v>448</v>
      </c>
      <c r="H761" s="587"/>
      <c r="I761" s="584"/>
      <c r="J761" s="584"/>
      <c r="K761" s="584"/>
      <c r="L761" s="584"/>
      <c r="M761" s="584"/>
      <c r="N761" s="584"/>
      <c r="O761" s="634" t="s">
        <v>2321</v>
      </c>
      <c r="P761" s="766"/>
      <c r="Q761" s="766"/>
      <c r="R761" s="590"/>
      <c r="S761" s="588" t="s">
        <v>2321</v>
      </c>
      <c r="T761" s="1035"/>
      <c r="V761" s="328"/>
      <c r="W761" s="320"/>
      <c r="X761" s="387" t="s">
        <v>2321</v>
      </c>
      <c r="Y761" s="320"/>
      <c r="Z761" s="387" t="s">
        <v>2321</v>
      </c>
      <c r="AB761" s="458"/>
      <c r="AC761" s="384"/>
    </row>
    <row r="762" spans="1:29">
      <c r="A762" s="584"/>
      <c r="B762" s="585"/>
      <c r="C762" s="584"/>
      <c r="D762" s="584"/>
      <c r="E762" s="585"/>
      <c r="F762" s="589"/>
      <c r="G762" s="584" t="s">
        <v>449</v>
      </c>
      <c r="H762" s="587"/>
      <c r="I762" s="584"/>
      <c r="J762" s="584"/>
      <c r="K762" s="584"/>
      <c r="L762" s="584"/>
      <c r="M762" s="584"/>
      <c r="N762" s="584"/>
      <c r="O762" s="634" t="s">
        <v>2321</v>
      </c>
      <c r="P762" s="766"/>
      <c r="Q762" s="766"/>
      <c r="R762" s="590"/>
      <c r="S762" s="588" t="s">
        <v>2321</v>
      </c>
      <c r="T762" s="1035"/>
      <c r="V762" s="328"/>
      <c r="W762" s="320"/>
      <c r="X762" s="387" t="s">
        <v>2321</v>
      </c>
      <c r="Y762" s="320"/>
      <c r="Z762" s="387" t="s">
        <v>2321</v>
      </c>
      <c r="AB762" s="458"/>
      <c r="AC762" s="384"/>
    </row>
    <row r="763" spans="1:29">
      <c r="A763" s="318"/>
      <c r="B763" s="319"/>
      <c r="C763" s="318"/>
      <c r="D763" s="318"/>
      <c r="E763" s="319"/>
      <c r="F763" s="336"/>
      <c r="G763" s="318" t="s">
        <v>2092</v>
      </c>
      <c r="H763" s="328">
        <v>4.72</v>
      </c>
      <c r="I763" s="318">
        <v>1</v>
      </c>
      <c r="J763" s="318">
        <v>1</v>
      </c>
      <c r="K763" s="328">
        <f>H763*J763</f>
        <v>4.72</v>
      </c>
      <c r="L763" s="318">
        <v>2532</v>
      </c>
      <c r="M763" s="350" t="s">
        <v>3237</v>
      </c>
      <c r="N763" s="318">
        <v>1</v>
      </c>
      <c r="O763" s="621">
        <f t="shared" si="319"/>
        <v>4.72</v>
      </c>
      <c r="P763" s="750">
        <v>1</v>
      </c>
      <c r="Q763" s="755">
        <f t="shared" ref="Q763:Q766" si="329">R763-P763</f>
        <v>0</v>
      </c>
      <c r="R763" s="341">
        <v>1</v>
      </c>
      <c r="S763" s="318">
        <f t="shared" ref="S763" si="330">H763*R763</f>
        <v>4.72</v>
      </c>
      <c r="T763" s="609" t="s">
        <v>3461</v>
      </c>
      <c r="V763" s="328">
        <f t="shared" si="328"/>
        <v>4.49</v>
      </c>
      <c r="W763" s="320"/>
      <c r="X763" s="328">
        <f>V763*W763</f>
        <v>0</v>
      </c>
      <c r="Y763" s="320"/>
      <c r="Z763" s="328">
        <f>V763*Y763</f>
        <v>0</v>
      </c>
      <c r="AB763" s="458">
        <f>X763-O763</f>
        <v>-4.72</v>
      </c>
      <c r="AC763" s="348">
        <f>Z763-S763</f>
        <v>-4.72</v>
      </c>
    </row>
    <row r="764" spans="1:29">
      <c r="A764" s="318"/>
      <c r="B764" s="319"/>
      <c r="C764" s="318"/>
      <c r="D764" s="318"/>
      <c r="E764" s="319"/>
      <c r="F764" s="336"/>
      <c r="G764" s="318" t="s">
        <v>2093</v>
      </c>
      <c r="H764" s="328">
        <v>4.49</v>
      </c>
      <c r="I764" s="318">
        <v>1</v>
      </c>
      <c r="J764" s="318">
        <f>IF(N764&gt;0,1,0)</f>
        <v>1</v>
      </c>
      <c r="K764" s="328">
        <f>H764*J764</f>
        <v>4.49</v>
      </c>
      <c r="L764" s="318">
        <v>2033</v>
      </c>
      <c r="M764" s="318">
        <v>187</v>
      </c>
      <c r="N764" s="318">
        <v>1</v>
      </c>
      <c r="O764" s="621">
        <f t="shared" si="319"/>
        <v>4.49</v>
      </c>
      <c r="P764" s="755">
        <v>1</v>
      </c>
      <c r="Q764" s="755">
        <f t="shared" si="329"/>
        <v>0</v>
      </c>
      <c r="R764" s="341">
        <v>1</v>
      </c>
      <c r="S764" s="318">
        <f t="shared" ref="S764:S766" si="331">H764*R764</f>
        <v>4.49</v>
      </c>
      <c r="T764" s="388"/>
      <c r="V764" s="328">
        <f t="shared" si="328"/>
        <v>4.49</v>
      </c>
      <c r="W764" s="320"/>
      <c r="X764" s="328">
        <f>V764*W764</f>
        <v>0</v>
      </c>
      <c r="Y764" s="320"/>
      <c r="Z764" s="328">
        <f>V764*Y764</f>
        <v>0</v>
      </c>
      <c r="AB764" s="458">
        <f>X764-O764</f>
        <v>-4.49</v>
      </c>
      <c r="AC764" s="348">
        <f>Z764-S764</f>
        <v>-4.49</v>
      </c>
    </row>
    <row r="765" spans="1:29">
      <c r="A765" s="318"/>
      <c r="B765" s="319"/>
      <c r="C765" s="318"/>
      <c r="D765" s="318"/>
      <c r="E765" s="319"/>
      <c r="F765" s="336"/>
      <c r="G765" s="318" t="s">
        <v>2094</v>
      </c>
      <c r="H765" s="328">
        <v>0.84</v>
      </c>
      <c r="I765" s="318">
        <v>1</v>
      </c>
      <c r="J765" s="318">
        <f>IF(N765&gt;0,1,0)</f>
        <v>1</v>
      </c>
      <c r="K765" s="328">
        <f>H765*J765</f>
        <v>0.84</v>
      </c>
      <c r="L765" s="318">
        <v>2031</v>
      </c>
      <c r="M765" s="318">
        <v>187</v>
      </c>
      <c r="N765" s="318">
        <v>1</v>
      </c>
      <c r="O765" s="621">
        <f t="shared" si="319"/>
        <v>0.84</v>
      </c>
      <c r="P765" s="755">
        <v>1</v>
      </c>
      <c r="Q765" s="755">
        <f t="shared" si="329"/>
        <v>0</v>
      </c>
      <c r="R765" s="341">
        <v>1</v>
      </c>
      <c r="S765" s="318">
        <f t="shared" si="331"/>
        <v>0.84</v>
      </c>
      <c r="T765" s="388"/>
      <c r="V765" s="328">
        <f>1.15</f>
        <v>1.1499999999999999</v>
      </c>
      <c r="W765" s="320"/>
      <c r="X765" s="328">
        <f>V765*W765</f>
        <v>0</v>
      </c>
      <c r="Y765" s="320"/>
      <c r="Z765" s="328">
        <f>V765*Y765</f>
        <v>0</v>
      </c>
      <c r="AB765" s="458">
        <f>X765-O765</f>
        <v>-0.84</v>
      </c>
      <c r="AC765" s="348">
        <f>Z765-S765</f>
        <v>-0.84</v>
      </c>
    </row>
    <row r="766" spans="1:29">
      <c r="A766" s="318"/>
      <c r="B766" s="319"/>
      <c r="C766" s="318"/>
      <c r="D766" s="318"/>
      <c r="E766" s="319"/>
      <c r="F766" s="336"/>
      <c r="G766" s="318" t="s">
        <v>2095</v>
      </c>
      <c r="H766" s="328">
        <v>1.74</v>
      </c>
      <c r="I766" s="318">
        <v>1</v>
      </c>
      <c r="J766" s="318">
        <f>IF(N766&gt;0,1,0)</f>
        <v>0</v>
      </c>
      <c r="K766" s="328">
        <f>H766*J766</f>
        <v>0</v>
      </c>
      <c r="L766" s="318"/>
      <c r="M766" s="318"/>
      <c r="N766" s="318"/>
      <c r="O766" s="621">
        <f t="shared" si="319"/>
        <v>0</v>
      </c>
      <c r="P766" s="755">
        <v>1</v>
      </c>
      <c r="Q766" s="755">
        <f t="shared" si="329"/>
        <v>0</v>
      </c>
      <c r="R766" s="341">
        <v>1</v>
      </c>
      <c r="S766" s="318">
        <f t="shared" si="331"/>
        <v>1.74</v>
      </c>
      <c r="T766" s="388"/>
      <c r="V766" s="328">
        <f>1.39</f>
        <v>1.39</v>
      </c>
      <c r="W766" s="320"/>
      <c r="X766" s="328">
        <f>V766*W766</f>
        <v>0</v>
      </c>
      <c r="Y766" s="320"/>
      <c r="Z766" s="328">
        <f>V766*Y766</f>
        <v>0</v>
      </c>
      <c r="AB766" s="458">
        <f>X766-O766</f>
        <v>0</v>
      </c>
      <c r="AC766" s="348">
        <f>Z766-S766</f>
        <v>-1.74</v>
      </c>
    </row>
    <row r="767" spans="1:29">
      <c r="A767" s="318"/>
      <c r="B767" s="319"/>
      <c r="C767" s="318"/>
      <c r="D767" s="318"/>
      <c r="E767" s="319"/>
      <c r="F767" s="319"/>
      <c r="G767" s="318"/>
      <c r="H767" s="318"/>
      <c r="I767" s="318"/>
      <c r="J767" s="382" t="s">
        <v>389</v>
      </c>
      <c r="K767" s="338">
        <f>SUM(K730:K766)</f>
        <v>129.29</v>
      </c>
      <c r="L767" s="318"/>
      <c r="M767" s="318"/>
      <c r="N767" s="382" t="s">
        <v>389</v>
      </c>
      <c r="O767" s="759">
        <f>SUM(O730:O766)</f>
        <v>129.29</v>
      </c>
      <c r="P767" s="751" t="s">
        <v>389</v>
      </c>
      <c r="Q767" s="751"/>
      <c r="R767" s="382"/>
      <c r="S767" s="338">
        <f>SUM(S730:S766)</f>
        <v>131.03</v>
      </c>
      <c r="T767" s="323"/>
      <c r="V767" s="318"/>
      <c r="W767" s="321" t="s">
        <v>389</v>
      </c>
      <c r="X767" s="338">
        <f>SUM(X730:X766)</f>
        <v>113.31999999999996</v>
      </c>
      <c r="Y767" s="321" t="s">
        <v>389</v>
      </c>
      <c r="Z767" s="338">
        <f>SUM(Z730:Z766)</f>
        <v>113.31999999999996</v>
      </c>
      <c r="AB767" s="338"/>
      <c r="AC767" s="338"/>
    </row>
    <row r="768" spans="1:29" ht="6.75" customHeight="1">
      <c r="A768" s="316"/>
      <c r="B768" s="317"/>
      <c r="C768" s="316"/>
      <c r="D768" s="316"/>
      <c r="E768" s="317"/>
      <c r="F768" s="317"/>
      <c r="G768" s="316"/>
      <c r="H768" s="316"/>
      <c r="I768" s="316"/>
      <c r="J768" s="316"/>
      <c r="K768" s="316"/>
      <c r="L768" s="316"/>
      <c r="M768" s="316"/>
      <c r="N768" s="316"/>
      <c r="O768" s="749"/>
      <c r="P768" s="752"/>
      <c r="Q768" s="752"/>
      <c r="R768" s="316"/>
      <c r="S768" s="316"/>
      <c r="T768" s="317"/>
      <c r="V768" s="316"/>
      <c r="W768" s="316"/>
      <c r="X768" s="316"/>
      <c r="Y768" s="316"/>
      <c r="Z768" s="316"/>
      <c r="AB768" s="339"/>
      <c r="AC768" s="339"/>
    </row>
    <row r="769" spans="1:29">
      <c r="A769" s="318">
        <v>19</v>
      </c>
      <c r="B769" s="319" t="s">
        <v>383</v>
      </c>
      <c r="C769" s="318">
        <v>600</v>
      </c>
      <c r="D769" s="318">
        <v>26</v>
      </c>
      <c r="E769" s="319">
        <v>1</v>
      </c>
      <c r="F769" s="336"/>
      <c r="G769" s="318" t="s">
        <v>2096</v>
      </c>
      <c r="H769" s="328">
        <v>4.3</v>
      </c>
      <c r="I769" s="318">
        <v>1</v>
      </c>
      <c r="J769" s="318">
        <f t="shared" ref="J769:J795" si="332">IF(N769&gt;0,1,0)</f>
        <v>1</v>
      </c>
      <c r="K769" s="328">
        <f t="shared" ref="K769:K796" si="333">H769*J769</f>
        <v>4.3</v>
      </c>
      <c r="L769" s="318">
        <v>1765</v>
      </c>
      <c r="M769" s="318">
        <v>162</v>
      </c>
      <c r="N769" s="318">
        <v>1</v>
      </c>
      <c r="O769" s="621">
        <f t="shared" ref="O769:O796" si="334">H769*N769</f>
        <v>4.3</v>
      </c>
      <c r="P769" s="755">
        <v>1</v>
      </c>
      <c r="Q769" s="755">
        <f t="shared" ref="Q769:Q796" si="335">R769-P769</f>
        <v>0</v>
      </c>
      <c r="R769" s="341">
        <v>1</v>
      </c>
      <c r="S769" s="318">
        <f t="shared" ref="S769" si="336">H769*R769</f>
        <v>4.3</v>
      </c>
      <c r="T769" s="319"/>
      <c r="V769" s="328">
        <f>4.294</f>
        <v>4.2939999999999996</v>
      </c>
      <c r="W769" s="320">
        <v>1</v>
      </c>
      <c r="X769" s="328">
        <f t="shared" ref="X769:X796" si="337">V769*W769</f>
        <v>4.2939999999999996</v>
      </c>
      <c r="Y769" s="320"/>
      <c r="Z769" s="328">
        <f t="shared" ref="Z769:Z796" si="338">V769*Y769</f>
        <v>0</v>
      </c>
      <c r="AB769" s="458">
        <f t="shared" ref="AB769:AB796" si="339">X769-O769</f>
        <v>-6.0000000000002274E-3</v>
      </c>
      <c r="AC769" s="348">
        <f t="shared" ref="AC769:AC796" si="340">Z769-S769</f>
        <v>-4.3</v>
      </c>
    </row>
    <row r="770" spans="1:29">
      <c r="A770" s="318"/>
      <c r="B770" s="319"/>
      <c r="C770" s="318"/>
      <c r="D770" s="318"/>
      <c r="E770" s="319"/>
      <c r="F770" s="336"/>
      <c r="G770" s="318" t="s">
        <v>2097</v>
      </c>
      <c r="H770" s="328">
        <v>4.3</v>
      </c>
      <c r="I770" s="318">
        <v>1</v>
      </c>
      <c r="J770" s="318">
        <f t="shared" si="332"/>
        <v>1</v>
      </c>
      <c r="K770" s="328">
        <f t="shared" si="333"/>
        <v>4.3</v>
      </c>
      <c r="L770" s="318">
        <v>1765</v>
      </c>
      <c r="M770" s="318">
        <v>162</v>
      </c>
      <c r="N770" s="318">
        <v>1</v>
      </c>
      <c r="O770" s="621">
        <f t="shared" si="334"/>
        <v>4.3</v>
      </c>
      <c r="P770" s="755">
        <v>1</v>
      </c>
      <c r="Q770" s="755">
        <f t="shared" si="335"/>
        <v>0</v>
      </c>
      <c r="R770" s="341">
        <v>1</v>
      </c>
      <c r="S770" s="318">
        <f t="shared" ref="S770:S796" si="341">H770*R770</f>
        <v>4.3</v>
      </c>
      <c r="T770" s="319"/>
      <c r="V770" s="328">
        <f>4.295</f>
        <v>4.2949999999999999</v>
      </c>
      <c r="W770" s="320">
        <v>1</v>
      </c>
      <c r="X770" s="328">
        <f t="shared" si="337"/>
        <v>4.2949999999999999</v>
      </c>
      <c r="Y770" s="320"/>
      <c r="Z770" s="328">
        <f t="shared" si="338"/>
        <v>0</v>
      </c>
      <c r="AB770" s="458">
        <f t="shared" si="339"/>
        <v>-4.9999999999998934E-3</v>
      </c>
      <c r="AC770" s="348">
        <f t="shared" si="340"/>
        <v>-4.3</v>
      </c>
    </row>
    <row r="771" spans="1:29">
      <c r="A771" s="318"/>
      <c r="B771" s="319"/>
      <c r="C771" s="318"/>
      <c r="D771" s="318"/>
      <c r="E771" s="319"/>
      <c r="F771" s="319"/>
      <c r="G771" s="318" t="s">
        <v>2098</v>
      </c>
      <c r="H771" s="328">
        <v>4.49</v>
      </c>
      <c r="I771" s="318">
        <v>1</v>
      </c>
      <c r="J771" s="318">
        <f t="shared" si="332"/>
        <v>1</v>
      </c>
      <c r="K771" s="328">
        <f t="shared" si="333"/>
        <v>4.49</v>
      </c>
      <c r="L771" s="318">
        <v>1592</v>
      </c>
      <c r="M771" s="318"/>
      <c r="N771" s="318">
        <v>1</v>
      </c>
      <c r="O771" s="621">
        <f t="shared" si="334"/>
        <v>4.49</v>
      </c>
      <c r="P771" s="755">
        <v>1</v>
      </c>
      <c r="Q771" s="755">
        <f t="shared" si="335"/>
        <v>0</v>
      </c>
      <c r="R771" s="341">
        <v>1</v>
      </c>
      <c r="S771" s="318">
        <f t="shared" si="341"/>
        <v>4.49</v>
      </c>
      <c r="T771" s="319"/>
      <c r="V771" s="328">
        <f t="shared" ref="V771:V786" si="342">4.49</f>
        <v>4.49</v>
      </c>
      <c r="W771" s="320">
        <v>1</v>
      </c>
      <c r="X771" s="328">
        <f t="shared" si="337"/>
        <v>4.49</v>
      </c>
      <c r="Y771" s="464">
        <v>1</v>
      </c>
      <c r="Z771" s="328">
        <f t="shared" si="338"/>
        <v>4.49</v>
      </c>
      <c r="AB771" s="458">
        <f t="shared" si="339"/>
        <v>0</v>
      </c>
      <c r="AC771" s="348">
        <f t="shared" si="340"/>
        <v>0</v>
      </c>
    </row>
    <row r="772" spans="1:29">
      <c r="A772" s="318"/>
      <c r="B772" s="319"/>
      <c r="C772" s="318"/>
      <c r="D772" s="318"/>
      <c r="E772" s="319"/>
      <c r="F772" s="319"/>
      <c r="G772" s="318" t="s">
        <v>2099</v>
      </c>
      <c r="H772" s="328">
        <v>4.49</v>
      </c>
      <c r="I772" s="318">
        <v>1</v>
      </c>
      <c r="J772" s="318">
        <f t="shared" si="332"/>
        <v>1</v>
      </c>
      <c r="K772" s="328">
        <f t="shared" si="333"/>
        <v>4.49</v>
      </c>
      <c r="L772" s="318">
        <v>1592</v>
      </c>
      <c r="M772" s="318"/>
      <c r="N772" s="318">
        <v>1</v>
      </c>
      <c r="O772" s="621">
        <f t="shared" si="334"/>
        <v>4.49</v>
      </c>
      <c r="P772" s="755">
        <v>1</v>
      </c>
      <c r="Q772" s="755">
        <f t="shared" si="335"/>
        <v>0</v>
      </c>
      <c r="R772" s="341">
        <v>1</v>
      </c>
      <c r="S772" s="318">
        <f t="shared" si="341"/>
        <v>4.49</v>
      </c>
      <c r="T772" s="319"/>
      <c r="V772" s="328">
        <f t="shared" si="342"/>
        <v>4.49</v>
      </c>
      <c r="W772" s="320">
        <v>1</v>
      </c>
      <c r="X772" s="328">
        <f t="shared" si="337"/>
        <v>4.49</v>
      </c>
      <c r="Y772" s="464">
        <v>1</v>
      </c>
      <c r="Z772" s="328">
        <f t="shared" si="338"/>
        <v>4.49</v>
      </c>
      <c r="AB772" s="458">
        <f t="shared" si="339"/>
        <v>0</v>
      </c>
      <c r="AC772" s="348">
        <f t="shared" si="340"/>
        <v>0</v>
      </c>
    </row>
    <row r="773" spans="1:29">
      <c r="A773" s="318"/>
      <c r="B773" s="319"/>
      <c r="C773" s="318"/>
      <c r="D773" s="318"/>
      <c r="E773" s="319"/>
      <c r="F773" s="319"/>
      <c r="G773" s="318" t="s">
        <v>2100</v>
      </c>
      <c r="H773" s="328">
        <v>4.49</v>
      </c>
      <c r="I773" s="318">
        <v>1</v>
      </c>
      <c r="J773" s="318">
        <f t="shared" si="332"/>
        <v>1</v>
      </c>
      <c r="K773" s="328">
        <f t="shared" si="333"/>
        <v>4.49</v>
      </c>
      <c r="L773" s="318">
        <v>1592</v>
      </c>
      <c r="M773" s="318"/>
      <c r="N773" s="318">
        <v>1</v>
      </c>
      <c r="O773" s="621">
        <f t="shared" si="334"/>
        <v>4.49</v>
      </c>
      <c r="P773" s="755">
        <v>1</v>
      </c>
      <c r="Q773" s="755">
        <f t="shared" si="335"/>
        <v>0</v>
      </c>
      <c r="R773" s="341">
        <v>1</v>
      </c>
      <c r="S773" s="318">
        <f t="shared" si="341"/>
        <v>4.49</v>
      </c>
      <c r="T773" s="319"/>
      <c r="V773" s="328">
        <f t="shared" si="342"/>
        <v>4.49</v>
      </c>
      <c r="W773" s="320">
        <v>1</v>
      </c>
      <c r="X773" s="328">
        <f t="shared" si="337"/>
        <v>4.49</v>
      </c>
      <c r="Y773" s="464">
        <v>1</v>
      </c>
      <c r="Z773" s="328">
        <f t="shared" si="338"/>
        <v>4.49</v>
      </c>
      <c r="AB773" s="458">
        <f t="shared" si="339"/>
        <v>0</v>
      </c>
      <c r="AC773" s="348">
        <f t="shared" si="340"/>
        <v>0</v>
      </c>
    </row>
    <row r="774" spans="1:29">
      <c r="A774" s="318"/>
      <c r="B774" s="319"/>
      <c r="C774" s="318"/>
      <c r="D774" s="318"/>
      <c r="E774" s="319"/>
      <c r="F774" s="319"/>
      <c r="G774" s="318" t="s">
        <v>2101</v>
      </c>
      <c r="H774" s="328">
        <v>4.49</v>
      </c>
      <c r="I774" s="318">
        <v>1</v>
      </c>
      <c r="J774" s="318">
        <f t="shared" si="332"/>
        <v>1</v>
      </c>
      <c r="K774" s="328">
        <f t="shared" si="333"/>
        <v>4.49</v>
      </c>
      <c r="L774" s="318">
        <v>1595</v>
      </c>
      <c r="M774" s="318"/>
      <c r="N774" s="318">
        <v>1</v>
      </c>
      <c r="O774" s="621">
        <f t="shared" si="334"/>
        <v>4.49</v>
      </c>
      <c r="P774" s="755">
        <v>1</v>
      </c>
      <c r="Q774" s="755">
        <f t="shared" si="335"/>
        <v>0</v>
      </c>
      <c r="R774" s="341">
        <v>1</v>
      </c>
      <c r="S774" s="318">
        <f t="shared" si="341"/>
        <v>4.49</v>
      </c>
      <c r="T774" s="319"/>
      <c r="V774" s="328">
        <f t="shared" si="342"/>
        <v>4.49</v>
      </c>
      <c r="W774" s="320">
        <v>1</v>
      </c>
      <c r="X774" s="328">
        <f t="shared" si="337"/>
        <v>4.49</v>
      </c>
      <c r="Y774" s="464">
        <v>1</v>
      </c>
      <c r="Z774" s="328">
        <f t="shared" si="338"/>
        <v>4.49</v>
      </c>
      <c r="AB774" s="458">
        <f t="shared" si="339"/>
        <v>0</v>
      </c>
      <c r="AC774" s="348">
        <f t="shared" si="340"/>
        <v>0</v>
      </c>
    </row>
    <row r="775" spans="1:29">
      <c r="A775" s="318"/>
      <c r="B775" s="319"/>
      <c r="C775" s="318"/>
      <c r="D775" s="318"/>
      <c r="E775" s="319"/>
      <c r="F775" s="319"/>
      <c r="G775" s="318" t="s">
        <v>2102</v>
      </c>
      <c r="H775" s="328">
        <v>4.49</v>
      </c>
      <c r="I775" s="318">
        <v>1</v>
      </c>
      <c r="J775" s="318">
        <f t="shared" si="332"/>
        <v>1</v>
      </c>
      <c r="K775" s="328">
        <f t="shared" si="333"/>
        <v>4.49</v>
      </c>
      <c r="L775" s="318">
        <v>1595</v>
      </c>
      <c r="M775" s="318"/>
      <c r="N775" s="318">
        <v>1</v>
      </c>
      <c r="O775" s="621">
        <f t="shared" si="334"/>
        <v>4.49</v>
      </c>
      <c r="P775" s="755">
        <v>1</v>
      </c>
      <c r="Q775" s="755">
        <f t="shared" si="335"/>
        <v>0</v>
      </c>
      <c r="R775" s="341">
        <v>1</v>
      </c>
      <c r="S775" s="318">
        <f t="shared" si="341"/>
        <v>4.49</v>
      </c>
      <c r="T775" s="319"/>
      <c r="V775" s="328">
        <f t="shared" si="342"/>
        <v>4.49</v>
      </c>
      <c r="W775" s="320">
        <v>1</v>
      </c>
      <c r="X775" s="328">
        <f t="shared" si="337"/>
        <v>4.49</v>
      </c>
      <c r="Y775" s="464">
        <v>1</v>
      </c>
      <c r="Z775" s="328">
        <f t="shared" si="338"/>
        <v>4.49</v>
      </c>
      <c r="AB775" s="458">
        <f t="shared" si="339"/>
        <v>0</v>
      </c>
      <c r="AC775" s="348">
        <f t="shared" si="340"/>
        <v>0</v>
      </c>
    </row>
    <row r="776" spans="1:29">
      <c r="A776" s="318"/>
      <c r="B776" s="319"/>
      <c r="C776" s="318"/>
      <c r="D776" s="318"/>
      <c r="E776" s="319"/>
      <c r="F776" s="319"/>
      <c r="G776" s="318" t="s">
        <v>2103</v>
      </c>
      <c r="H776" s="328">
        <v>4.49</v>
      </c>
      <c r="I776" s="318">
        <v>1</v>
      </c>
      <c r="J776" s="318">
        <f t="shared" si="332"/>
        <v>1</v>
      </c>
      <c r="K776" s="328">
        <f t="shared" si="333"/>
        <v>4.49</v>
      </c>
      <c r="L776" s="318">
        <v>1595</v>
      </c>
      <c r="M776" s="318"/>
      <c r="N776" s="318">
        <v>1</v>
      </c>
      <c r="O776" s="621">
        <f t="shared" si="334"/>
        <v>4.49</v>
      </c>
      <c r="P776" s="755">
        <v>1</v>
      </c>
      <c r="Q776" s="755">
        <f t="shared" si="335"/>
        <v>0</v>
      </c>
      <c r="R776" s="341">
        <v>1</v>
      </c>
      <c r="S776" s="318">
        <f t="shared" si="341"/>
        <v>4.49</v>
      </c>
      <c r="T776" s="319"/>
      <c r="V776" s="328">
        <f t="shared" si="342"/>
        <v>4.49</v>
      </c>
      <c r="W776" s="320">
        <v>1</v>
      </c>
      <c r="X776" s="328">
        <f t="shared" si="337"/>
        <v>4.49</v>
      </c>
      <c r="Y776" s="464">
        <v>1</v>
      </c>
      <c r="Z776" s="328">
        <f t="shared" si="338"/>
        <v>4.49</v>
      </c>
      <c r="AB776" s="458">
        <f t="shared" si="339"/>
        <v>0</v>
      </c>
      <c r="AC776" s="348">
        <f t="shared" si="340"/>
        <v>0</v>
      </c>
    </row>
    <row r="777" spans="1:29">
      <c r="A777" s="318"/>
      <c r="B777" s="319"/>
      <c r="C777" s="318"/>
      <c r="D777" s="318"/>
      <c r="E777" s="319"/>
      <c r="F777" s="319"/>
      <c r="G777" s="318" t="s">
        <v>2104</v>
      </c>
      <c r="H777" s="328">
        <v>4.49</v>
      </c>
      <c r="I777" s="318">
        <v>1</v>
      </c>
      <c r="J777" s="318">
        <f t="shared" si="332"/>
        <v>1</v>
      </c>
      <c r="K777" s="328">
        <f t="shared" si="333"/>
        <v>4.49</v>
      </c>
      <c r="L777" s="318">
        <v>1595</v>
      </c>
      <c r="M777" s="318"/>
      <c r="N777" s="318">
        <v>1</v>
      </c>
      <c r="O777" s="621">
        <f t="shared" si="334"/>
        <v>4.49</v>
      </c>
      <c r="P777" s="755">
        <v>1</v>
      </c>
      <c r="Q777" s="755">
        <f t="shared" si="335"/>
        <v>0</v>
      </c>
      <c r="R777" s="341">
        <v>1</v>
      </c>
      <c r="S777" s="318">
        <f t="shared" si="341"/>
        <v>4.49</v>
      </c>
      <c r="T777" s="319"/>
      <c r="V777" s="328">
        <f t="shared" si="342"/>
        <v>4.49</v>
      </c>
      <c r="W777" s="320">
        <v>1</v>
      </c>
      <c r="X777" s="328">
        <f t="shared" si="337"/>
        <v>4.49</v>
      </c>
      <c r="Y777" s="464">
        <v>1</v>
      </c>
      <c r="Z777" s="328">
        <f t="shared" si="338"/>
        <v>4.49</v>
      </c>
      <c r="AB777" s="458">
        <f t="shared" si="339"/>
        <v>0</v>
      </c>
      <c r="AC777" s="348">
        <f t="shared" si="340"/>
        <v>0</v>
      </c>
    </row>
    <row r="778" spans="1:29">
      <c r="A778" s="318"/>
      <c r="B778" s="319"/>
      <c r="C778" s="318"/>
      <c r="D778" s="318"/>
      <c r="E778" s="319"/>
      <c r="F778" s="319"/>
      <c r="G778" s="318" t="s">
        <v>2105</v>
      </c>
      <c r="H778" s="328">
        <v>4.49</v>
      </c>
      <c r="I778" s="318">
        <v>1</v>
      </c>
      <c r="J778" s="318">
        <f t="shared" si="332"/>
        <v>1</v>
      </c>
      <c r="K778" s="328">
        <f t="shared" si="333"/>
        <v>4.49</v>
      </c>
      <c r="L778" s="318">
        <v>1595</v>
      </c>
      <c r="M778" s="318"/>
      <c r="N778" s="318">
        <v>1</v>
      </c>
      <c r="O778" s="621">
        <f t="shared" si="334"/>
        <v>4.49</v>
      </c>
      <c r="P778" s="755">
        <v>1</v>
      </c>
      <c r="Q778" s="755">
        <f t="shared" si="335"/>
        <v>0</v>
      </c>
      <c r="R778" s="341">
        <v>1</v>
      </c>
      <c r="S778" s="318">
        <f t="shared" si="341"/>
        <v>4.49</v>
      </c>
      <c r="T778" s="319"/>
      <c r="V778" s="328">
        <f t="shared" si="342"/>
        <v>4.49</v>
      </c>
      <c r="W778" s="320">
        <v>1</v>
      </c>
      <c r="X778" s="328">
        <f t="shared" si="337"/>
        <v>4.49</v>
      </c>
      <c r="Y778" s="464">
        <v>1</v>
      </c>
      <c r="Z778" s="328">
        <f t="shared" si="338"/>
        <v>4.49</v>
      </c>
      <c r="AB778" s="458">
        <f t="shared" si="339"/>
        <v>0</v>
      </c>
      <c r="AC778" s="348">
        <f t="shared" si="340"/>
        <v>0</v>
      </c>
    </row>
    <row r="779" spans="1:29">
      <c r="A779" s="318"/>
      <c r="B779" s="319"/>
      <c r="C779" s="318"/>
      <c r="D779" s="318"/>
      <c r="E779" s="319"/>
      <c r="F779" s="336"/>
      <c r="G779" s="318" t="s">
        <v>2106</v>
      </c>
      <c r="H779" s="328">
        <v>4.49</v>
      </c>
      <c r="I779" s="318">
        <v>1</v>
      </c>
      <c r="J779" s="318">
        <f t="shared" si="332"/>
        <v>1</v>
      </c>
      <c r="K779" s="328">
        <f t="shared" si="333"/>
        <v>4.49</v>
      </c>
      <c r="L779" s="318">
        <v>1598</v>
      </c>
      <c r="M779" s="318"/>
      <c r="N779" s="318">
        <v>1</v>
      </c>
      <c r="O779" s="621">
        <f t="shared" si="334"/>
        <v>4.49</v>
      </c>
      <c r="P779" s="755">
        <v>1</v>
      </c>
      <c r="Q779" s="755">
        <f t="shared" si="335"/>
        <v>0</v>
      </c>
      <c r="R779" s="341">
        <v>1</v>
      </c>
      <c r="S779" s="318">
        <f t="shared" si="341"/>
        <v>4.49</v>
      </c>
      <c r="T779" s="319"/>
      <c r="V779" s="328">
        <f t="shared" si="342"/>
        <v>4.49</v>
      </c>
      <c r="W779" s="320">
        <v>1</v>
      </c>
      <c r="X779" s="328">
        <f t="shared" si="337"/>
        <v>4.49</v>
      </c>
      <c r="Y779" s="464">
        <v>1</v>
      </c>
      <c r="Z779" s="328">
        <f t="shared" si="338"/>
        <v>4.49</v>
      </c>
      <c r="AB779" s="458">
        <f t="shared" si="339"/>
        <v>0</v>
      </c>
      <c r="AC779" s="348">
        <f t="shared" si="340"/>
        <v>0</v>
      </c>
    </row>
    <row r="780" spans="1:29">
      <c r="A780" s="318"/>
      <c r="B780" s="319"/>
      <c r="C780" s="318"/>
      <c r="D780" s="318"/>
      <c r="E780" s="319"/>
      <c r="F780" s="336"/>
      <c r="G780" s="318" t="s">
        <v>2107</v>
      </c>
      <c r="H780" s="328">
        <v>4.49</v>
      </c>
      <c r="I780" s="318">
        <v>1</v>
      </c>
      <c r="J780" s="318">
        <f t="shared" si="332"/>
        <v>1</v>
      </c>
      <c r="K780" s="328">
        <f t="shared" si="333"/>
        <v>4.49</v>
      </c>
      <c r="L780" s="318">
        <v>1598</v>
      </c>
      <c r="M780" s="318"/>
      <c r="N780" s="318">
        <v>1</v>
      </c>
      <c r="O780" s="621">
        <f t="shared" si="334"/>
        <v>4.49</v>
      </c>
      <c r="P780" s="755">
        <v>1</v>
      </c>
      <c r="Q780" s="755">
        <f t="shared" si="335"/>
        <v>0</v>
      </c>
      <c r="R780" s="341">
        <v>1</v>
      </c>
      <c r="S780" s="318">
        <f t="shared" si="341"/>
        <v>4.49</v>
      </c>
      <c r="T780" s="319"/>
      <c r="V780" s="328">
        <f t="shared" si="342"/>
        <v>4.49</v>
      </c>
      <c r="W780" s="320">
        <v>1</v>
      </c>
      <c r="X780" s="328">
        <f t="shared" si="337"/>
        <v>4.49</v>
      </c>
      <c r="Y780" s="464">
        <v>1</v>
      </c>
      <c r="Z780" s="328">
        <f t="shared" si="338"/>
        <v>4.49</v>
      </c>
      <c r="AB780" s="458">
        <f t="shared" si="339"/>
        <v>0</v>
      </c>
      <c r="AC780" s="348">
        <f t="shared" si="340"/>
        <v>0</v>
      </c>
    </row>
    <row r="781" spans="1:29">
      <c r="A781" s="318"/>
      <c r="B781" s="319"/>
      <c r="C781" s="318"/>
      <c r="D781" s="318"/>
      <c r="E781" s="319"/>
      <c r="F781" s="319"/>
      <c r="G781" s="318" t="s">
        <v>2108</v>
      </c>
      <c r="H781" s="328">
        <v>4.49</v>
      </c>
      <c r="I781" s="318">
        <v>1</v>
      </c>
      <c r="J781" s="318">
        <f t="shared" si="332"/>
        <v>1</v>
      </c>
      <c r="K781" s="328">
        <f t="shared" si="333"/>
        <v>4.49</v>
      </c>
      <c r="L781" s="318">
        <v>1598</v>
      </c>
      <c r="M781" s="318"/>
      <c r="N781" s="318">
        <v>1</v>
      </c>
      <c r="O781" s="621">
        <f t="shared" si="334"/>
        <v>4.49</v>
      </c>
      <c r="P781" s="755">
        <v>1</v>
      </c>
      <c r="Q781" s="755">
        <f t="shared" si="335"/>
        <v>0</v>
      </c>
      <c r="R781" s="341">
        <v>1</v>
      </c>
      <c r="S781" s="318">
        <f t="shared" si="341"/>
        <v>4.49</v>
      </c>
      <c r="T781" s="319"/>
      <c r="V781" s="328">
        <f t="shared" si="342"/>
        <v>4.49</v>
      </c>
      <c r="W781" s="320">
        <v>1</v>
      </c>
      <c r="X781" s="328">
        <f t="shared" si="337"/>
        <v>4.49</v>
      </c>
      <c r="Y781" s="464">
        <v>1</v>
      </c>
      <c r="Z781" s="328">
        <f t="shared" si="338"/>
        <v>4.49</v>
      </c>
      <c r="AB781" s="458">
        <f t="shared" si="339"/>
        <v>0</v>
      </c>
      <c r="AC781" s="348">
        <f t="shared" si="340"/>
        <v>0</v>
      </c>
    </row>
    <row r="782" spans="1:29">
      <c r="A782" s="318"/>
      <c r="B782" s="319"/>
      <c r="C782" s="318"/>
      <c r="D782" s="318"/>
      <c r="E782" s="319"/>
      <c r="F782" s="319"/>
      <c r="G782" s="318" t="s">
        <v>2109</v>
      </c>
      <c r="H782" s="328">
        <v>4.49</v>
      </c>
      <c r="I782" s="318">
        <v>1</v>
      </c>
      <c r="J782" s="318">
        <f t="shared" si="332"/>
        <v>1</v>
      </c>
      <c r="K782" s="328">
        <f t="shared" si="333"/>
        <v>4.49</v>
      </c>
      <c r="L782" s="318">
        <v>1598</v>
      </c>
      <c r="M782" s="318"/>
      <c r="N782" s="318">
        <v>1</v>
      </c>
      <c r="O782" s="621">
        <f t="shared" si="334"/>
        <v>4.49</v>
      </c>
      <c r="P782" s="755">
        <v>1</v>
      </c>
      <c r="Q782" s="755">
        <f t="shared" si="335"/>
        <v>0</v>
      </c>
      <c r="R782" s="341">
        <v>1</v>
      </c>
      <c r="S782" s="318">
        <f t="shared" si="341"/>
        <v>4.49</v>
      </c>
      <c r="T782" s="319"/>
      <c r="V782" s="328">
        <f t="shared" si="342"/>
        <v>4.49</v>
      </c>
      <c r="W782" s="320">
        <v>1</v>
      </c>
      <c r="X782" s="328">
        <f t="shared" si="337"/>
        <v>4.49</v>
      </c>
      <c r="Y782" s="464">
        <v>1</v>
      </c>
      <c r="Z782" s="328">
        <f t="shared" si="338"/>
        <v>4.49</v>
      </c>
      <c r="AB782" s="458">
        <f t="shared" si="339"/>
        <v>0</v>
      </c>
      <c r="AC782" s="348">
        <f t="shared" si="340"/>
        <v>0</v>
      </c>
    </row>
    <row r="783" spans="1:29">
      <c r="A783" s="318"/>
      <c r="B783" s="319"/>
      <c r="C783" s="318"/>
      <c r="D783" s="318"/>
      <c r="E783" s="319"/>
      <c r="F783" s="319"/>
      <c r="G783" s="318" t="s">
        <v>2110</v>
      </c>
      <c r="H783" s="328">
        <v>4.49</v>
      </c>
      <c r="I783" s="318">
        <v>1</v>
      </c>
      <c r="J783" s="318">
        <f t="shared" si="332"/>
        <v>1</v>
      </c>
      <c r="K783" s="328">
        <f t="shared" si="333"/>
        <v>4.49</v>
      </c>
      <c r="L783" s="318">
        <v>1598</v>
      </c>
      <c r="M783" s="318"/>
      <c r="N783" s="318">
        <v>1</v>
      </c>
      <c r="O783" s="621">
        <f t="shared" si="334"/>
        <v>4.49</v>
      </c>
      <c r="P783" s="755">
        <v>1</v>
      </c>
      <c r="Q783" s="755">
        <f t="shared" si="335"/>
        <v>0</v>
      </c>
      <c r="R783" s="341">
        <v>1</v>
      </c>
      <c r="S783" s="318">
        <f t="shared" si="341"/>
        <v>4.49</v>
      </c>
      <c r="T783" s="319"/>
      <c r="V783" s="328">
        <f t="shared" si="342"/>
        <v>4.49</v>
      </c>
      <c r="W783" s="320">
        <v>1</v>
      </c>
      <c r="X783" s="328">
        <f t="shared" si="337"/>
        <v>4.49</v>
      </c>
      <c r="Y783" s="464">
        <v>1</v>
      </c>
      <c r="Z783" s="328">
        <f t="shared" si="338"/>
        <v>4.49</v>
      </c>
      <c r="AB783" s="458">
        <f t="shared" si="339"/>
        <v>0</v>
      </c>
      <c r="AC783" s="348">
        <f t="shared" si="340"/>
        <v>0</v>
      </c>
    </row>
    <row r="784" spans="1:29">
      <c r="A784" s="318"/>
      <c r="B784" s="319"/>
      <c r="C784" s="318"/>
      <c r="D784" s="318"/>
      <c r="E784" s="319"/>
      <c r="F784" s="319"/>
      <c r="G784" s="318" t="s">
        <v>2111</v>
      </c>
      <c r="H784" s="328">
        <v>4.49</v>
      </c>
      <c r="I784" s="318">
        <v>1</v>
      </c>
      <c r="J784" s="318">
        <f t="shared" si="332"/>
        <v>1</v>
      </c>
      <c r="K784" s="328">
        <f t="shared" si="333"/>
        <v>4.49</v>
      </c>
      <c r="L784" s="318">
        <v>1604</v>
      </c>
      <c r="M784" s="318"/>
      <c r="N784" s="318">
        <v>1</v>
      </c>
      <c r="O784" s="621">
        <f t="shared" si="334"/>
        <v>4.49</v>
      </c>
      <c r="P784" s="755">
        <v>1</v>
      </c>
      <c r="Q784" s="755">
        <f t="shared" si="335"/>
        <v>0</v>
      </c>
      <c r="R784" s="341">
        <v>1</v>
      </c>
      <c r="S784" s="318">
        <f t="shared" si="341"/>
        <v>4.49</v>
      </c>
      <c r="T784" s="319"/>
      <c r="V784" s="328">
        <f t="shared" si="342"/>
        <v>4.49</v>
      </c>
      <c r="W784" s="320">
        <v>1</v>
      </c>
      <c r="X784" s="328">
        <f t="shared" si="337"/>
        <v>4.49</v>
      </c>
      <c r="Y784" s="464">
        <v>1</v>
      </c>
      <c r="Z784" s="328">
        <f t="shared" si="338"/>
        <v>4.49</v>
      </c>
      <c r="AB784" s="458">
        <f t="shared" si="339"/>
        <v>0</v>
      </c>
      <c r="AC784" s="348">
        <f t="shared" si="340"/>
        <v>0</v>
      </c>
    </row>
    <row r="785" spans="1:29">
      <c r="A785" s="318"/>
      <c r="B785" s="319"/>
      <c r="C785" s="318"/>
      <c r="D785" s="318"/>
      <c r="E785" s="319"/>
      <c r="F785" s="336"/>
      <c r="G785" s="318" t="s">
        <v>2112</v>
      </c>
      <c r="H785" s="328">
        <v>4.49</v>
      </c>
      <c r="I785" s="318">
        <v>1</v>
      </c>
      <c r="J785" s="318">
        <f t="shared" si="332"/>
        <v>1</v>
      </c>
      <c r="K785" s="328">
        <f t="shared" si="333"/>
        <v>4.49</v>
      </c>
      <c r="L785" s="318">
        <v>1604</v>
      </c>
      <c r="M785" s="318"/>
      <c r="N785" s="318">
        <v>1</v>
      </c>
      <c r="O785" s="621">
        <f t="shared" si="334"/>
        <v>4.49</v>
      </c>
      <c r="P785" s="755">
        <v>1</v>
      </c>
      <c r="Q785" s="755">
        <f t="shared" si="335"/>
        <v>0</v>
      </c>
      <c r="R785" s="341">
        <v>1</v>
      </c>
      <c r="S785" s="318">
        <f t="shared" si="341"/>
        <v>4.49</v>
      </c>
      <c r="T785" s="319"/>
      <c r="V785" s="328">
        <f t="shared" si="342"/>
        <v>4.49</v>
      </c>
      <c r="W785" s="320">
        <v>1</v>
      </c>
      <c r="X785" s="328">
        <f t="shared" si="337"/>
        <v>4.49</v>
      </c>
      <c r="Y785" s="320"/>
      <c r="Z785" s="328">
        <f t="shared" si="338"/>
        <v>0</v>
      </c>
      <c r="AB785" s="458">
        <f t="shared" si="339"/>
        <v>0</v>
      </c>
      <c r="AC785" s="348">
        <f t="shared" si="340"/>
        <v>-4.49</v>
      </c>
    </row>
    <row r="786" spans="1:29">
      <c r="A786" s="318"/>
      <c r="B786" s="319"/>
      <c r="C786" s="318"/>
      <c r="D786" s="318"/>
      <c r="E786" s="319"/>
      <c r="F786" s="336"/>
      <c r="G786" s="318" t="s">
        <v>2113</v>
      </c>
      <c r="H786" s="328">
        <v>4.49</v>
      </c>
      <c r="I786" s="318">
        <v>1</v>
      </c>
      <c r="J786" s="318">
        <f t="shared" si="332"/>
        <v>1</v>
      </c>
      <c r="K786" s="328">
        <f t="shared" si="333"/>
        <v>4.49</v>
      </c>
      <c r="L786" s="318">
        <v>1604</v>
      </c>
      <c r="M786" s="318"/>
      <c r="N786" s="318">
        <v>1</v>
      </c>
      <c r="O786" s="621">
        <f t="shared" si="334"/>
        <v>4.49</v>
      </c>
      <c r="P786" s="755">
        <v>1</v>
      </c>
      <c r="Q786" s="755">
        <f t="shared" si="335"/>
        <v>0</v>
      </c>
      <c r="R786" s="341">
        <v>1</v>
      </c>
      <c r="S786" s="318">
        <f t="shared" si="341"/>
        <v>4.49</v>
      </c>
      <c r="T786" s="389"/>
      <c r="V786" s="328">
        <f t="shared" si="342"/>
        <v>4.49</v>
      </c>
      <c r="W786" s="320">
        <v>1</v>
      </c>
      <c r="X786" s="328">
        <f t="shared" si="337"/>
        <v>4.49</v>
      </c>
      <c r="Y786" s="320"/>
      <c r="Z786" s="328">
        <f t="shared" si="338"/>
        <v>0</v>
      </c>
      <c r="AB786" s="458">
        <f t="shared" si="339"/>
        <v>0</v>
      </c>
      <c r="AC786" s="348">
        <f t="shared" si="340"/>
        <v>-4.49</v>
      </c>
    </row>
    <row r="787" spans="1:29">
      <c r="A787" s="318"/>
      <c r="B787" s="319"/>
      <c r="C787" s="318"/>
      <c r="D787" s="318"/>
      <c r="E787" s="319"/>
      <c r="F787" s="336"/>
      <c r="G787" s="318" t="s">
        <v>2114</v>
      </c>
      <c r="H787" s="328">
        <v>4.67</v>
      </c>
      <c r="I787" s="318">
        <v>1</v>
      </c>
      <c r="J787" s="318">
        <f t="shared" si="332"/>
        <v>1</v>
      </c>
      <c r="K787" s="328">
        <f t="shared" si="333"/>
        <v>4.67</v>
      </c>
      <c r="L787" s="318">
        <v>1604</v>
      </c>
      <c r="M787" s="318"/>
      <c r="N787" s="318">
        <v>1</v>
      </c>
      <c r="O787" s="621">
        <f t="shared" si="334"/>
        <v>4.67</v>
      </c>
      <c r="P787" s="755">
        <v>1</v>
      </c>
      <c r="Q787" s="755">
        <f t="shared" si="335"/>
        <v>0</v>
      </c>
      <c r="R787" s="341">
        <v>1</v>
      </c>
      <c r="S787" s="318">
        <f t="shared" si="341"/>
        <v>4.67</v>
      </c>
      <c r="T787" s="389"/>
      <c r="V787" s="328">
        <f>1.8+3.495</f>
        <v>5.2949999999999999</v>
      </c>
      <c r="W787" s="320">
        <v>1</v>
      </c>
      <c r="X787" s="328">
        <f t="shared" si="337"/>
        <v>5.2949999999999999</v>
      </c>
      <c r="Y787" s="320"/>
      <c r="Z787" s="328">
        <f t="shared" si="338"/>
        <v>0</v>
      </c>
      <c r="AB787" s="458">
        <f t="shared" si="339"/>
        <v>0.625</v>
      </c>
      <c r="AC787" s="348">
        <f t="shared" si="340"/>
        <v>-4.67</v>
      </c>
    </row>
    <row r="788" spans="1:29">
      <c r="A788" s="318"/>
      <c r="B788" s="319"/>
      <c r="C788" s="318"/>
      <c r="D788" s="318"/>
      <c r="E788" s="319"/>
      <c r="F788" s="336"/>
      <c r="G788" s="318" t="s">
        <v>2115</v>
      </c>
      <c r="H788" s="328">
        <v>4.49</v>
      </c>
      <c r="I788" s="318">
        <v>1</v>
      </c>
      <c r="J788" s="318">
        <f t="shared" si="332"/>
        <v>1</v>
      </c>
      <c r="K788" s="328">
        <f t="shared" si="333"/>
        <v>4.49</v>
      </c>
      <c r="L788" s="318">
        <v>2009</v>
      </c>
      <c r="M788" s="318">
        <v>183</v>
      </c>
      <c r="N788" s="318">
        <v>1</v>
      </c>
      <c r="O788" s="621">
        <f t="shared" si="334"/>
        <v>4.49</v>
      </c>
      <c r="P788" s="755">
        <v>1</v>
      </c>
      <c r="Q788" s="755">
        <f t="shared" si="335"/>
        <v>0</v>
      </c>
      <c r="R788" s="341">
        <v>1</v>
      </c>
      <c r="S788" s="318">
        <f t="shared" si="341"/>
        <v>4.49</v>
      </c>
      <c r="T788" s="389"/>
      <c r="V788" s="328">
        <f t="shared" ref="V788:V810" si="343">4.49</f>
        <v>4.49</v>
      </c>
      <c r="W788" s="320"/>
      <c r="X788" s="328">
        <f t="shared" si="337"/>
        <v>0</v>
      </c>
      <c r="Y788" s="320"/>
      <c r="Z788" s="328">
        <f t="shared" si="338"/>
        <v>0</v>
      </c>
      <c r="AB788" s="458">
        <f t="shared" si="339"/>
        <v>-4.49</v>
      </c>
      <c r="AC788" s="348">
        <f t="shared" si="340"/>
        <v>-4.49</v>
      </c>
    </row>
    <row r="789" spans="1:29">
      <c r="A789" s="318"/>
      <c r="B789" s="319"/>
      <c r="C789" s="318"/>
      <c r="D789" s="318"/>
      <c r="E789" s="319"/>
      <c r="F789" s="319"/>
      <c r="G789" s="318" t="s">
        <v>2116</v>
      </c>
      <c r="H789" s="328">
        <v>4.49</v>
      </c>
      <c r="I789" s="318">
        <v>1</v>
      </c>
      <c r="J789" s="318">
        <f t="shared" si="332"/>
        <v>1</v>
      </c>
      <c r="K789" s="328">
        <f t="shared" si="333"/>
        <v>4.49</v>
      </c>
      <c r="L789" s="318">
        <v>2009</v>
      </c>
      <c r="M789" s="318">
        <v>183</v>
      </c>
      <c r="N789" s="318">
        <v>1</v>
      </c>
      <c r="O789" s="621">
        <f t="shared" si="334"/>
        <v>4.49</v>
      </c>
      <c r="P789" s="755">
        <v>1</v>
      </c>
      <c r="Q789" s="755">
        <f t="shared" si="335"/>
        <v>0</v>
      </c>
      <c r="R789" s="341">
        <v>1</v>
      </c>
      <c r="S789" s="318">
        <f t="shared" si="341"/>
        <v>4.49</v>
      </c>
      <c r="T789" s="389"/>
      <c r="V789" s="328">
        <f t="shared" si="343"/>
        <v>4.49</v>
      </c>
      <c r="W789" s="320"/>
      <c r="X789" s="328">
        <f t="shared" si="337"/>
        <v>0</v>
      </c>
      <c r="Y789" s="320"/>
      <c r="Z789" s="328">
        <f t="shared" si="338"/>
        <v>0</v>
      </c>
      <c r="AB789" s="458">
        <f t="shared" si="339"/>
        <v>-4.49</v>
      </c>
      <c r="AC789" s="348">
        <f t="shared" si="340"/>
        <v>-4.49</v>
      </c>
    </row>
    <row r="790" spans="1:29">
      <c r="A790" s="318"/>
      <c r="B790" s="319"/>
      <c r="C790" s="318"/>
      <c r="D790" s="318"/>
      <c r="E790" s="319"/>
      <c r="F790" s="319"/>
      <c r="G790" s="318" t="s">
        <v>2117</v>
      </c>
      <c r="H790" s="328">
        <v>4.49</v>
      </c>
      <c r="I790" s="318">
        <v>1</v>
      </c>
      <c r="J790" s="318">
        <f t="shared" si="332"/>
        <v>1</v>
      </c>
      <c r="K790" s="328">
        <f t="shared" si="333"/>
        <v>4.49</v>
      </c>
      <c r="L790" s="318">
        <v>2009</v>
      </c>
      <c r="M790" s="318">
        <v>183</v>
      </c>
      <c r="N790" s="318">
        <v>1</v>
      </c>
      <c r="O790" s="621">
        <f t="shared" si="334"/>
        <v>4.49</v>
      </c>
      <c r="P790" s="755">
        <v>1</v>
      </c>
      <c r="Q790" s="755">
        <f t="shared" si="335"/>
        <v>0</v>
      </c>
      <c r="R790" s="341">
        <v>1</v>
      </c>
      <c r="S790" s="318">
        <f t="shared" si="341"/>
        <v>4.49</v>
      </c>
      <c r="T790" s="389"/>
      <c r="V790" s="328">
        <f t="shared" si="343"/>
        <v>4.49</v>
      </c>
      <c r="W790" s="320"/>
      <c r="X790" s="328">
        <f t="shared" si="337"/>
        <v>0</v>
      </c>
      <c r="Y790" s="320"/>
      <c r="Z790" s="328">
        <f t="shared" si="338"/>
        <v>0</v>
      </c>
      <c r="AB790" s="458">
        <f t="shared" si="339"/>
        <v>-4.49</v>
      </c>
      <c r="AC790" s="348">
        <f t="shared" si="340"/>
        <v>-4.49</v>
      </c>
    </row>
    <row r="791" spans="1:29">
      <c r="A791" s="318"/>
      <c r="B791" s="319"/>
      <c r="C791" s="318"/>
      <c r="D791" s="318"/>
      <c r="E791" s="319"/>
      <c r="F791" s="336"/>
      <c r="G791" s="318" t="s">
        <v>2118</v>
      </c>
      <c r="H791" s="328">
        <v>4.49</v>
      </c>
      <c r="I791" s="318">
        <v>1</v>
      </c>
      <c r="J791" s="318">
        <f t="shared" si="332"/>
        <v>1</v>
      </c>
      <c r="K791" s="328">
        <f t="shared" si="333"/>
        <v>4.49</v>
      </c>
      <c r="L791" s="318">
        <v>1979</v>
      </c>
      <c r="M791" s="318">
        <v>181</v>
      </c>
      <c r="N791" s="318">
        <v>1</v>
      </c>
      <c r="O791" s="621">
        <f t="shared" si="334"/>
        <v>4.49</v>
      </c>
      <c r="P791" s="755">
        <v>1</v>
      </c>
      <c r="Q791" s="755">
        <f t="shared" si="335"/>
        <v>0</v>
      </c>
      <c r="R791" s="341">
        <v>1</v>
      </c>
      <c r="S791" s="318">
        <f t="shared" si="341"/>
        <v>4.49</v>
      </c>
      <c r="T791" s="389"/>
      <c r="V791" s="328">
        <f t="shared" si="343"/>
        <v>4.49</v>
      </c>
      <c r="W791" s="320"/>
      <c r="X791" s="328">
        <f t="shared" si="337"/>
        <v>0</v>
      </c>
      <c r="Y791" s="320"/>
      <c r="Z791" s="328">
        <f t="shared" si="338"/>
        <v>0</v>
      </c>
      <c r="AB791" s="458">
        <f t="shared" si="339"/>
        <v>-4.49</v>
      </c>
      <c r="AC791" s="348">
        <f t="shared" si="340"/>
        <v>-4.49</v>
      </c>
    </row>
    <row r="792" spans="1:29" ht="14.4" customHeight="1">
      <c r="A792" s="318"/>
      <c r="B792" s="319"/>
      <c r="C792" s="318"/>
      <c r="D792" s="318"/>
      <c r="E792" s="319"/>
      <c r="F792" s="336"/>
      <c r="G792" s="318" t="s">
        <v>2119</v>
      </c>
      <c r="H792" s="328">
        <v>4.67</v>
      </c>
      <c r="I792" s="318">
        <v>1</v>
      </c>
      <c r="J792" s="318">
        <f t="shared" si="332"/>
        <v>1</v>
      </c>
      <c r="K792" s="328">
        <f t="shared" si="333"/>
        <v>4.67</v>
      </c>
      <c r="L792" s="318">
        <v>1979</v>
      </c>
      <c r="M792" s="318">
        <v>181</v>
      </c>
      <c r="N792" s="318">
        <v>1</v>
      </c>
      <c r="O792" s="621">
        <f t="shared" si="334"/>
        <v>4.67</v>
      </c>
      <c r="P792" s="755">
        <v>1</v>
      </c>
      <c r="Q792" s="755">
        <f t="shared" si="335"/>
        <v>0</v>
      </c>
      <c r="R792" s="341">
        <v>1</v>
      </c>
      <c r="S792" s="318">
        <f t="shared" si="341"/>
        <v>4.67</v>
      </c>
      <c r="T792" s="388"/>
      <c r="V792" s="328">
        <f>3.495+1.8</f>
        <v>5.2949999999999999</v>
      </c>
      <c r="W792" s="320"/>
      <c r="X792" s="328">
        <f t="shared" si="337"/>
        <v>0</v>
      </c>
      <c r="Y792" s="320"/>
      <c r="Z792" s="328">
        <f t="shared" si="338"/>
        <v>0</v>
      </c>
      <c r="AB792" s="458">
        <f t="shared" si="339"/>
        <v>-4.67</v>
      </c>
      <c r="AC792" s="348">
        <f t="shared" si="340"/>
        <v>-4.67</v>
      </c>
    </row>
    <row r="793" spans="1:29">
      <c r="A793" s="318"/>
      <c r="B793" s="319"/>
      <c r="C793" s="318"/>
      <c r="D793" s="318"/>
      <c r="E793" s="319"/>
      <c r="F793" s="336"/>
      <c r="G793" s="318" t="s">
        <v>2120</v>
      </c>
      <c r="H793" s="328">
        <v>4.49</v>
      </c>
      <c r="I793" s="318">
        <v>1</v>
      </c>
      <c r="J793" s="318">
        <f t="shared" si="332"/>
        <v>1</v>
      </c>
      <c r="K793" s="328">
        <f t="shared" si="333"/>
        <v>4.49</v>
      </c>
      <c r="L793" s="318">
        <v>1979</v>
      </c>
      <c r="M793" s="318">
        <v>181</v>
      </c>
      <c r="N793" s="318">
        <v>1</v>
      </c>
      <c r="O793" s="621">
        <f t="shared" si="334"/>
        <v>4.49</v>
      </c>
      <c r="P793" s="755">
        <v>1</v>
      </c>
      <c r="Q793" s="755">
        <f t="shared" si="335"/>
        <v>0</v>
      </c>
      <c r="R793" s="341">
        <v>1</v>
      </c>
      <c r="S793" s="318">
        <f t="shared" si="341"/>
        <v>4.49</v>
      </c>
      <c r="T793" s="388"/>
      <c r="V793" s="328">
        <f t="shared" si="343"/>
        <v>4.49</v>
      </c>
      <c r="W793" s="320"/>
      <c r="X793" s="328">
        <f t="shared" si="337"/>
        <v>0</v>
      </c>
      <c r="Y793" s="320"/>
      <c r="Z793" s="328">
        <f t="shared" si="338"/>
        <v>0</v>
      </c>
      <c r="AB793" s="458">
        <f t="shared" si="339"/>
        <v>-4.49</v>
      </c>
      <c r="AC793" s="348">
        <f t="shared" si="340"/>
        <v>-4.49</v>
      </c>
    </row>
    <row r="794" spans="1:29">
      <c r="A794" s="318"/>
      <c r="B794" s="319"/>
      <c r="C794" s="318"/>
      <c r="D794" s="318"/>
      <c r="E794" s="319"/>
      <c r="F794" s="336"/>
      <c r="G794" s="318" t="s">
        <v>2121</v>
      </c>
      <c r="H794" s="328">
        <v>4.49</v>
      </c>
      <c r="I794" s="318">
        <v>1</v>
      </c>
      <c r="J794" s="318">
        <f t="shared" si="332"/>
        <v>1</v>
      </c>
      <c r="K794" s="328">
        <f t="shared" si="333"/>
        <v>4.49</v>
      </c>
      <c r="L794" s="318">
        <v>1979</v>
      </c>
      <c r="M794" s="318">
        <v>181</v>
      </c>
      <c r="N794" s="318">
        <v>1</v>
      </c>
      <c r="O794" s="621">
        <f t="shared" si="334"/>
        <v>4.49</v>
      </c>
      <c r="P794" s="755">
        <v>1</v>
      </c>
      <c r="Q794" s="755">
        <f t="shared" si="335"/>
        <v>0</v>
      </c>
      <c r="R794" s="341">
        <v>1</v>
      </c>
      <c r="S794" s="318">
        <f t="shared" si="341"/>
        <v>4.49</v>
      </c>
      <c r="T794" s="388"/>
      <c r="V794" s="328">
        <f t="shared" si="343"/>
        <v>4.49</v>
      </c>
      <c r="W794" s="320"/>
      <c r="X794" s="328">
        <f t="shared" si="337"/>
        <v>0</v>
      </c>
      <c r="Y794" s="320"/>
      <c r="Z794" s="328">
        <f t="shared" si="338"/>
        <v>0</v>
      </c>
      <c r="AB794" s="458">
        <f t="shared" si="339"/>
        <v>-4.49</v>
      </c>
      <c r="AC794" s="348">
        <f t="shared" si="340"/>
        <v>-4.49</v>
      </c>
    </row>
    <row r="795" spans="1:29">
      <c r="A795" s="318"/>
      <c r="B795" s="319"/>
      <c r="C795" s="318"/>
      <c r="D795" s="318"/>
      <c r="E795" s="319"/>
      <c r="F795" s="336"/>
      <c r="G795" s="318" t="s">
        <v>2122</v>
      </c>
      <c r="H795" s="328">
        <v>4.49</v>
      </c>
      <c r="I795" s="318">
        <v>1</v>
      </c>
      <c r="J795" s="318">
        <f t="shared" si="332"/>
        <v>1</v>
      </c>
      <c r="K795" s="328">
        <f t="shared" si="333"/>
        <v>4.49</v>
      </c>
      <c r="L795" s="318">
        <v>1979</v>
      </c>
      <c r="M795" s="318">
        <v>181</v>
      </c>
      <c r="N795" s="318">
        <v>1</v>
      </c>
      <c r="O795" s="621">
        <f t="shared" si="334"/>
        <v>4.49</v>
      </c>
      <c r="P795" s="755">
        <v>1</v>
      </c>
      <c r="Q795" s="755">
        <f t="shared" si="335"/>
        <v>0</v>
      </c>
      <c r="R795" s="341">
        <v>1</v>
      </c>
      <c r="S795" s="318">
        <f t="shared" si="341"/>
        <v>4.49</v>
      </c>
      <c r="T795" s="388"/>
      <c r="V795" s="328">
        <f t="shared" si="343"/>
        <v>4.49</v>
      </c>
      <c r="W795" s="320"/>
      <c r="X795" s="328">
        <f t="shared" si="337"/>
        <v>0</v>
      </c>
      <c r="Y795" s="320"/>
      <c r="Z795" s="328">
        <f t="shared" si="338"/>
        <v>0</v>
      </c>
      <c r="AB795" s="458">
        <f t="shared" si="339"/>
        <v>-4.49</v>
      </c>
      <c r="AC795" s="348">
        <f t="shared" si="340"/>
        <v>-4.49</v>
      </c>
    </row>
    <row r="796" spans="1:29">
      <c r="A796" s="318"/>
      <c r="B796" s="319"/>
      <c r="C796" s="318"/>
      <c r="D796" s="318"/>
      <c r="E796" s="319"/>
      <c r="F796" s="336" t="s">
        <v>2123</v>
      </c>
      <c r="G796" s="318" t="s">
        <v>2124</v>
      </c>
      <c r="H796" s="328">
        <v>4.72</v>
      </c>
      <c r="I796" s="318">
        <v>1</v>
      </c>
      <c r="J796" s="318">
        <v>1</v>
      </c>
      <c r="K796" s="328">
        <f t="shared" si="333"/>
        <v>4.72</v>
      </c>
      <c r="L796" s="318"/>
      <c r="M796" s="318"/>
      <c r="N796" s="318">
        <v>1</v>
      </c>
      <c r="O796" s="621">
        <f t="shared" si="334"/>
        <v>4.72</v>
      </c>
      <c r="P796" s="750">
        <v>1</v>
      </c>
      <c r="Q796" s="755">
        <f t="shared" si="335"/>
        <v>0</v>
      </c>
      <c r="R796" s="341">
        <v>1</v>
      </c>
      <c r="S796" s="318">
        <f t="shared" si="341"/>
        <v>4.72</v>
      </c>
      <c r="T796" s="609" t="s">
        <v>3462</v>
      </c>
      <c r="V796" s="328">
        <f t="shared" si="343"/>
        <v>4.49</v>
      </c>
      <c r="W796" s="320"/>
      <c r="X796" s="328">
        <f t="shared" si="337"/>
        <v>0</v>
      </c>
      <c r="Y796" s="320"/>
      <c r="Z796" s="328">
        <f t="shared" si="338"/>
        <v>0</v>
      </c>
      <c r="AB796" s="458">
        <f t="shared" si="339"/>
        <v>-4.72</v>
      </c>
      <c r="AC796" s="348">
        <f t="shared" si="340"/>
        <v>-4.72</v>
      </c>
    </row>
    <row r="797" spans="1:29">
      <c r="A797" s="584"/>
      <c r="B797" s="585"/>
      <c r="C797" s="584"/>
      <c r="D797" s="584"/>
      <c r="E797" s="585"/>
      <c r="F797" s="589"/>
      <c r="G797" s="584" t="s">
        <v>450</v>
      </c>
      <c r="H797" s="587"/>
      <c r="I797" s="584"/>
      <c r="J797" s="584"/>
      <c r="K797" s="584"/>
      <c r="L797" s="584"/>
      <c r="M797" s="584"/>
      <c r="N797" s="584"/>
      <c r="O797" s="634" t="s">
        <v>2321</v>
      </c>
      <c r="P797" s="766"/>
      <c r="Q797" s="766"/>
      <c r="R797" s="590"/>
      <c r="S797" s="588" t="s">
        <v>2321</v>
      </c>
      <c r="T797" s="1035" t="s">
        <v>1456</v>
      </c>
      <c r="V797" s="328"/>
      <c r="W797" s="320"/>
      <c r="X797" s="387" t="s">
        <v>2321</v>
      </c>
      <c r="Y797" s="320"/>
      <c r="Z797" s="387" t="s">
        <v>2321</v>
      </c>
      <c r="AB797" s="458"/>
      <c r="AC797" s="384"/>
    </row>
    <row r="798" spans="1:29">
      <c r="A798" s="584"/>
      <c r="B798" s="585"/>
      <c r="C798" s="584"/>
      <c r="D798" s="584"/>
      <c r="E798" s="585"/>
      <c r="F798" s="589"/>
      <c r="G798" s="584" t="s">
        <v>451</v>
      </c>
      <c r="H798" s="587"/>
      <c r="I798" s="584"/>
      <c r="J798" s="584"/>
      <c r="K798" s="584"/>
      <c r="L798" s="584"/>
      <c r="M798" s="584"/>
      <c r="N798" s="584"/>
      <c r="O798" s="634" t="s">
        <v>2321</v>
      </c>
      <c r="P798" s="766"/>
      <c r="Q798" s="766"/>
      <c r="R798" s="590"/>
      <c r="S798" s="588" t="s">
        <v>2321</v>
      </c>
      <c r="T798" s="1035"/>
      <c r="V798" s="328"/>
      <c r="W798" s="320"/>
      <c r="X798" s="387" t="s">
        <v>2321</v>
      </c>
      <c r="Y798" s="320"/>
      <c r="Z798" s="387" t="s">
        <v>2321</v>
      </c>
      <c r="AB798" s="458"/>
      <c r="AC798" s="384"/>
    </row>
    <row r="799" spans="1:29">
      <c r="A799" s="584"/>
      <c r="B799" s="585"/>
      <c r="C799" s="584"/>
      <c r="D799" s="584"/>
      <c r="E799" s="585"/>
      <c r="F799" s="589"/>
      <c r="G799" s="584" t="s">
        <v>452</v>
      </c>
      <c r="H799" s="587"/>
      <c r="I799" s="584"/>
      <c r="J799" s="584"/>
      <c r="K799" s="584"/>
      <c r="L799" s="584"/>
      <c r="M799" s="584"/>
      <c r="N799" s="584"/>
      <c r="O799" s="634" t="s">
        <v>2321</v>
      </c>
      <c r="P799" s="766"/>
      <c r="Q799" s="766"/>
      <c r="R799" s="590"/>
      <c r="S799" s="588" t="s">
        <v>2321</v>
      </c>
      <c r="T799" s="1035"/>
      <c r="V799" s="328"/>
      <c r="W799" s="320"/>
      <c r="X799" s="387" t="s">
        <v>2321</v>
      </c>
      <c r="Y799" s="320"/>
      <c r="Z799" s="387" t="s">
        <v>2321</v>
      </c>
      <c r="AB799" s="458"/>
      <c r="AC799" s="384"/>
    </row>
    <row r="800" spans="1:29">
      <c r="A800" s="584"/>
      <c r="B800" s="585"/>
      <c r="C800" s="584"/>
      <c r="D800" s="584"/>
      <c r="E800" s="585"/>
      <c r="F800" s="589"/>
      <c r="G800" s="584" t="s">
        <v>453</v>
      </c>
      <c r="H800" s="587"/>
      <c r="I800" s="584"/>
      <c r="J800" s="584"/>
      <c r="K800" s="584"/>
      <c r="L800" s="584"/>
      <c r="M800" s="584"/>
      <c r="N800" s="584"/>
      <c r="O800" s="634" t="s">
        <v>2321</v>
      </c>
      <c r="P800" s="766"/>
      <c r="Q800" s="766"/>
      <c r="R800" s="590"/>
      <c r="S800" s="588" t="s">
        <v>2321</v>
      </c>
      <c r="T800" s="1035"/>
      <c r="V800" s="328"/>
      <c r="W800" s="320"/>
      <c r="X800" s="387" t="s">
        <v>2321</v>
      </c>
      <c r="Y800" s="320"/>
      <c r="Z800" s="387" t="s">
        <v>2321</v>
      </c>
      <c r="AB800" s="458"/>
      <c r="AC800" s="384"/>
    </row>
    <row r="801" spans="1:29" collapsed="1">
      <c r="A801" s="318"/>
      <c r="B801" s="319"/>
      <c r="C801" s="318"/>
      <c r="D801" s="318"/>
      <c r="E801" s="319"/>
      <c r="F801" s="336" t="s">
        <v>2123</v>
      </c>
      <c r="G801" s="318" t="s">
        <v>2125</v>
      </c>
      <c r="H801" s="328">
        <v>4.72</v>
      </c>
      <c r="I801" s="318">
        <v>1</v>
      </c>
      <c r="J801" s="318">
        <f t="shared" ref="J801:J820" si="344">IF(N801&gt;0,1,0)</f>
        <v>1</v>
      </c>
      <c r="K801" s="328">
        <f t="shared" ref="K801:K820" si="345">H801*J801</f>
        <v>4.72</v>
      </c>
      <c r="L801" s="350" t="s">
        <v>3284</v>
      </c>
      <c r="M801" s="318"/>
      <c r="N801" s="318">
        <v>1</v>
      </c>
      <c r="O801" s="621">
        <f t="shared" ref="O801:O820" si="346">H801*N801</f>
        <v>4.72</v>
      </c>
      <c r="P801" s="750">
        <v>1</v>
      </c>
      <c r="Q801" s="755">
        <f t="shared" ref="Q801:Q820" si="347">R801-P801</f>
        <v>0</v>
      </c>
      <c r="R801" s="341">
        <v>1</v>
      </c>
      <c r="S801" s="318">
        <f t="shared" ref="S801" si="348">H801*R801</f>
        <v>4.72</v>
      </c>
      <c r="T801" s="609" t="s">
        <v>3462</v>
      </c>
      <c r="V801" s="328">
        <f t="shared" si="343"/>
        <v>4.49</v>
      </c>
      <c r="W801" s="320"/>
      <c r="X801" s="328">
        <f t="shared" ref="X801:X820" si="349">V801*W801</f>
        <v>0</v>
      </c>
      <c r="Y801" s="320"/>
      <c r="Z801" s="328">
        <f t="shared" ref="Z801:Z820" si="350">V801*Y801</f>
        <v>0</v>
      </c>
      <c r="AB801" s="458">
        <f t="shared" ref="AB801:AB820" si="351">X801-O801</f>
        <v>-4.72</v>
      </c>
      <c r="AC801" s="348">
        <f t="shared" ref="AC801:AC820" si="352">Z801-S801</f>
        <v>-4.72</v>
      </c>
    </row>
    <row r="802" spans="1:29">
      <c r="A802" s="318"/>
      <c r="B802" s="319"/>
      <c r="C802" s="318"/>
      <c r="D802" s="318"/>
      <c r="E802" s="319"/>
      <c r="F802" s="336"/>
      <c r="G802" s="318" t="s">
        <v>2126</v>
      </c>
      <c r="H802" s="328">
        <v>4.49</v>
      </c>
      <c r="I802" s="318">
        <v>1</v>
      </c>
      <c r="J802" s="318">
        <f t="shared" si="344"/>
        <v>1</v>
      </c>
      <c r="K802" s="328">
        <f t="shared" si="345"/>
        <v>4.49</v>
      </c>
      <c r="L802" s="318">
        <v>1625</v>
      </c>
      <c r="M802" s="318"/>
      <c r="N802" s="318">
        <v>1</v>
      </c>
      <c r="O802" s="621">
        <f t="shared" si="346"/>
        <v>4.49</v>
      </c>
      <c r="P802" s="755">
        <v>1</v>
      </c>
      <c r="Q802" s="755">
        <f t="shared" si="347"/>
        <v>0</v>
      </c>
      <c r="R802" s="341">
        <v>1</v>
      </c>
      <c r="S802" s="318">
        <f t="shared" ref="S802:S820" si="353">H802*R802</f>
        <v>4.49</v>
      </c>
      <c r="T802" s="388"/>
      <c r="V802" s="328">
        <f t="shared" si="343"/>
        <v>4.49</v>
      </c>
      <c r="W802" s="320">
        <v>1</v>
      </c>
      <c r="X802" s="328">
        <f t="shared" si="349"/>
        <v>4.49</v>
      </c>
      <c r="Y802" s="464">
        <v>1</v>
      </c>
      <c r="Z802" s="328">
        <f t="shared" si="350"/>
        <v>4.49</v>
      </c>
      <c r="AB802" s="458">
        <f t="shared" si="351"/>
        <v>0</v>
      </c>
      <c r="AC802" s="348">
        <f t="shared" si="352"/>
        <v>0</v>
      </c>
    </row>
    <row r="803" spans="1:29">
      <c r="A803" s="318"/>
      <c r="B803" s="319"/>
      <c r="C803" s="318"/>
      <c r="D803" s="318"/>
      <c r="E803" s="319"/>
      <c r="F803" s="336"/>
      <c r="G803" s="318" t="s">
        <v>2127</v>
      </c>
      <c r="H803" s="328">
        <v>4.49</v>
      </c>
      <c r="I803" s="318">
        <v>1</v>
      </c>
      <c r="J803" s="318">
        <f t="shared" si="344"/>
        <v>1</v>
      </c>
      <c r="K803" s="328">
        <f t="shared" si="345"/>
        <v>4.49</v>
      </c>
      <c r="L803" s="318">
        <v>1625</v>
      </c>
      <c r="M803" s="318"/>
      <c r="N803" s="318">
        <v>1</v>
      </c>
      <c r="O803" s="621">
        <f t="shared" si="346"/>
        <v>4.49</v>
      </c>
      <c r="P803" s="755">
        <v>1</v>
      </c>
      <c r="Q803" s="755">
        <f t="shared" si="347"/>
        <v>0</v>
      </c>
      <c r="R803" s="341">
        <v>1</v>
      </c>
      <c r="S803" s="318">
        <f t="shared" si="353"/>
        <v>4.49</v>
      </c>
      <c r="T803" s="388"/>
      <c r="V803" s="328">
        <f t="shared" si="343"/>
        <v>4.49</v>
      </c>
      <c r="W803" s="320">
        <v>1</v>
      </c>
      <c r="X803" s="328">
        <f t="shared" si="349"/>
        <v>4.49</v>
      </c>
      <c r="Y803" s="464">
        <v>1</v>
      </c>
      <c r="Z803" s="328">
        <f t="shared" si="350"/>
        <v>4.49</v>
      </c>
      <c r="AB803" s="458">
        <f t="shared" si="351"/>
        <v>0</v>
      </c>
      <c r="AC803" s="348">
        <f t="shared" si="352"/>
        <v>0</v>
      </c>
    </row>
    <row r="804" spans="1:29">
      <c r="A804" s="318"/>
      <c r="B804" s="319"/>
      <c r="C804" s="318"/>
      <c r="D804" s="318"/>
      <c r="E804" s="319"/>
      <c r="F804" s="336"/>
      <c r="G804" s="318" t="s">
        <v>2128</v>
      </c>
      <c r="H804" s="328">
        <v>4.49</v>
      </c>
      <c r="I804" s="318">
        <v>1</v>
      </c>
      <c r="J804" s="318">
        <f t="shared" si="344"/>
        <v>1</v>
      </c>
      <c r="K804" s="328">
        <f t="shared" si="345"/>
        <v>4.49</v>
      </c>
      <c r="L804" s="318">
        <v>1625</v>
      </c>
      <c r="M804" s="318"/>
      <c r="N804" s="318">
        <v>1</v>
      </c>
      <c r="O804" s="621">
        <f t="shared" si="346"/>
        <v>4.49</v>
      </c>
      <c r="P804" s="755">
        <v>1</v>
      </c>
      <c r="Q804" s="755">
        <f t="shared" si="347"/>
        <v>0</v>
      </c>
      <c r="R804" s="341">
        <v>1</v>
      </c>
      <c r="S804" s="318">
        <f t="shared" si="353"/>
        <v>4.49</v>
      </c>
      <c r="T804" s="388"/>
      <c r="V804" s="328">
        <f t="shared" si="343"/>
        <v>4.49</v>
      </c>
      <c r="W804" s="320">
        <v>1</v>
      </c>
      <c r="X804" s="328">
        <f t="shared" si="349"/>
        <v>4.49</v>
      </c>
      <c r="Y804" s="464">
        <v>1</v>
      </c>
      <c r="Z804" s="328">
        <f t="shared" si="350"/>
        <v>4.49</v>
      </c>
      <c r="AB804" s="458">
        <f t="shared" si="351"/>
        <v>0</v>
      </c>
      <c r="AC804" s="348">
        <f t="shared" si="352"/>
        <v>0</v>
      </c>
    </row>
    <row r="805" spans="1:29">
      <c r="A805" s="318"/>
      <c r="B805" s="319"/>
      <c r="C805" s="318"/>
      <c r="D805" s="318"/>
      <c r="E805" s="319"/>
      <c r="F805" s="336"/>
      <c r="G805" s="318" t="s">
        <v>2129</v>
      </c>
      <c r="H805" s="328">
        <v>4.49</v>
      </c>
      <c r="I805" s="318">
        <v>1</v>
      </c>
      <c r="J805" s="318">
        <f t="shared" si="344"/>
        <v>1</v>
      </c>
      <c r="K805" s="328">
        <f t="shared" si="345"/>
        <v>4.49</v>
      </c>
      <c r="L805" s="318">
        <v>1625</v>
      </c>
      <c r="M805" s="318"/>
      <c r="N805" s="318">
        <v>1</v>
      </c>
      <c r="O805" s="621">
        <f t="shared" si="346"/>
        <v>4.49</v>
      </c>
      <c r="P805" s="755">
        <v>1</v>
      </c>
      <c r="Q805" s="755">
        <f t="shared" si="347"/>
        <v>0</v>
      </c>
      <c r="R805" s="341">
        <v>1</v>
      </c>
      <c r="S805" s="318">
        <f t="shared" si="353"/>
        <v>4.49</v>
      </c>
      <c r="T805" s="388"/>
      <c r="V805" s="328">
        <f t="shared" si="343"/>
        <v>4.49</v>
      </c>
      <c r="W805" s="320">
        <v>1</v>
      </c>
      <c r="X805" s="328">
        <f t="shared" si="349"/>
        <v>4.49</v>
      </c>
      <c r="Y805" s="464">
        <v>1</v>
      </c>
      <c r="Z805" s="328">
        <f t="shared" si="350"/>
        <v>4.49</v>
      </c>
      <c r="AB805" s="458">
        <f t="shared" si="351"/>
        <v>0</v>
      </c>
      <c r="AC805" s="348">
        <f t="shared" si="352"/>
        <v>0</v>
      </c>
    </row>
    <row r="806" spans="1:29">
      <c r="A806" s="318"/>
      <c r="B806" s="319"/>
      <c r="C806" s="318"/>
      <c r="D806" s="318"/>
      <c r="E806" s="319"/>
      <c r="F806" s="336"/>
      <c r="G806" s="318" t="s">
        <v>2130</v>
      </c>
      <c r="H806" s="328">
        <v>4.49</v>
      </c>
      <c r="I806" s="318">
        <v>1</v>
      </c>
      <c r="J806" s="318">
        <f t="shared" si="344"/>
        <v>1</v>
      </c>
      <c r="K806" s="328">
        <f t="shared" si="345"/>
        <v>4.49</v>
      </c>
      <c r="L806" s="318">
        <v>1625</v>
      </c>
      <c r="M806" s="318"/>
      <c r="N806" s="318">
        <v>1</v>
      </c>
      <c r="O806" s="621">
        <f t="shared" si="346"/>
        <v>4.49</v>
      </c>
      <c r="P806" s="755">
        <v>1</v>
      </c>
      <c r="Q806" s="755">
        <f t="shared" si="347"/>
        <v>0</v>
      </c>
      <c r="R806" s="341">
        <v>1</v>
      </c>
      <c r="S806" s="318">
        <f t="shared" si="353"/>
        <v>4.49</v>
      </c>
      <c r="T806" s="388"/>
      <c r="V806" s="328">
        <f t="shared" si="343"/>
        <v>4.49</v>
      </c>
      <c r="W806" s="320">
        <v>1</v>
      </c>
      <c r="X806" s="328">
        <f t="shared" si="349"/>
        <v>4.49</v>
      </c>
      <c r="Y806" s="464">
        <v>1</v>
      </c>
      <c r="Z806" s="328">
        <f t="shared" si="350"/>
        <v>4.49</v>
      </c>
      <c r="AB806" s="458">
        <f t="shared" si="351"/>
        <v>0</v>
      </c>
      <c r="AC806" s="348">
        <f t="shared" si="352"/>
        <v>0</v>
      </c>
    </row>
    <row r="807" spans="1:29">
      <c r="A807" s="318"/>
      <c r="B807" s="319"/>
      <c r="C807" s="318"/>
      <c r="D807" s="318"/>
      <c r="E807" s="319"/>
      <c r="F807" s="336"/>
      <c r="G807" s="318" t="s">
        <v>2131</v>
      </c>
      <c r="H807" s="328">
        <v>4.49</v>
      </c>
      <c r="I807" s="318">
        <v>1</v>
      </c>
      <c r="J807" s="318">
        <f t="shared" si="344"/>
        <v>1</v>
      </c>
      <c r="K807" s="328">
        <f t="shared" si="345"/>
        <v>4.49</v>
      </c>
      <c r="L807" s="318">
        <v>1626</v>
      </c>
      <c r="M807" s="318"/>
      <c r="N807" s="318">
        <v>1</v>
      </c>
      <c r="O807" s="621">
        <f t="shared" si="346"/>
        <v>4.49</v>
      </c>
      <c r="P807" s="755">
        <v>1</v>
      </c>
      <c r="Q807" s="755">
        <f t="shared" si="347"/>
        <v>0</v>
      </c>
      <c r="R807" s="341">
        <v>1</v>
      </c>
      <c r="S807" s="318">
        <f t="shared" si="353"/>
        <v>4.49</v>
      </c>
      <c r="T807" s="388"/>
      <c r="V807" s="328">
        <f t="shared" si="343"/>
        <v>4.49</v>
      </c>
      <c r="W807" s="320">
        <v>1</v>
      </c>
      <c r="X807" s="328">
        <f t="shared" si="349"/>
        <v>4.49</v>
      </c>
      <c r="Y807" s="464">
        <v>1</v>
      </c>
      <c r="Z807" s="328">
        <f t="shared" si="350"/>
        <v>4.49</v>
      </c>
      <c r="AB807" s="458">
        <f t="shared" si="351"/>
        <v>0</v>
      </c>
      <c r="AC807" s="348">
        <f t="shared" si="352"/>
        <v>0</v>
      </c>
    </row>
    <row r="808" spans="1:29">
      <c r="A808" s="318"/>
      <c r="B808" s="319"/>
      <c r="C808" s="318"/>
      <c r="D808" s="318"/>
      <c r="E808" s="319"/>
      <c r="F808" s="336"/>
      <c r="G808" s="318" t="s">
        <v>2132</v>
      </c>
      <c r="H808" s="328">
        <v>4.49</v>
      </c>
      <c r="I808" s="318">
        <v>1</v>
      </c>
      <c r="J808" s="318">
        <f t="shared" si="344"/>
        <v>1</v>
      </c>
      <c r="K808" s="328">
        <f t="shared" si="345"/>
        <v>4.49</v>
      </c>
      <c r="L808" s="318">
        <v>1626</v>
      </c>
      <c r="M808" s="318"/>
      <c r="N808" s="318">
        <v>1</v>
      </c>
      <c r="O808" s="621">
        <f t="shared" si="346"/>
        <v>4.49</v>
      </c>
      <c r="P808" s="755">
        <v>1</v>
      </c>
      <c r="Q808" s="755">
        <f t="shared" si="347"/>
        <v>0</v>
      </c>
      <c r="R808" s="341">
        <v>1</v>
      </c>
      <c r="S808" s="318">
        <f t="shared" si="353"/>
        <v>4.49</v>
      </c>
      <c r="T808" s="388"/>
      <c r="V808" s="328">
        <f t="shared" si="343"/>
        <v>4.49</v>
      </c>
      <c r="W808" s="320">
        <v>1</v>
      </c>
      <c r="X808" s="328">
        <f t="shared" si="349"/>
        <v>4.49</v>
      </c>
      <c r="Y808" s="464">
        <v>1</v>
      </c>
      <c r="Z808" s="328">
        <f t="shared" si="350"/>
        <v>4.49</v>
      </c>
      <c r="AB808" s="458">
        <f t="shared" si="351"/>
        <v>0</v>
      </c>
      <c r="AC808" s="348">
        <f t="shared" si="352"/>
        <v>0</v>
      </c>
    </row>
    <row r="809" spans="1:29">
      <c r="A809" s="318"/>
      <c r="B809" s="319"/>
      <c r="C809" s="318"/>
      <c r="D809" s="318"/>
      <c r="E809" s="319"/>
      <c r="F809" s="336"/>
      <c r="G809" s="318" t="s">
        <v>2133</v>
      </c>
      <c r="H809" s="328">
        <v>4.49</v>
      </c>
      <c r="I809" s="318">
        <v>1</v>
      </c>
      <c r="J809" s="318">
        <f t="shared" si="344"/>
        <v>1</v>
      </c>
      <c r="K809" s="328">
        <f t="shared" si="345"/>
        <v>4.49</v>
      </c>
      <c r="L809" s="318">
        <v>1626</v>
      </c>
      <c r="M809" s="318"/>
      <c r="N809" s="318">
        <v>1</v>
      </c>
      <c r="O809" s="621">
        <f t="shared" si="346"/>
        <v>4.49</v>
      </c>
      <c r="P809" s="755">
        <v>1</v>
      </c>
      <c r="Q809" s="755">
        <f t="shared" si="347"/>
        <v>0</v>
      </c>
      <c r="R809" s="341">
        <v>1</v>
      </c>
      <c r="S809" s="318">
        <f t="shared" si="353"/>
        <v>4.49</v>
      </c>
      <c r="T809" s="388"/>
      <c r="V809" s="328">
        <f t="shared" si="343"/>
        <v>4.49</v>
      </c>
      <c r="W809" s="320">
        <v>1</v>
      </c>
      <c r="X809" s="328">
        <f t="shared" si="349"/>
        <v>4.49</v>
      </c>
      <c r="Y809" s="464">
        <v>1</v>
      </c>
      <c r="Z809" s="328">
        <f t="shared" si="350"/>
        <v>4.49</v>
      </c>
      <c r="AB809" s="458">
        <f t="shared" si="351"/>
        <v>0</v>
      </c>
      <c r="AC809" s="348">
        <f t="shared" si="352"/>
        <v>0</v>
      </c>
    </row>
    <row r="810" spans="1:29">
      <c r="A810" s="318"/>
      <c r="B810" s="319"/>
      <c r="C810" s="318"/>
      <c r="D810" s="318"/>
      <c r="E810" s="319"/>
      <c r="F810" s="336"/>
      <c r="G810" s="318" t="s">
        <v>2134</v>
      </c>
      <c r="H810" s="328">
        <v>4.49</v>
      </c>
      <c r="I810" s="318">
        <v>1</v>
      </c>
      <c r="J810" s="318">
        <f t="shared" si="344"/>
        <v>1</v>
      </c>
      <c r="K810" s="328">
        <f t="shared" si="345"/>
        <v>4.49</v>
      </c>
      <c r="L810" s="318">
        <v>1626</v>
      </c>
      <c r="M810" s="318"/>
      <c r="N810" s="318">
        <v>1</v>
      </c>
      <c r="O810" s="621">
        <f t="shared" si="346"/>
        <v>4.49</v>
      </c>
      <c r="P810" s="755">
        <v>1</v>
      </c>
      <c r="Q810" s="755">
        <f t="shared" si="347"/>
        <v>0</v>
      </c>
      <c r="R810" s="341">
        <v>1</v>
      </c>
      <c r="S810" s="318">
        <f t="shared" si="353"/>
        <v>4.49</v>
      </c>
      <c r="T810" s="388"/>
      <c r="V810" s="328">
        <f t="shared" si="343"/>
        <v>4.49</v>
      </c>
      <c r="W810" s="320">
        <v>1</v>
      </c>
      <c r="X810" s="328">
        <f t="shared" si="349"/>
        <v>4.49</v>
      </c>
      <c r="Y810" s="464">
        <v>1</v>
      </c>
      <c r="Z810" s="328">
        <f t="shared" si="350"/>
        <v>4.49</v>
      </c>
      <c r="AB810" s="458">
        <f t="shared" si="351"/>
        <v>0</v>
      </c>
      <c r="AC810" s="348">
        <f t="shared" si="352"/>
        <v>0</v>
      </c>
    </row>
    <row r="811" spans="1:29">
      <c r="A811" s="318"/>
      <c r="B811" s="319"/>
      <c r="C811" s="318"/>
      <c r="D811" s="318"/>
      <c r="E811" s="319"/>
      <c r="F811" s="336"/>
      <c r="G811" s="318" t="s">
        <v>2135</v>
      </c>
      <c r="H811" s="328">
        <v>3.25</v>
      </c>
      <c r="I811" s="318">
        <v>1</v>
      </c>
      <c r="J811" s="318">
        <f t="shared" si="344"/>
        <v>1</v>
      </c>
      <c r="K811" s="328">
        <f t="shared" si="345"/>
        <v>3.25</v>
      </c>
      <c r="L811" s="318">
        <v>1626</v>
      </c>
      <c r="M811" s="318"/>
      <c r="N811" s="318">
        <v>1</v>
      </c>
      <c r="O811" s="621">
        <f t="shared" si="346"/>
        <v>3.25</v>
      </c>
      <c r="P811" s="755">
        <v>1</v>
      </c>
      <c r="Q811" s="755">
        <f t="shared" si="347"/>
        <v>0</v>
      </c>
      <c r="R811" s="341">
        <v>1</v>
      </c>
      <c r="S811" s="318">
        <f t="shared" si="353"/>
        <v>3.25</v>
      </c>
      <c r="T811" s="388"/>
      <c r="V811" s="328">
        <f>3.244</f>
        <v>3.2440000000000002</v>
      </c>
      <c r="W811" s="320">
        <v>1</v>
      </c>
      <c r="X811" s="328">
        <f t="shared" si="349"/>
        <v>3.2440000000000002</v>
      </c>
      <c r="Y811" s="320"/>
      <c r="Z811" s="328">
        <f t="shared" si="350"/>
        <v>0</v>
      </c>
      <c r="AB811" s="458">
        <f t="shared" si="351"/>
        <v>-5.9999999999997833E-3</v>
      </c>
      <c r="AC811" s="348">
        <f t="shared" si="352"/>
        <v>-3.25</v>
      </c>
    </row>
    <row r="812" spans="1:29">
      <c r="A812" s="318"/>
      <c r="B812" s="319"/>
      <c r="C812" s="318"/>
      <c r="D812" s="318"/>
      <c r="E812" s="319"/>
      <c r="F812" s="336"/>
      <c r="G812" s="318" t="s">
        <v>2136</v>
      </c>
      <c r="H812" s="328">
        <v>3.25</v>
      </c>
      <c r="I812" s="318">
        <v>1</v>
      </c>
      <c r="J812" s="318">
        <f t="shared" si="344"/>
        <v>1</v>
      </c>
      <c r="K812" s="328">
        <f t="shared" si="345"/>
        <v>3.25</v>
      </c>
      <c r="L812" s="318">
        <v>1976</v>
      </c>
      <c r="M812" s="318">
        <v>180</v>
      </c>
      <c r="N812" s="318">
        <v>1</v>
      </c>
      <c r="O812" s="621">
        <f t="shared" si="346"/>
        <v>3.25</v>
      </c>
      <c r="P812" s="755">
        <v>1</v>
      </c>
      <c r="Q812" s="755">
        <f t="shared" si="347"/>
        <v>0</v>
      </c>
      <c r="R812" s="341">
        <v>1</v>
      </c>
      <c r="S812" s="318">
        <f t="shared" si="353"/>
        <v>3.25</v>
      </c>
      <c r="T812" s="388"/>
      <c r="V812" s="328">
        <f>3.244</f>
        <v>3.2440000000000002</v>
      </c>
      <c r="W812" s="320"/>
      <c r="X812" s="328">
        <f t="shared" si="349"/>
        <v>0</v>
      </c>
      <c r="Y812" s="320"/>
      <c r="Z812" s="328">
        <f t="shared" si="350"/>
        <v>0</v>
      </c>
      <c r="AB812" s="458">
        <f t="shared" si="351"/>
        <v>-3.25</v>
      </c>
      <c r="AC812" s="348">
        <f t="shared" si="352"/>
        <v>-3.25</v>
      </c>
    </row>
    <row r="813" spans="1:29">
      <c r="A813" s="318"/>
      <c r="B813" s="319"/>
      <c r="C813" s="318"/>
      <c r="D813" s="318"/>
      <c r="E813" s="319"/>
      <c r="F813" s="336" t="s">
        <v>2123</v>
      </c>
      <c r="G813" s="318" t="s">
        <v>2137</v>
      </c>
      <c r="H813" s="328">
        <v>3.25</v>
      </c>
      <c r="I813" s="318">
        <v>1</v>
      </c>
      <c r="J813" s="318">
        <f t="shared" si="344"/>
        <v>1</v>
      </c>
      <c r="K813" s="328">
        <f t="shared" si="345"/>
        <v>3.25</v>
      </c>
      <c r="L813" s="350" t="s">
        <v>2732</v>
      </c>
      <c r="M813" s="350" t="s">
        <v>2750</v>
      </c>
      <c r="N813" s="318">
        <v>1</v>
      </c>
      <c r="O813" s="621">
        <f t="shared" si="346"/>
        <v>3.25</v>
      </c>
      <c r="P813" s="750">
        <v>1</v>
      </c>
      <c r="Q813" s="755">
        <f t="shared" si="347"/>
        <v>0</v>
      </c>
      <c r="R813" s="341">
        <v>1</v>
      </c>
      <c r="S813" s="318">
        <f t="shared" si="353"/>
        <v>3.25</v>
      </c>
      <c r="T813" s="609" t="s">
        <v>3390</v>
      </c>
      <c r="V813" s="328">
        <f>4.081</f>
        <v>4.0810000000000004</v>
      </c>
      <c r="W813" s="320"/>
      <c r="X813" s="328">
        <f t="shared" si="349"/>
        <v>0</v>
      </c>
      <c r="Y813" s="320"/>
      <c r="Z813" s="328">
        <f t="shared" si="350"/>
        <v>0</v>
      </c>
      <c r="AB813" s="458">
        <f t="shared" si="351"/>
        <v>-3.25</v>
      </c>
      <c r="AC813" s="348">
        <f t="shared" si="352"/>
        <v>-3.25</v>
      </c>
    </row>
    <row r="814" spans="1:29">
      <c r="A814" s="318"/>
      <c r="B814" s="319"/>
      <c r="C814" s="318"/>
      <c r="D814" s="318"/>
      <c r="E814" s="319"/>
      <c r="F814" s="336" t="s">
        <v>2123</v>
      </c>
      <c r="G814" s="318" t="s">
        <v>2138</v>
      </c>
      <c r="H814" s="328">
        <v>4.21</v>
      </c>
      <c r="I814" s="318">
        <v>1</v>
      </c>
      <c r="J814" s="318">
        <f t="shared" si="344"/>
        <v>1</v>
      </c>
      <c r="K814" s="328">
        <f t="shared" si="345"/>
        <v>4.21</v>
      </c>
      <c r="L814" s="350" t="s">
        <v>2732</v>
      </c>
      <c r="M814" s="350" t="s">
        <v>2750</v>
      </c>
      <c r="N814" s="318">
        <v>1</v>
      </c>
      <c r="O814" s="621">
        <f t="shared" si="346"/>
        <v>4.21</v>
      </c>
      <c r="P814" s="750">
        <v>1</v>
      </c>
      <c r="Q814" s="755">
        <f t="shared" si="347"/>
        <v>0</v>
      </c>
      <c r="R814" s="341">
        <v>1</v>
      </c>
      <c r="S814" s="318">
        <f t="shared" si="353"/>
        <v>4.21</v>
      </c>
      <c r="T814" s="609" t="s">
        <v>3390</v>
      </c>
      <c r="V814" s="328">
        <f>4.081+0.122</f>
        <v>4.2030000000000003</v>
      </c>
      <c r="W814" s="320"/>
      <c r="X814" s="328">
        <f t="shared" si="349"/>
        <v>0</v>
      </c>
      <c r="Y814" s="320"/>
      <c r="Z814" s="328">
        <f t="shared" si="350"/>
        <v>0</v>
      </c>
      <c r="AB814" s="458">
        <f t="shared" si="351"/>
        <v>-4.21</v>
      </c>
      <c r="AC814" s="348">
        <f t="shared" si="352"/>
        <v>-4.21</v>
      </c>
    </row>
    <row r="815" spans="1:29">
      <c r="A815" s="318"/>
      <c r="B815" s="319"/>
      <c r="C815" s="318"/>
      <c r="D815" s="318"/>
      <c r="E815" s="319"/>
      <c r="F815" s="336"/>
      <c r="G815" s="318" t="s">
        <v>2139</v>
      </c>
      <c r="H815" s="328">
        <v>4.24</v>
      </c>
      <c r="I815" s="318">
        <v>1</v>
      </c>
      <c r="J815" s="318">
        <f t="shared" si="344"/>
        <v>1</v>
      </c>
      <c r="K815" s="328">
        <f t="shared" si="345"/>
        <v>4.24</v>
      </c>
      <c r="L815" s="318">
        <v>1963</v>
      </c>
      <c r="M815" s="318">
        <v>179</v>
      </c>
      <c r="N815" s="318">
        <v>1</v>
      </c>
      <c r="O815" s="621">
        <f t="shared" si="346"/>
        <v>4.24</v>
      </c>
      <c r="P815" s="755">
        <v>1</v>
      </c>
      <c r="Q815" s="755">
        <f t="shared" si="347"/>
        <v>0</v>
      </c>
      <c r="R815" s="341">
        <v>1</v>
      </c>
      <c r="S815" s="318">
        <f t="shared" si="353"/>
        <v>4.24</v>
      </c>
      <c r="T815" s="388"/>
      <c r="V815" s="328">
        <v>4.2300000000000004</v>
      </c>
      <c r="W815" s="320"/>
      <c r="X815" s="328">
        <f t="shared" si="349"/>
        <v>0</v>
      </c>
      <c r="Y815" s="320"/>
      <c r="Z815" s="328">
        <f t="shared" si="350"/>
        <v>0</v>
      </c>
      <c r="AB815" s="458">
        <f t="shared" si="351"/>
        <v>-4.24</v>
      </c>
      <c r="AC815" s="348">
        <f t="shared" si="352"/>
        <v>-4.24</v>
      </c>
    </row>
    <row r="816" spans="1:29">
      <c r="A816" s="318"/>
      <c r="B816" s="319"/>
      <c r="C816" s="318"/>
      <c r="D816" s="318"/>
      <c r="E816" s="319"/>
      <c r="F816" s="336"/>
      <c r="G816" s="318" t="s">
        <v>2140</v>
      </c>
      <c r="H816" s="328">
        <v>4.24</v>
      </c>
      <c r="I816" s="318">
        <v>1</v>
      </c>
      <c r="J816" s="318">
        <f t="shared" si="344"/>
        <v>1</v>
      </c>
      <c r="K816" s="328">
        <f t="shared" si="345"/>
        <v>4.24</v>
      </c>
      <c r="L816" s="318">
        <v>1963</v>
      </c>
      <c r="M816" s="318">
        <v>179</v>
      </c>
      <c r="N816" s="318">
        <v>1</v>
      </c>
      <c r="O816" s="621">
        <f t="shared" si="346"/>
        <v>4.24</v>
      </c>
      <c r="P816" s="755">
        <v>1</v>
      </c>
      <c r="Q816" s="755">
        <f t="shared" si="347"/>
        <v>0</v>
      </c>
      <c r="R816" s="341">
        <v>1</v>
      </c>
      <c r="S816" s="318">
        <f t="shared" si="353"/>
        <v>4.24</v>
      </c>
      <c r="T816" s="388"/>
      <c r="V816" s="328">
        <v>4.2300000000000004</v>
      </c>
      <c r="W816" s="320"/>
      <c r="X816" s="328">
        <f t="shared" si="349"/>
        <v>0</v>
      </c>
      <c r="Y816" s="320"/>
      <c r="Z816" s="328">
        <f t="shared" si="350"/>
        <v>0</v>
      </c>
      <c r="AB816" s="458">
        <f t="shared" si="351"/>
        <v>-4.24</v>
      </c>
      <c r="AC816" s="348">
        <f t="shared" si="352"/>
        <v>-4.24</v>
      </c>
    </row>
    <row r="817" spans="1:29">
      <c r="A817" s="318"/>
      <c r="B817" s="319"/>
      <c r="C817" s="318"/>
      <c r="D817" s="318"/>
      <c r="E817" s="319"/>
      <c r="F817" s="336"/>
      <c r="G817" s="318" t="s">
        <v>2141</v>
      </c>
      <c r="H817" s="328">
        <v>4.24</v>
      </c>
      <c r="I817" s="318">
        <v>1</v>
      </c>
      <c r="J817" s="318">
        <f t="shared" si="344"/>
        <v>1</v>
      </c>
      <c r="K817" s="328">
        <f t="shared" si="345"/>
        <v>4.24</v>
      </c>
      <c r="L817" s="318">
        <v>1949</v>
      </c>
      <c r="M817" s="318">
        <v>177</v>
      </c>
      <c r="N817" s="318">
        <v>1</v>
      </c>
      <c r="O817" s="621">
        <f t="shared" si="346"/>
        <v>4.24</v>
      </c>
      <c r="P817" s="755">
        <v>1</v>
      </c>
      <c r="Q817" s="755">
        <f t="shared" si="347"/>
        <v>0</v>
      </c>
      <c r="R817" s="341">
        <v>1</v>
      </c>
      <c r="S817" s="318">
        <f t="shared" si="353"/>
        <v>4.24</v>
      </c>
      <c r="T817" s="388"/>
      <c r="V817" s="328">
        <v>4.2300000000000004</v>
      </c>
      <c r="W817" s="320">
        <v>1</v>
      </c>
      <c r="X817" s="328">
        <f t="shared" si="349"/>
        <v>4.2300000000000004</v>
      </c>
      <c r="Y817" s="320"/>
      <c r="Z817" s="328">
        <f t="shared" si="350"/>
        <v>0</v>
      </c>
      <c r="AB817" s="458">
        <f t="shared" si="351"/>
        <v>-9.9999999999997868E-3</v>
      </c>
      <c r="AC817" s="348">
        <f t="shared" si="352"/>
        <v>-4.24</v>
      </c>
    </row>
    <row r="818" spans="1:29">
      <c r="A818" s="318"/>
      <c r="B818" s="319"/>
      <c r="C818" s="318"/>
      <c r="D818" s="318"/>
      <c r="E818" s="319"/>
      <c r="F818" s="336"/>
      <c r="G818" s="318" t="s">
        <v>2142</v>
      </c>
      <c r="H818" s="328">
        <v>4.24</v>
      </c>
      <c r="I818" s="318">
        <v>1</v>
      </c>
      <c r="J818" s="318">
        <f t="shared" si="344"/>
        <v>1</v>
      </c>
      <c r="K818" s="328">
        <f t="shared" si="345"/>
        <v>4.24</v>
      </c>
      <c r="L818" s="318">
        <v>1949</v>
      </c>
      <c r="M818" s="318">
        <v>177</v>
      </c>
      <c r="N818" s="318">
        <v>1</v>
      </c>
      <c r="O818" s="621">
        <f t="shared" si="346"/>
        <v>4.24</v>
      </c>
      <c r="P818" s="755">
        <v>1</v>
      </c>
      <c r="Q818" s="755">
        <f t="shared" si="347"/>
        <v>0</v>
      </c>
      <c r="R818" s="341">
        <v>1</v>
      </c>
      <c r="S818" s="318">
        <f t="shared" si="353"/>
        <v>4.24</v>
      </c>
      <c r="T818" s="388"/>
      <c r="V818" s="328">
        <v>4.2300000000000004</v>
      </c>
      <c r="W818" s="320">
        <v>1</v>
      </c>
      <c r="X818" s="328">
        <f t="shared" si="349"/>
        <v>4.2300000000000004</v>
      </c>
      <c r="Y818" s="320"/>
      <c r="Z818" s="328">
        <f t="shared" si="350"/>
        <v>0</v>
      </c>
      <c r="AB818" s="458">
        <f t="shared" si="351"/>
        <v>-9.9999999999997868E-3</v>
      </c>
      <c r="AC818" s="348">
        <f t="shared" si="352"/>
        <v>-4.24</v>
      </c>
    </row>
    <row r="819" spans="1:29">
      <c r="A819" s="318"/>
      <c r="B819" s="319"/>
      <c r="C819" s="318"/>
      <c r="D819" s="318"/>
      <c r="E819" s="319"/>
      <c r="F819" s="336" t="s">
        <v>2123</v>
      </c>
      <c r="G819" s="318" t="s">
        <v>2143</v>
      </c>
      <c r="H819" s="328">
        <v>3.43</v>
      </c>
      <c r="I819" s="318">
        <v>1</v>
      </c>
      <c r="J819" s="318">
        <f t="shared" si="344"/>
        <v>1</v>
      </c>
      <c r="K819" s="328">
        <f t="shared" si="345"/>
        <v>3.43</v>
      </c>
      <c r="L819" s="352" t="s">
        <v>3399</v>
      </c>
      <c r="M819" s="350" t="s">
        <v>3400</v>
      </c>
      <c r="N819" s="318">
        <v>1</v>
      </c>
      <c r="O819" s="621">
        <f t="shared" si="346"/>
        <v>3.43</v>
      </c>
      <c r="P819" s="755">
        <v>1</v>
      </c>
      <c r="Q819" s="755">
        <f t="shared" si="347"/>
        <v>0</v>
      </c>
      <c r="R819" s="341">
        <v>1</v>
      </c>
      <c r="S819" s="318">
        <f t="shared" si="353"/>
        <v>3.43</v>
      </c>
      <c r="T819" s="609" t="s">
        <v>3463</v>
      </c>
      <c r="V819" s="328">
        <f>0.973+2.442</f>
        <v>3.415</v>
      </c>
      <c r="W819" s="320"/>
      <c r="X819" s="328">
        <f t="shared" si="349"/>
        <v>0</v>
      </c>
      <c r="Y819" s="320"/>
      <c r="Z819" s="328">
        <f t="shared" si="350"/>
        <v>0</v>
      </c>
      <c r="AB819" s="458">
        <f t="shared" si="351"/>
        <v>-3.43</v>
      </c>
      <c r="AC819" s="348">
        <f t="shared" si="352"/>
        <v>-3.43</v>
      </c>
    </row>
    <row r="820" spans="1:29">
      <c r="A820" s="318"/>
      <c r="B820" s="319"/>
      <c r="C820" s="318"/>
      <c r="D820" s="318"/>
      <c r="E820" s="319"/>
      <c r="F820" s="336" t="s">
        <v>2123</v>
      </c>
      <c r="G820" s="318" t="s">
        <v>2144</v>
      </c>
      <c r="H820" s="328">
        <v>2.4500000000000002</v>
      </c>
      <c r="I820" s="318">
        <v>1</v>
      </c>
      <c r="J820" s="318">
        <f t="shared" si="344"/>
        <v>1</v>
      </c>
      <c r="K820" s="328">
        <f t="shared" si="345"/>
        <v>2.4500000000000002</v>
      </c>
      <c r="L820" s="350" t="s">
        <v>2732</v>
      </c>
      <c r="M820" s="350" t="s">
        <v>2751</v>
      </c>
      <c r="N820" s="318">
        <v>1</v>
      </c>
      <c r="O820" s="621">
        <f t="shared" si="346"/>
        <v>2.4500000000000002</v>
      </c>
      <c r="P820" s="755">
        <v>1</v>
      </c>
      <c r="Q820" s="755">
        <f t="shared" si="347"/>
        <v>0</v>
      </c>
      <c r="R820" s="341">
        <v>1</v>
      </c>
      <c r="S820" s="318">
        <f t="shared" si="353"/>
        <v>2.4500000000000002</v>
      </c>
      <c r="T820" s="609" t="s">
        <v>3463</v>
      </c>
      <c r="V820" s="328">
        <f>2.442</f>
        <v>2.4420000000000002</v>
      </c>
      <c r="W820" s="320"/>
      <c r="X820" s="328">
        <f t="shared" si="349"/>
        <v>0</v>
      </c>
      <c r="Y820" s="320"/>
      <c r="Z820" s="328">
        <f t="shared" si="350"/>
        <v>0</v>
      </c>
      <c r="AB820" s="458">
        <f t="shared" si="351"/>
        <v>-2.4500000000000002</v>
      </c>
      <c r="AC820" s="348">
        <f t="shared" si="352"/>
        <v>-2.4500000000000002</v>
      </c>
    </row>
    <row r="821" spans="1:29">
      <c r="A821" s="318"/>
      <c r="B821" s="319"/>
      <c r="C821" s="318"/>
      <c r="D821" s="318"/>
      <c r="E821" s="319"/>
      <c r="F821" s="319"/>
      <c r="G821" s="318"/>
      <c r="H821" s="318"/>
      <c r="I821" s="318"/>
      <c r="J821" s="382" t="s">
        <v>389</v>
      </c>
      <c r="K821" s="338">
        <f>SUM(K769:K820)</f>
        <v>207.8600000000001</v>
      </c>
      <c r="L821" s="318"/>
      <c r="M821" s="318"/>
      <c r="N821" s="382" t="s">
        <v>389</v>
      </c>
      <c r="O821" s="759">
        <f>SUM(O769:O820)</f>
        <v>207.8600000000001</v>
      </c>
      <c r="P821" s="751" t="s">
        <v>389</v>
      </c>
      <c r="Q821" s="751"/>
      <c r="R821" s="382"/>
      <c r="S821" s="338">
        <f>SUM(S769:S820)</f>
        <v>207.8600000000001</v>
      </c>
      <c r="T821" s="323"/>
      <c r="V821" s="318"/>
      <c r="W821" s="321" t="s">
        <v>389</v>
      </c>
      <c r="X821" s="338">
        <f>SUM(X769:X820)</f>
        <v>137.83799999999994</v>
      </c>
      <c r="Y821" s="321" t="s">
        <v>389</v>
      </c>
      <c r="Z821" s="338">
        <f>SUM(Z769:Z820)</f>
        <v>103.26999999999998</v>
      </c>
      <c r="AB821" s="338"/>
      <c r="AC821" s="338"/>
    </row>
    <row r="822" spans="1:29" ht="6.75" customHeight="1">
      <c r="A822" s="316"/>
      <c r="B822" s="317"/>
      <c r="C822" s="316"/>
      <c r="D822" s="316"/>
      <c r="E822" s="317"/>
      <c r="F822" s="317"/>
      <c r="G822" s="316"/>
      <c r="H822" s="316"/>
      <c r="I822" s="316"/>
      <c r="J822" s="316"/>
      <c r="K822" s="316"/>
      <c r="L822" s="316"/>
      <c r="M822" s="316"/>
      <c r="N822" s="316"/>
      <c r="O822" s="749"/>
      <c r="P822" s="752"/>
      <c r="Q822" s="752"/>
      <c r="R822" s="623"/>
      <c r="S822" s="316"/>
      <c r="T822" s="317"/>
      <c r="V822" s="316"/>
      <c r="W822" s="316"/>
      <c r="X822" s="316"/>
      <c r="Y822" s="316"/>
      <c r="Z822" s="316"/>
      <c r="AB822" s="339"/>
      <c r="AC822" s="339"/>
    </row>
    <row r="823" spans="1:29">
      <c r="A823" s="318">
        <v>20</v>
      </c>
      <c r="B823" s="319" t="s">
        <v>383</v>
      </c>
      <c r="C823" s="318">
        <v>600</v>
      </c>
      <c r="D823" s="318">
        <v>27</v>
      </c>
      <c r="E823" s="319">
        <v>1</v>
      </c>
      <c r="F823" s="336"/>
      <c r="G823" s="318" t="s">
        <v>2145</v>
      </c>
      <c r="H823" s="328">
        <v>1.74</v>
      </c>
      <c r="I823" s="318">
        <v>1</v>
      </c>
      <c r="J823" s="318">
        <f t="shared" ref="J823:J850" si="354">IF(N823&gt;0,1,0)</f>
        <v>1</v>
      </c>
      <c r="K823" s="328">
        <f t="shared" ref="K823:K851" si="355">H823*J823</f>
        <v>1.74</v>
      </c>
      <c r="L823" s="350" t="s">
        <v>2760</v>
      </c>
      <c r="M823" s="318"/>
      <c r="N823" s="318">
        <v>1</v>
      </c>
      <c r="O823" s="621">
        <f t="shared" ref="O823:O859" si="356">H823*N823</f>
        <v>1.74</v>
      </c>
      <c r="P823" s="755">
        <v>1</v>
      </c>
      <c r="Q823" s="755">
        <f t="shared" ref="Q823:Q851" si="357">R823-P823</f>
        <v>0</v>
      </c>
      <c r="R823" s="341">
        <v>1</v>
      </c>
      <c r="S823" s="318">
        <f t="shared" ref="S823" si="358">H823*R823</f>
        <v>1.74</v>
      </c>
      <c r="T823" s="609" t="s">
        <v>3465</v>
      </c>
      <c r="V823" s="328">
        <v>1.39</v>
      </c>
      <c r="W823" s="320"/>
      <c r="X823" s="328">
        <f t="shared" ref="X823:X851" si="359">V823*W823</f>
        <v>0</v>
      </c>
      <c r="Y823" s="320"/>
      <c r="Z823" s="328">
        <f t="shared" ref="Z823:Z851" si="360">V823*Y823</f>
        <v>0</v>
      </c>
      <c r="AB823" s="458">
        <f t="shared" ref="AB823:AB851" si="361">X823-O823</f>
        <v>-1.74</v>
      </c>
      <c r="AC823" s="348">
        <f t="shared" ref="AC823:AC851" si="362">Z823-S823</f>
        <v>-1.74</v>
      </c>
    </row>
    <row r="824" spans="1:29">
      <c r="A824" s="318"/>
      <c r="B824" s="319"/>
      <c r="C824" s="318"/>
      <c r="D824" s="318"/>
      <c r="E824" s="319"/>
      <c r="F824" s="336"/>
      <c r="G824" s="318" t="s">
        <v>2146</v>
      </c>
      <c r="H824" s="328">
        <v>0.84</v>
      </c>
      <c r="I824" s="318">
        <v>1</v>
      </c>
      <c r="J824" s="318">
        <f t="shared" si="354"/>
        <v>1</v>
      </c>
      <c r="K824" s="328">
        <f t="shared" si="355"/>
        <v>0.84</v>
      </c>
      <c r="L824" s="352" t="s">
        <v>2902</v>
      </c>
      <c r="M824" s="350" t="s">
        <v>2903</v>
      </c>
      <c r="N824" s="318">
        <v>1</v>
      </c>
      <c r="O824" s="621">
        <f t="shared" si="356"/>
        <v>0.84</v>
      </c>
      <c r="P824" s="755">
        <v>1</v>
      </c>
      <c r="Q824" s="755">
        <f t="shared" si="357"/>
        <v>0</v>
      </c>
      <c r="R824" s="341">
        <v>1</v>
      </c>
      <c r="S824" s="318">
        <f t="shared" ref="S824:S851" si="363">H824*R824</f>
        <v>0.84</v>
      </c>
      <c r="T824" s="609" t="s">
        <v>3465</v>
      </c>
      <c r="V824" s="328">
        <v>1.1499999999999999</v>
      </c>
      <c r="W824" s="320"/>
      <c r="X824" s="328">
        <f t="shared" si="359"/>
        <v>0</v>
      </c>
      <c r="Y824" s="320"/>
      <c r="Z824" s="328">
        <f t="shared" si="360"/>
        <v>0</v>
      </c>
      <c r="AB824" s="458">
        <f t="shared" si="361"/>
        <v>-0.84</v>
      </c>
      <c r="AC824" s="348">
        <f t="shared" si="362"/>
        <v>-0.84</v>
      </c>
    </row>
    <row r="825" spans="1:29">
      <c r="A825" s="318"/>
      <c r="B825" s="319"/>
      <c r="C825" s="318"/>
      <c r="D825" s="318"/>
      <c r="E825" s="319"/>
      <c r="F825" s="319"/>
      <c r="G825" s="318" t="s">
        <v>2147</v>
      </c>
      <c r="H825" s="328">
        <v>4.49</v>
      </c>
      <c r="I825" s="318">
        <v>1</v>
      </c>
      <c r="J825" s="318">
        <f t="shared" si="354"/>
        <v>1</v>
      </c>
      <c r="K825" s="328">
        <f t="shared" si="355"/>
        <v>4.49</v>
      </c>
      <c r="L825" s="350" t="s">
        <v>2765</v>
      </c>
      <c r="M825" s="318">
        <v>146</v>
      </c>
      <c r="N825" s="318">
        <v>1</v>
      </c>
      <c r="O825" s="621">
        <f t="shared" si="356"/>
        <v>4.49</v>
      </c>
      <c r="P825" s="755">
        <v>1</v>
      </c>
      <c r="Q825" s="755">
        <f t="shared" si="357"/>
        <v>0</v>
      </c>
      <c r="R825" s="341">
        <v>1</v>
      </c>
      <c r="S825" s="318">
        <f t="shared" si="363"/>
        <v>4.49</v>
      </c>
      <c r="T825" s="319"/>
      <c r="V825" s="328">
        <f t="shared" ref="V825:V838" si="364">4.49</f>
        <v>4.49</v>
      </c>
      <c r="W825" s="320">
        <v>1</v>
      </c>
      <c r="X825" s="328">
        <f t="shared" si="359"/>
        <v>4.49</v>
      </c>
      <c r="Y825" s="464">
        <v>1</v>
      </c>
      <c r="Z825" s="328">
        <f t="shared" si="360"/>
        <v>4.49</v>
      </c>
      <c r="AB825" s="458">
        <f t="shared" si="361"/>
        <v>0</v>
      </c>
      <c r="AC825" s="348">
        <f t="shared" si="362"/>
        <v>0</v>
      </c>
    </row>
    <row r="826" spans="1:29">
      <c r="A826" s="318"/>
      <c r="B826" s="319"/>
      <c r="C826" s="318"/>
      <c r="D826" s="318" t="s">
        <v>2767</v>
      </c>
      <c r="E826" s="319"/>
      <c r="F826" s="319"/>
      <c r="G826" s="318" t="s">
        <v>2148</v>
      </c>
      <c r="H826" s="328">
        <v>4.49</v>
      </c>
      <c r="I826" s="318">
        <v>1</v>
      </c>
      <c r="J826" s="318">
        <f t="shared" si="354"/>
        <v>1</v>
      </c>
      <c r="K826" s="328">
        <f t="shared" si="355"/>
        <v>4.49</v>
      </c>
      <c r="L826" s="350" t="s">
        <v>2766</v>
      </c>
      <c r="M826" s="318">
        <v>145</v>
      </c>
      <c r="N826" s="318">
        <v>1</v>
      </c>
      <c r="O826" s="621">
        <f t="shared" si="356"/>
        <v>4.49</v>
      </c>
      <c r="P826" s="755">
        <v>1</v>
      </c>
      <c r="Q826" s="755">
        <f t="shared" si="357"/>
        <v>0</v>
      </c>
      <c r="R826" s="341">
        <v>1</v>
      </c>
      <c r="S826" s="318">
        <f t="shared" si="363"/>
        <v>4.49</v>
      </c>
      <c r="T826" s="319"/>
      <c r="V826" s="328">
        <f t="shared" si="364"/>
        <v>4.49</v>
      </c>
      <c r="W826" s="320">
        <v>1</v>
      </c>
      <c r="X826" s="328">
        <f t="shared" si="359"/>
        <v>4.49</v>
      </c>
      <c r="Y826" s="464">
        <v>1</v>
      </c>
      <c r="Z826" s="328">
        <f t="shared" si="360"/>
        <v>4.49</v>
      </c>
      <c r="AB826" s="458">
        <f t="shared" si="361"/>
        <v>0</v>
      </c>
      <c r="AC826" s="348">
        <f t="shared" si="362"/>
        <v>0</v>
      </c>
    </row>
    <row r="827" spans="1:29">
      <c r="A827" s="318"/>
      <c r="B827" s="319"/>
      <c r="C827" s="318"/>
      <c r="D827" s="318"/>
      <c r="E827" s="319"/>
      <c r="F827" s="319"/>
      <c r="G827" s="318" t="s">
        <v>2149</v>
      </c>
      <c r="H827" s="328">
        <v>4.49</v>
      </c>
      <c r="I827" s="318">
        <v>1</v>
      </c>
      <c r="J827" s="318">
        <f t="shared" si="354"/>
        <v>1</v>
      </c>
      <c r="K827" s="328">
        <f t="shared" si="355"/>
        <v>4.49</v>
      </c>
      <c r="L827" s="350" t="s">
        <v>2766</v>
      </c>
      <c r="M827" s="318">
        <v>145</v>
      </c>
      <c r="N827" s="318">
        <v>1</v>
      </c>
      <c r="O827" s="621">
        <f t="shared" si="356"/>
        <v>4.49</v>
      </c>
      <c r="P827" s="755">
        <v>1</v>
      </c>
      <c r="Q827" s="755">
        <f t="shared" si="357"/>
        <v>0</v>
      </c>
      <c r="R827" s="341">
        <v>1</v>
      </c>
      <c r="S827" s="318">
        <f t="shared" si="363"/>
        <v>4.49</v>
      </c>
      <c r="T827" s="319"/>
      <c r="V827" s="328">
        <f t="shared" si="364"/>
        <v>4.49</v>
      </c>
      <c r="W827" s="320">
        <v>1</v>
      </c>
      <c r="X827" s="328">
        <f t="shared" si="359"/>
        <v>4.49</v>
      </c>
      <c r="Y827" s="464">
        <v>1</v>
      </c>
      <c r="Z827" s="328">
        <f t="shared" si="360"/>
        <v>4.49</v>
      </c>
      <c r="AB827" s="458">
        <f t="shared" si="361"/>
        <v>0</v>
      </c>
      <c r="AC827" s="348">
        <f t="shared" si="362"/>
        <v>0</v>
      </c>
    </row>
    <row r="828" spans="1:29">
      <c r="A828" s="318"/>
      <c r="B828" s="319"/>
      <c r="C828" s="318"/>
      <c r="D828" s="318"/>
      <c r="E828" s="319"/>
      <c r="F828" s="319"/>
      <c r="G828" s="318" t="s">
        <v>2150</v>
      </c>
      <c r="H828" s="328">
        <v>4.49</v>
      </c>
      <c r="I828" s="318">
        <v>1</v>
      </c>
      <c r="J828" s="318">
        <f t="shared" si="354"/>
        <v>1</v>
      </c>
      <c r="K828" s="328">
        <f t="shared" si="355"/>
        <v>4.49</v>
      </c>
      <c r="L828" s="350" t="s">
        <v>2760</v>
      </c>
      <c r="M828" s="318">
        <v>145</v>
      </c>
      <c r="N828" s="318">
        <v>1</v>
      </c>
      <c r="O828" s="621">
        <f t="shared" si="356"/>
        <v>4.49</v>
      </c>
      <c r="P828" s="755">
        <v>1</v>
      </c>
      <c r="Q828" s="755">
        <f t="shared" si="357"/>
        <v>0</v>
      </c>
      <c r="R828" s="341">
        <v>1</v>
      </c>
      <c r="S828" s="318">
        <f t="shared" si="363"/>
        <v>4.49</v>
      </c>
      <c r="T828" s="319"/>
      <c r="V828" s="328">
        <f t="shared" si="364"/>
        <v>4.49</v>
      </c>
      <c r="W828" s="320">
        <v>1</v>
      </c>
      <c r="X828" s="328">
        <f t="shared" si="359"/>
        <v>4.49</v>
      </c>
      <c r="Y828" s="464">
        <v>1</v>
      </c>
      <c r="Z828" s="328">
        <f t="shared" si="360"/>
        <v>4.49</v>
      </c>
      <c r="AB828" s="458">
        <f t="shared" si="361"/>
        <v>0</v>
      </c>
      <c r="AC828" s="348">
        <f t="shared" si="362"/>
        <v>0</v>
      </c>
    </row>
    <row r="829" spans="1:29">
      <c r="A829" s="318"/>
      <c r="B829" s="319"/>
      <c r="C829" s="318"/>
      <c r="D829" s="318"/>
      <c r="E829" s="319"/>
      <c r="F829" s="319"/>
      <c r="G829" s="318" t="s">
        <v>2151</v>
      </c>
      <c r="H829" s="328">
        <v>4.49</v>
      </c>
      <c r="I829" s="318">
        <v>1</v>
      </c>
      <c r="J829" s="318">
        <f t="shared" si="354"/>
        <v>1</v>
      </c>
      <c r="K829" s="328">
        <f t="shared" si="355"/>
        <v>4.49</v>
      </c>
      <c r="L829" s="350" t="s">
        <v>2760</v>
      </c>
      <c r="M829" s="318">
        <v>145</v>
      </c>
      <c r="N829" s="318">
        <v>1</v>
      </c>
      <c r="O829" s="621">
        <f t="shared" si="356"/>
        <v>4.49</v>
      </c>
      <c r="P829" s="755">
        <v>1</v>
      </c>
      <c r="Q829" s="755">
        <f t="shared" si="357"/>
        <v>0</v>
      </c>
      <c r="R829" s="341">
        <v>1</v>
      </c>
      <c r="S829" s="318">
        <f t="shared" si="363"/>
        <v>4.49</v>
      </c>
      <c r="T829" s="319"/>
      <c r="V829" s="328">
        <f t="shared" si="364"/>
        <v>4.49</v>
      </c>
      <c r="W829" s="320">
        <v>1</v>
      </c>
      <c r="X829" s="328">
        <f t="shared" si="359"/>
        <v>4.49</v>
      </c>
      <c r="Y829" s="464">
        <v>1</v>
      </c>
      <c r="Z829" s="328">
        <f t="shared" si="360"/>
        <v>4.49</v>
      </c>
      <c r="AB829" s="458">
        <f t="shared" si="361"/>
        <v>0</v>
      </c>
      <c r="AC829" s="348">
        <f t="shared" si="362"/>
        <v>0</v>
      </c>
    </row>
    <row r="830" spans="1:29">
      <c r="A830" s="318"/>
      <c r="B830" s="319"/>
      <c r="C830" s="318"/>
      <c r="D830" s="318"/>
      <c r="E830" s="319"/>
      <c r="F830" s="319"/>
      <c r="G830" s="318" t="s">
        <v>2152</v>
      </c>
      <c r="H830" s="328">
        <v>4.49</v>
      </c>
      <c r="I830" s="318">
        <v>1</v>
      </c>
      <c r="J830" s="318">
        <f t="shared" si="354"/>
        <v>1</v>
      </c>
      <c r="K830" s="328">
        <f t="shared" si="355"/>
        <v>4.49</v>
      </c>
      <c r="L830" s="318">
        <v>1637</v>
      </c>
      <c r="M830" s="318">
        <v>147</v>
      </c>
      <c r="N830" s="318">
        <v>1</v>
      </c>
      <c r="O830" s="621">
        <f t="shared" si="356"/>
        <v>4.49</v>
      </c>
      <c r="P830" s="755">
        <v>1</v>
      </c>
      <c r="Q830" s="755">
        <f t="shared" si="357"/>
        <v>0</v>
      </c>
      <c r="R830" s="341">
        <v>1</v>
      </c>
      <c r="S830" s="318">
        <f t="shared" si="363"/>
        <v>4.49</v>
      </c>
      <c r="T830" s="319"/>
      <c r="V830" s="328">
        <f t="shared" si="364"/>
        <v>4.49</v>
      </c>
      <c r="W830" s="320">
        <v>1</v>
      </c>
      <c r="X830" s="328">
        <f t="shared" si="359"/>
        <v>4.49</v>
      </c>
      <c r="Y830" s="464">
        <v>1</v>
      </c>
      <c r="Z830" s="328">
        <f t="shared" si="360"/>
        <v>4.49</v>
      </c>
      <c r="AB830" s="458">
        <f t="shared" si="361"/>
        <v>0</v>
      </c>
      <c r="AC830" s="348">
        <f t="shared" si="362"/>
        <v>0</v>
      </c>
    </row>
    <row r="831" spans="1:29">
      <c r="A831" s="318"/>
      <c r="B831" s="319"/>
      <c r="C831" s="318"/>
      <c r="D831" s="318"/>
      <c r="E831" s="319"/>
      <c r="F831" s="319"/>
      <c r="G831" s="318" t="s">
        <v>2153</v>
      </c>
      <c r="H831" s="328">
        <v>4.49</v>
      </c>
      <c r="I831" s="318">
        <v>1</v>
      </c>
      <c r="J831" s="318">
        <f t="shared" si="354"/>
        <v>1</v>
      </c>
      <c r="K831" s="328">
        <f t="shared" si="355"/>
        <v>4.49</v>
      </c>
      <c r="L831" s="318">
        <v>1637</v>
      </c>
      <c r="M831" s="318">
        <v>147</v>
      </c>
      <c r="N831" s="318">
        <v>1</v>
      </c>
      <c r="O831" s="621">
        <f t="shared" si="356"/>
        <v>4.49</v>
      </c>
      <c r="P831" s="755">
        <v>1</v>
      </c>
      <c r="Q831" s="755">
        <f t="shared" si="357"/>
        <v>0</v>
      </c>
      <c r="R831" s="341">
        <v>1</v>
      </c>
      <c r="S831" s="318">
        <f t="shared" si="363"/>
        <v>4.49</v>
      </c>
      <c r="T831" s="319"/>
      <c r="V831" s="328">
        <f t="shared" si="364"/>
        <v>4.49</v>
      </c>
      <c r="W831" s="320">
        <v>1</v>
      </c>
      <c r="X831" s="328">
        <f t="shared" si="359"/>
        <v>4.49</v>
      </c>
      <c r="Y831" s="464">
        <v>1</v>
      </c>
      <c r="Z831" s="328">
        <f t="shared" si="360"/>
        <v>4.49</v>
      </c>
      <c r="AB831" s="458">
        <f t="shared" si="361"/>
        <v>0</v>
      </c>
      <c r="AC831" s="348">
        <f t="shared" si="362"/>
        <v>0</v>
      </c>
    </row>
    <row r="832" spans="1:29">
      <c r="A832" s="318"/>
      <c r="B832" s="319"/>
      <c r="C832" s="318"/>
      <c r="D832" s="318"/>
      <c r="E832" s="319"/>
      <c r="F832" s="319"/>
      <c r="G832" s="318" t="s">
        <v>2154</v>
      </c>
      <c r="H832" s="328">
        <v>4.49</v>
      </c>
      <c r="I832" s="318">
        <v>1</v>
      </c>
      <c r="J832" s="318">
        <f t="shared" si="354"/>
        <v>1</v>
      </c>
      <c r="K832" s="328">
        <f t="shared" si="355"/>
        <v>4.49</v>
      </c>
      <c r="L832" s="318">
        <v>1634</v>
      </c>
      <c r="M832" s="318">
        <v>146</v>
      </c>
      <c r="N832" s="318">
        <v>1</v>
      </c>
      <c r="O832" s="621">
        <f t="shared" si="356"/>
        <v>4.49</v>
      </c>
      <c r="P832" s="755">
        <v>1</v>
      </c>
      <c r="Q832" s="755">
        <f t="shared" si="357"/>
        <v>0</v>
      </c>
      <c r="R832" s="341">
        <v>1</v>
      </c>
      <c r="S832" s="318">
        <f t="shared" si="363"/>
        <v>4.49</v>
      </c>
      <c r="T832" s="319"/>
      <c r="V832" s="328">
        <f t="shared" si="364"/>
        <v>4.49</v>
      </c>
      <c r="W832" s="320">
        <v>1</v>
      </c>
      <c r="X832" s="328">
        <f t="shared" si="359"/>
        <v>4.49</v>
      </c>
      <c r="Y832" s="464">
        <v>1</v>
      </c>
      <c r="Z832" s="328">
        <f t="shared" si="360"/>
        <v>4.49</v>
      </c>
      <c r="AB832" s="458">
        <f t="shared" si="361"/>
        <v>0</v>
      </c>
      <c r="AC832" s="348">
        <f t="shared" si="362"/>
        <v>0</v>
      </c>
    </row>
    <row r="833" spans="1:29">
      <c r="A833" s="318"/>
      <c r="B833" s="319"/>
      <c r="C833" s="318"/>
      <c r="D833" s="318"/>
      <c r="E833" s="319"/>
      <c r="F833" s="336"/>
      <c r="G833" s="318" t="s">
        <v>2155</v>
      </c>
      <c r="H833" s="328">
        <v>4.49</v>
      </c>
      <c r="I833" s="318">
        <v>1</v>
      </c>
      <c r="J833" s="318">
        <f t="shared" si="354"/>
        <v>1</v>
      </c>
      <c r="K833" s="328">
        <f t="shared" si="355"/>
        <v>4.49</v>
      </c>
      <c r="L833" s="318">
        <v>1634</v>
      </c>
      <c r="M833" s="318">
        <v>146</v>
      </c>
      <c r="N833" s="318">
        <v>1</v>
      </c>
      <c r="O833" s="621">
        <f t="shared" si="356"/>
        <v>4.49</v>
      </c>
      <c r="P833" s="755">
        <v>1</v>
      </c>
      <c r="Q833" s="755">
        <f t="shared" si="357"/>
        <v>0</v>
      </c>
      <c r="R833" s="341">
        <v>1</v>
      </c>
      <c r="S833" s="318">
        <f t="shared" si="363"/>
        <v>4.49</v>
      </c>
      <c r="T833" s="319"/>
      <c r="V833" s="328">
        <f t="shared" si="364"/>
        <v>4.49</v>
      </c>
      <c r="W833" s="320">
        <v>1</v>
      </c>
      <c r="X833" s="328">
        <f t="shared" si="359"/>
        <v>4.49</v>
      </c>
      <c r="Y833" s="464">
        <v>1</v>
      </c>
      <c r="Z833" s="328">
        <f t="shared" si="360"/>
        <v>4.49</v>
      </c>
      <c r="AB833" s="458">
        <f t="shared" si="361"/>
        <v>0</v>
      </c>
      <c r="AC833" s="348">
        <f t="shared" si="362"/>
        <v>0</v>
      </c>
    </row>
    <row r="834" spans="1:29">
      <c r="A834" s="318"/>
      <c r="B834" s="319"/>
      <c r="C834" s="318"/>
      <c r="D834" s="318"/>
      <c r="E834" s="319"/>
      <c r="F834" s="336"/>
      <c r="G834" s="318" t="s">
        <v>2156</v>
      </c>
      <c r="H834" s="328">
        <v>4.49</v>
      </c>
      <c r="I834" s="318">
        <v>1</v>
      </c>
      <c r="J834" s="318">
        <f t="shared" si="354"/>
        <v>1</v>
      </c>
      <c r="K834" s="328">
        <f t="shared" si="355"/>
        <v>4.49</v>
      </c>
      <c r="L834" s="318">
        <v>1634</v>
      </c>
      <c r="M834" s="318">
        <v>146</v>
      </c>
      <c r="N834" s="318">
        <v>1</v>
      </c>
      <c r="O834" s="621">
        <f t="shared" si="356"/>
        <v>4.49</v>
      </c>
      <c r="P834" s="755">
        <v>1</v>
      </c>
      <c r="Q834" s="755">
        <f t="shared" si="357"/>
        <v>0</v>
      </c>
      <c r="R834" s="341">
        <v>1</v>
      </c>
      <c r="S834" s="318">
        <f t="shared" si="363"/>
        <v>4.49</v>
      </c>
      <c r="T834" s="319"/>
      <c r="V834" s="328">
        <f t="shared" si="364"/>
        <v>4.49</v>
      </c>
      <c r="W834" s="320">
        <v>1</v>
      </c>
      <c r="X834" s="328">
        <f t="shared" si="359"/>
        <v>4.49</v>
      </c>
      <c r="Y834" s="464">
        <v>1</v>
      </c>
      <c r="Z834" s="328">
        <f t="shared" si="360"/>
        <v>4.49</v>
      </c>
      <c r="AB834" s="458">
        <f t="shared" si="361"/>
        <v>0</v>
      </c>
      <c r="AC834" s="348">
        <f t="shared" si="362"/>
        <v>0</v>
      </c>
    </row>
    <row r="835" spans="1:29">
      <c r="A835" s="318"/>
      <c r="B835" s="319"/>
      <c r="C835" s="318"/>
      <c r="D835" s="318"/>
      <c r="E835" s="319"/>
      <c r="F835" s="319"/>
      <c r="G835" s="318" t="s">
        <v>2157</v>
      </c>
      <c r="H835" s="328">
        <v>4.49</v>
      </c>
      <c r="I835" s="318">
        <v>1</v>
      </c>
      <c r="J835" s="318">
        <f t="shared" si="354"/>
        <v>1</v>
      </c>
      <c r="K835" s="328">
        <f t="shared" si="355"/>
        <v>4.49</v>
      </c>
      <c r="L835" s="318">
        <v>1639</v>
      </c>
      <c r="M835" s="318">
        <v>147</v>
      </c>
      <c r="N835" s="318">
        <v>1</v>
      </c>
      <c r="O835" s="621">
        <f t="shared" si="356"/>
        <v>4.49</v>
      </c>
      <c r="P835" s="755">
        <v>1</v>
      </c>
      <c r="Q835" s="755">
        <f t="shared" si="357"/>
        <v>0</v>
      </c>
      <c r="R835" s="341">
        <v>1</v>
      </c>
      <c r="S835" s="318">
        <f t="shared" si="363"/>
        <v>4.49</v>
      </c>
      <c r="T835" s="319"/>
      <c r="V835" s="328">
        <f t="shared" si="364"/>
        <v>4.49</v>
      </c>
      <c r="W835" s="320">
        <v>1</v>
      </c>
      <c r="X835" s="328">
        <f t="shared" si="359"/>
        <v>4.49</v>
      </c>
      <c r="Y835" s="464">
        <v>1</v>
      </c>
      <c r="Z835" s="328">
        <f t="shared" si="360"/>
        <v>4.49</v>
      </c>
      <c r="AB835" s="458">
        <f t="shared" si="361"/>
        <v>0</v>
      </c>
      <c r="AC835" s="348">
        <f t="shared" si="362"/>
        <v>0</v>
      </c>
    </row>
    <row r="836" spans="1:29">
      <c r="A836" s="318"/>
      <c r="B836" s="319"/>
      <c r="C836" s="318"/>
      <c r="D836" s="318"/>
      <c r="E836" s="319"/>
      <c r="F836" s="319"/>
      <c r="G836" s="318" t="s">
        <v>2158</v>
      </c>
      <c r="H836" s="328">
        <v>4.49</v>
      </c>
      <c r="I836" s="318">
        <v>1</v>
      </c>
      <c r="J836" s="318">
        <f t="shared" si="354"/>
        <v>1</v>
      </c>
      <c r="K836" s="328">
        <f t="shared" si="355"/>
        <v>4.49</v>
      </c>
      <c r="L836" s="318">
        <v>1634</v>
      </c>
      <c r="M836" s="318">
        <v>146</v>
      </c>
      <c r="N836" s="318">
        <v>1</v>
      </c>
      <c r="O836" s="621">
        <f t="shared" si="356"/>
        <v>4.49</v>
      </c>
      <c r="P836" s="755">
        <v>1</v>
      </c>
      <c r="Q836" s="755">
        <f t="shared" si="357"/>
        <v>0</v>
      </c>
      <c r="R836" s="341">
        <v>1</v>
      </c>
      <c r="S836" s="318">
        <f t="shared" si="363"/>
        <v>4.49</v>
      </c>
      <c r="T836" s="319"/>
      <c r="V836" s="328">
        <f t="shared" si="364"/>
        <v>4.49</v>
      </c>
      <c r="W836" s="320">
        <v>1</v>
      </c>
      <c r="X836" s="328">
        <f t="shared" si="359"/>
        <v>4.49</v>
      </c>
      <c r="Y836" s="464">
        <v>1</v>
      </c>
      <c r="Z836" s="328">
        <f t="shared" si="360"/>
        <v>4.49</v>
      </c>
      <c r="AB836" s="458">
        <f t="shared" si="361"/>
        <v>0</v>
      </c>
      <c r="AC836" s="348">
        <f t="shared" si="362"/>
        <v>0</v>
      </c>
    </row>
    <row r="837" spans="1:29">
      <c r="A837" s="318"/>
      <c r="B837" s="319"/>
      <c r="C837" s="318"/>
      <c r="D837" s="318"/>
      <c r="E837" s="319"/>
      <c r="F837" s="319"/>
      <c r="G837" s="318" t="s">
        <v>2159</v>
      </c>
      <c r="H837" s="328">
        <v>4.49</v>
      </c>
      <c r="I837" s="318">
        <v>1</v>
      </c>
      <c r="J837" s="318">
        <f t="shared" si="354"/>
        <v>1</v>
      </c>
      <c r="K837" s="328">
        <f t="shared" si="355"/>
        <v>4.49</v>
      </c>
      <c r="L837" s="318">
        <v>1634</v>
      </c>
      <c r="M837" s="318">
        <v>146</v>
      </c>
      <c r="N837" s="318">
        <v>1</v>
      </c>
      <c r="O837" s="621">
        <f t="shared" si="356"/>
        <v>4.49</v>
      </c>
      <c r="P837" s="755">
        <v>1</v>
      </c>
      <c r="Q837" s="755">
        <f t="shared" si="357"/>
        <v>0</v>
      </c>
      <c r="R837" s="341">
        <v>1</v>
      </c>
      <c r="S837" s="318">
        <f t="shared" si="363"/>
        <v>4.49</v>
      </c>
      <c r="T837" s="319"/>
      <c r="V837" s="328">
        <f t="shared" si="364"/>
        <v>4.49</v>
      </c>
      <c r="W837" s="320">
        <v>1</v>
      </c>
      <c r="X837" s="328">
        <f t="shared" si="359"/>
        <v>4.49</v>
      </c>
      <c r="Y837" s="464">
        <v>1</v>
      </c>
      <c r="Z837" s="328">
        <f t="shared" si="360"/>
        <v>4.49</v>
      </c>
      <c r="AB837" s="458">
        <f t="shared" si="361"/>
        <v>0</v>
      </c>
      <c r="AC837" s="348">
        <f t="shared" si="362"/>
        <v>0</v>
      </c>
    </row>
    <row r="838" spans="1:29">
      <c r="A838" s="318"/>
      <c r="B838" s="319"/>
      <c r="C838" s="318"/>
      <c r="D838" s="318"/>
      <c r="E838" s="319"/>
      <c r="F838" s="319"/>
      <c r="G838" s="318" t="s">
        <v>2160</v>
      </c>
      <c r="H838" s="328">
        <v>4.49</v>
      </c>
      <c r="I838" s="318">
        <v>1</v>
      </c>
      <c r="J838" s="318">
        <f t="shared" si="354"/>
        <v>1</v>
      </c>
      <c r="K838" s="328">
        <f t="shared" si="355"/>
        <v>4.49</v>
      </c>
      <c r="L838" s="318">
        <v>1639</v>
      </c>
      <c r="M838" s="318">
        <v>147</v>
      </c>
      <c r="N838" s="318">
        <v>1</v>
      </c>
      <c r="O838" s="621">
        <f t="shared" si="356"/>
        <v>4.49</v>
      </c>
      <c r="P838" s="755">
        <v>1</v>
      </c>
      <c r="Q838" s="755">
        <f t="shared" si="357"/>
        <v>0</v>
      </c>
      <c r="R838" s="341">
        <v>1</v>
      </c>
      <c r="S838" s="318">
        <f t="shared" si="363"/>
        <v>4.49</v>
      </c>
      <c r="T838" s="319"/>
      <c r="V838" s="328">
        <f t="shared" si="364"/>
        <v>4.49</v>
      </c>
      <c r="W838" s="320">
        <v>1</v>
      </c>
      <c r="X838" s="328">
        <f t="shared" si="359"/>
        <v>4.49</v>
      </c>
      <c r="Y838" s="464">
        <v>1</v>
      </c>
      <c r="Z838" s="328">
        <f t="shared" si="360"/>
        <v>4.49</v>
      </c>
      <c r="AB838" s="458">
        <f t="shared" si="361"/>
        <v>0</v>
      </c>
      <c r="AC838" s="348">
        <f t="shared" si="362"/>
        <v>0</v>
      </c>
    </row>
    <row r="839" spans="1:29">
      <c r="A839" s="318"/>
      <c r="B839" s="319"/>
      <c r="C839" s="318"/>
      <c r="D839" s="318"/>
      <c r="E839" s="319"/>
      <c r="F839" s="336"/>
      <c r="G839" s="318" t="s">
        <v>2161</v>
      </c>
      <c r="H839" s="328">
        <v>2.68</v>
      </c>
      <c r="I839" s="318">
        <v>1</v>
      </c>
      <c r="J839" s="318">
        <f t="shared" si="354"/>
        <v>1</v>
      </c>
      <c r="K839" s="328">
        <f t="shared" si="355"/>
        <v>2.68</v>
      </c>
      <c r="L839" s="318">
        <v>1684</v>
      </c>
      <c r="M839" s="318">
        <v>154</v>
      </c>
      <c r="N839" s="318">
        <v>1</v>
      </c>
      <c r="O839" s="621">
        <f t="shared" si="356"/>
        <v>2.68</v>
      </c>
      <c r="P839" s="755">
        <v>1</v>
      </c>
      <c r="Q839" s="755">
        <f t="shared" si="357"/>
        <v>0</v>
      </c>
      <c r="R839" s="341">
        <v>1</v>
      </c>
      <c r="S839" s="318">
        <f t="shared" si="363"/>
        <v>2.68</v>
      </c>
      <c r="T839" s="319"/>
      <c r="V839" s="328">
        <v>2.673</v>
      </c>
      <c r="W839" s="320">
        <v>1</v>
      </c>
      <c r="X839" s="328">
        <f t="shared" si="359"/>
        <v>2.673</v>
      </c>
      <c r="Y839" s="464">
        <v>1</v>
      </c>
      <c r="Z839" s="328">
        <f t="shared" si="360"/>
        <v>2.673</v>
      </c>
      <c r="AB839" s="458">
        <f t="shared" si="361"/>
        <v>-7.0000000000001172E-3</v>
      </c>
      <c r="AC839" s="348">
        <f t="shared" si="362"/>
        <v>-7.0000000000001172E-3</v>
      </c>
    </row>
    <row r="840" spans="1:29">
      <c r="A840" s="318"/>
      <c r="B840" s="319"/>
      <c r="C840" s="318"/>
      <c r="D840" s="318"/>
      <c r="E840" s="319"/>
      <c r="F840" s="336" t="s">
        <v>721</v>
      </c>
      <c r="G840" s="318" t="s">
        <v>2162</v>
      </c>
      <c r="H840" s="328">
        <v>4.05</v>
      </c>
      <c r="I840" s="318">
        <v>1</v>
      </c>
      <c r="J840" s="318">
        <f t="shared" si="354"/>
        <v>1</v>
      </c>
      <c r="K840" s="328">
        <f t="shared" si="355"/>
        <v>4.05</v>
      </c>
      <c r="L840" s="318" t="s">
        <v>3638</v>
      </c>
      <c r="M840" s="318" t="s">
        <v>3639</v>
      </c>
      <c r="N840" s="318">
        <v>1</v>
      </c>
      <c r="O840" s="621">
        <f t="shared" si="356"/>
        <v>4.05</v>
      </c>
      <c r="P840" s="755">
        <v>1</v>
      </c>
      <c r="Q840" s="755">
        <f t="shared" si="357"/>
        <v>0</v>
      </c>
      <c r="R840" s="341">
        <v>1</v>
      </c>
      <c r="S840" s="318">
        <f t="shared" si="363"/>
        <v>4.05</v>
      </c>
      <c r="T840" s="319"/>
      <c r="V840" s="328">
        <f>2.673+2.055</f>
        <v>4.7279999999999998</v>
      </c>
      <c r="W840" s="320">
        <v>1</v>
      </c>
      <c r="X840" s="328">
        <f t="shared" si="359"/>
        <v>4.7279999999999998</v>
      </c>
      <c r="Y840" s="464">
        <v>1</v>
      </c>
      <c r="Z840" s="328">
        <f t="shared" si="360"/>
        <v>4.7279999999999998</v>
      </c>
      <c r="AB840" s="458">
        <f t="shared" si="361"/>
        <v>0.67799999999999994</v>
      </c>
      <c r="AC840" s="348">
        <f t="shared" si="362"/>
        <v>0.67799999999999994</v>
      </c>
    </row>
    <row r="841" spans="1:29">
      <c r="A841" s="318"/>
      <c r="B841" s="319"/>
      <c r="C841" s="318"/>
      <c r="D841" s="318"/>
      <c r="E841" s="319"/>
      <c r="F841" s="336" t="s">
        <v>721</v>
      </c>
      <c r="G841" s="318" t="s">
        <v>2163</v>
      </c>
      <c r="H841" s="328">
        <v>3.89</v>
      </c>
      <c r="I841" s="318">
        <v>1</v>
      </c>
      <c r="J841" s="318">
        <f t="shared" si="354"/>
        <v>1</v>
      </c>
      <c r="K841" s="328">
        <f t="shared" si="355"/>
        <v>3.89</v>
      </c>
      <c r="L841" s="350" t="s">
        <v>3645</v>
      </c>
      <c r="M841" s="350" t="s">
        <v>3646</v>
      </c>
      <c r="N841" s="318">
        <v>1</v>
      </c>
      <c r="O841" s="621">
        <f t="shared" si="356"/>
        <v>3.89</v>
      </c>
      <c r="P841" s="755">
        <v>1</v>
      </c>
      <c r="Q841" s="755">
        <f t="shared" si="357"/>
        <v>0</v>
      </c>
      <c r="R841" s="341">
        <v>1</v>
      </c>
      <c r="S841" s="318">
        <f t="shared" si="363"/>
        <v>3.89</v>
      </c>
      <c r="T841" s="319"/>
      <c r="V841" s="328">
        <f>2.055+2.542</f>
        <v>4.5969999999999995</v>
      </c>
      <c r="W841" s="320">
        <v>1</v>
      </c>
      <c r="X841" s="328">
        <f t="shared" si="359"/>
        <v>4.5969999999999995</v>
      </c>
      <c r="Y841" s="464">
        <v>1</v>
      </c>
      <c r="Z841" s="328">
        <f t="shared" si="360"/>
        <v>4.5969999999999995</v>
      </c>
      <c r="AB841" s="458">
        <f t="shared" si="361"/>
        <v>0.70699999999999941</v>
      </c>
      <c r="AC841" s="348">
        <f t="shared" si="362"/>
        <v>0.70699999999999941</v>
      </c>
    </row>
    <row r="842" spans="1:29">
      <c r="A842" s="318"/>
      <c r="B842" s="319"/>
      <c r="C842" s="318"/>
      <c r="D842" s="318"/>
      <c r="E842" s="319"/>
      <c r="F842" s="336"/>
      <c r="G842" s="318" t="s">
        <v>2164</v>
      </c>
      <c r="H842" s="328">
        <v>2.5499999999999998</v>
      </c>
      <c r="I842" s="318">
        <v>1</v>
      </c>
      <c r="J842" s="318">
        <f t="shared" si="354"/>
        <v>1</v>
      </c>
      <c r="K842" s="328">
        <f t="shared" si="355"/>
        <v>2.5499999999999998</v>
      </c>
      <c r="L842" s="318">
        <v>1684</v>
      </c>
      <c r="M842" s="318">
        <v>154</v>
      </c>
      <c r="N842" s="318">
        <v>1</v>
      </c>
      <c r="O842" s="621">
        <f t="shared" si="356"/>
        <v>2.5499999999999998</v>
      </c>
      <c r="P842" s="755">
        <v>1</v>
      </c>
      <c r="Q842" s="755">
        <f t="shared" si="357"/>
        <v>0</v>
      </c>
      <c r="R842" s="341">
        <v>1</v>
      </c>
      <c r="S842" s="318">
        <f t="shared" si="363"/>
        <v>2.5499999999999998</v>
      </c>
      <c r="T842" s="319"/>
      <c r="V842" s="328">
        <f>2.542</f>
        <v>2.5419999999999998</v>
      </c>
      <c r="W842" s="320">
        <v>1</v>
      </c>
      <c r="X842" s="328">
        <f t="shared" si="359"/>
        <v>2.5419999999999998</v>
      </c>
      <c r="Y842" s="464">
        <v>1</v>
      </c>
      <c r="Z842" s="328">
        <f t="shared" si="360"/>
        <v>2.5419999999999998</v>
      </c>
      <c r="AB842" s="458">
        <f t="shared" si="361"/>
        <v>-8.0000000000000071E-3</v>
      </c>
      <c r="AC842" s="348">
        <f t="shared" si="362"/>
        <v>-8.0000000000000071E-3</v>
      </c>
    </row>
    <row r="843" spans="1:29">
      <c r="A843" s="318"/>
      <c r="B843" s="319"/>
      <c r="C843" s="318"/>
      <c r="D843" s="318"/>
      <c r="E843" s="319"/>
      <c r="F843" s="319"/>
      <c r="G843" s="318" t="s">
        <v>2165</v>
      </c>
      <c r="H843" s="328">
        <v>4.49</v>
      </c>
      <c r="I843" s="318">
        <v>1</v>
      </c>
      <c r="J843" s="318">
        <f t="shared" si="354"/>
        <v>1</v>
      </c>
      <c r="K843" s="328">
        <f t="shared" si="355"/>
        <v>4.49</v>
      </c>
      <c r="L843" s="318">
        <v>1655</v>
      </c>
      <c r="M843" s="318" t="s">
        <v>355</v>
      </c>
      <c r="N843" s="318">
        <v>1</v>
      </c>
      <c r="O843" s="621">
        <f t="shared" si="356"/>
        <v>4.49</v>
      </c>
      <c r="P843" s="755">
        <v>1</v>
      </c>
      <c r="Q843" s="755">
        <f t="shared" si="357"/>
        <v>0</v>
      </c>
      <c r="R843" s="341">
        <v>1</v>
      </c>
      <c r="S843" s="318">
        <f t="shared" si="363"/>
        <v>4.49</v>
      </c>
      <c r="T843" s="319"/>
      <c r="V843" s="328">
        <f t="shared" ref="V843:V857" si="365">4.49</f>
        <v>4.49</v>
      </c>
      <c r="W843" s="320">
        <v>1</v>
      </c>
      <c r="X843" s="328">
        <f t="shared" si="359"/>
        <v>4.49</v>
      </c>
      <c r="Y843" s="464">
        <v>1</v>
      </c>
      <c r="Z843" s="328">
        <f t="shared" si="360"/>
        <v>4.49</v>
      </c>
      <c r="AB843" s="458">
        <f t="shared" si="361"/>
        <v>0</v>
      </c>
      <c r="AC843" s="348">
        <f t="shared" si="362"/>
        <v>0</v>
      </c>
    </row>
    <row r="844" spans="1:29">
      <c r="A844" s="318"/>
      <c r="B844" s="319"/>
      <c r="C844" s="318"/>
      <c r="D844" s="318"/>
      <c r="E844" s="319"/>
      <c r="F844" s="319"/>
      <c r="G844" s="318" t="s">
        <v>2166</v>
      </c>
      <c r="H844" s="328">
        <v>4.49</v>
      </c>
      <c r="I844" s="318">
        <v>1</v>
      </c>
      <c r="J844" s="318">
        <f t="shared" si="354"/>
        <v>1</v>
      </c>
      <c r="K844" s="328">
        <f t="shared" si="355"/>
        <v>4.49</v>
      </c>
      <c r="L844" s="318">
        <v>1655</v>
      </c>
      <c r="M844" s="318" t="s">
        <v>355</v>
      </c>
      <c r="N844" s="318">
        <v>1</v>
      </c>
      <c r="O844" s="621">
        <f t="shared" si="356"/>
        <v>4.49</v>
      </c>
      <c r="P844" s="755">
        <v>1</v>
      </c>
      <c r="Q844" s="755">
        <f t="shared" si="357"/>
        <v>0</v>
      </c>
      <c r="R844" s="341">
        <v>1</v>
      </c>
      <c r="S844" s="318">
        <f t="shared" si="363"/>
        <v>4.49</v>
      </c>
      <c r="T844" s="319"/>
      <c r="V844" s="328">
        <f t="shared" si="365"/>
        <v>4.49</v>
      </c>
      <c r="W844" s="320">
        <v>1</v>
      </c>
      <c r="X844" s="328">
        <f t="shared" si="359"/>
        <v>4.49</v>
      </c>
      <c r="Y844" s="464">
        <v>1</v>
      </c>
      <c r="Z844" s="328">
        <f t="shared" si="360"/>
        <v>4.49</v>
      </c>
      <c r="AB844" s="458">
        <f t="shared" si="361"/>
        <v>0</v>
      </c>
      <c r="AC844" s="348">
        <f t="shared" si="362"/>
        <v>0</v>
      </c>
    </row>
    <row r="845" spans="1:29">
      <c r="A845" s="318"/>
      <c r="B845" s="319"/>
      <c r="C845" s="318"/>
      <c r="D845" s="318"/>
      <c r="E845" s="319"/>
      <c r="F845" s="336"/>
      <c r="G845" s="318" t="s">
        <v>2167</v>
      </c>
      <c r="H845" s="328">
        <v>4.49</v>
      </c>
      <c r="I845" s="318">
        <v>1</v>
      </c>
      <c r="J845" s="318">
        <f t="shared" si="354"/>
        <v>1</v>
      </c>
      <c r="K845" s="328">
        <f t="shared" si="355"/>
        <v>4.49</v>
      </c>
      <c r="L845" s="318">
        <v>1655</v>
      </c>
      <c r="M845" s="318" t="s">
        <v>355</v>
      </c>
      <c r="N845" s="318">
        <v>1</v>
      </c>
      <c r="O845" s="621">
        <f t="shared" si="356"/>
        <v>4.49</v>
      </c>
      <c r="P845" s="755">
        <v>1</v>
      </c>
      <c r="Q845" s="755">
        <f t="shared" si="357"/>
        <v>0</v>
      </c>
      <c r="R845" s="341">
        <v>1</v>
      </c>
      <c r="S845" s="318">
        <f t="shared" si="363"/>
        <v>4.49</v>
      </c>
      <c r="T845" s="319"/>
      <c r="V845" s="328">
        <f t="shared" si="365"/>
        <v>4.49</v>
      </c>
      <c r="W845" s="320">
        <v>1</v>
      </c>
      <c r="X845" s="328">
        <f t="shared" si="359"/>
        <v>4.49</v>
      </c>
      <c r="Y845" s="464">
        <v>1</v>
      </c>
      <c r="Z845" s="328">
        <f t="shared" si="360"/>
        <v>4.49</v>
      </c>
      <c r="AB845" s="458">
        <f t="shared" si="361"/>
        <v>0</v>
      </c>
      <c r="AC845" s="348">
        <f t="shared" si="362"/>
        <v>0</v>
      </c>
    </row>
    <row r="846" spans="1:29" ht="14.4" customHeight="1">
      <c r="A846" s="318"/>
      <c r="B846" s="319"/>
      <c r="C846" s="318"/>
      <c r="D846" s="318"/>
      <c r="E846" s="319"/>
      <c r="F846" s="336"/>
      <c r="G846" s="318" t="s">
        <v>2168</v>
      </c>
      <c r="H846" s="328">
        <v>4.49</v>
      </c>
      <c r="I846" s="318">
        <v>1</v>
      </c>
      <c r="J846" s="318">
        <f t="shared" si="354"/>
        <v>1</v>
      </c>
      <c r="K846" s="328">
        <f t="shared" si="355"/>
        <v>4.49</v>
      </c>
      <c r="L846" s="318">
        <v>1672</v>
      </c>
      <c r="M846" s="318">
        <v>152</v>
      </c>
      <c r="N846" s="318">
        <v>1</v>
      </c>
      <c r="O846" s="621">
        <f t="shared" si="356"/>
        <v>4.49</v>
      </c>
      <c r="P846" s="755">
        <v>1</v>
      </c>
      <c r="Q846" s="755">
        <f t="shared" si="357"/>
        <v>0</v>
      </c>
      <c r="R846" s="341">
        <v>1</v>
      </c>
      <c r="S846" s="318">
        <f t="shared" si="363"/>
        <v>4.49</v>
      </c>
      <c r="T846" s="388"/>
      <c r="V846" s="328">
        <f t="shared" si="365"/>
        <v>4.49</v>
      </c>
      <c r="W846" s="320">
        <v>1</v>
      </c>
      <c r="X846" s="328">
        <f t="shared" si="359"/>
        <v>4.49</v>
      </c>
      <c r="Y846" s="464">
        <v>1</v>
      </c>
      <c r="Z846" s="328">
        <f t="shared" si="360"/>
        <v>4.49</v>
      </c>
      <c r="AB846" s="458">
        <f t="shared" si="361"/>
        <v>0</v>
      </c>
      <c r="AC846" s="348">
        <f t="shared" si="362"/>
        <v>0</v>
      </c>
    </row>
    <row r="847" spans="1:29">
      <c r="A847" s="318"/>
      <c r="B847" s="319"/>
      <c r="C847" s="318"/>
      <c r="D847" s="318"/>
      <c r="E847" s="319"/>
      <c r="F847" s="336"/>
      <c r="G847" s="318" t="s">
        <v>2169</v>
      </c>
      <c r="H847" s="328">
        <v>4.49</v>
      </c>
      <c r="I847" s="318">
        <v>1</v>
      </c>
      <c r="J847" s="318">
        <f t="shared" si="354"/>
        <v>1</v>
      </c>
      <c r="K847" s="328">
        <f t="shared" si="355"/>
        <v>4.49</v>
      </c>
      <c r="L847" s="318">
        <v>1655</v>
      </c>
      <c r="M847" s="318" t="s">
        <v>355</v>
      </c>
      <c r="N847" s="318">
        <v>1</v>
      </c>
      <c r="O847" s="621">
        <f t="shared" si="356"/>
        <v>4.49</v>
      </c>
      <c r="P847" s="755">
        <v>1</v>
      </c>
      <c r="Q847" s="755">
        <f t="shared" si="357"/>
        <v>0</v>
      </c>
      <c r="R847" s="341">
        <v>1</v>
      </c>
      <c r="S847" s="318">
        <f t="shared" si="363"/>
        <v>4.49</v>
      </c>
      <c r="T847" s="388"/>
      <c r="V847" s="328">
        <f t="shared" si="365"/>
        <v>4.49</v>
      </c>
      <c r="W847" s="320">
        <v>1</v>
      </c>
      <c r="X847" s="328">
        <f t="shared" si="359"/>
        <v>4.49</v>
      </c>
      <c r="Y847" s="464">
        <v>1</v>
      </c>
      <c r="Z847" s="328">
        <f t="shared" si="360"/>
        <v>4.49</v>
      </c>
      <c r="AB847" s="458">
        <f t="shared" si="361"/>
        <v>0</v>
      </c>
      <c r="AC847" s="348">
        <f t="shared" si="362"/>
        <v>0</v>
      </c>
    </row>
    <row r="848" spans="1:29">
      <c r="A848" s="318"/>
      <c r="B848" s="319"/>
      <c r="C848" s="318"/>
      <c r="D848" s="318"/>
      <c r="E848" s="319"/>
      <c r="F848" s="336"/>
      <c r="G848" s="318" t="s">
        <v>2170</v>
      </c>
      <c r="H848" s="328">
        <v>4.49</v>
      </c>
      <c r="I848" s="318">
        <v>1</v>
      </c>
      <c r="J848" s="318">
        <f t="shared" si="354"/>
        <v>1</v>
      </c>
      <c r="K848" s="328">
        <f t="shared" si="355"/>
        <v>4.49</v>
      </c>
      <c r="L848" s="318">
        <v>1672</v>
      </c>
      <c r="M848" s="318">
        <v>152</v>
      </c>
      <c r="N848" s="318">
        <v>1</v>
      </c>
      <c r="O848" s="621">
        <f t="shared" si="356"/>
        <v>4.49</v>
      </c>
      <c r="P848" s="755">
        <v>1</v>
      </c>
      <c r="Q848" s="755">
        <f t="shared" si="357"/>
        <v>0</v>
      </c>
      <c r="R848" s="341">
        <v>1</v>
      </c>
      <c r="S848" s="318">
        <f t="shared" si="363"/>
        <v>4.49</v>
      </c>
      <c r="T848" s="388"/>
      <c r="V848" s="328">
        <f t="shared" si="365"/>
        <v>4.49</v>
      </c>
      <c r="W848" s="320">
        <v>1</v>
      </c>
      <c r="X848" s="328">
        <f t="shared" si="359"/>
        <v>4.49</v>
      </c>
      <c r="Y848" s="464">
        <v>1</v>
      </c>
      <c r="Z848" s="328">
        <f t="shared" si="360"/>
        <v>4.49</v>
      </c>
      <c r="AB848" s="458">
        <f t="shared" si="361"/>
        <v>0</v>
      </c>
      <c r="AC848" s="348">
        <f t="shared" si="362"/>
        <v>0</v>
      </c>
    </row>
    <row r="849" spans="1:29">
      <c r="A849" s="318"/>
      <c r="B849" s="319"/>
      <c r="C849" s="318"/>
      <c r="D849" s="318"/>
      <c r="E849" s="319"/>
      <c r="F849" s="336"/>
      <c r="G849" s="318" t="s">
        <v>2171</v>
      </c>
      <c r="H849" s="328">
        <v>4.49</v>
      </c>
      <c r="I849" s="318">
        <v>1</v>
      </c>
      <c r="J849" s="318">
        <f t="shared" si="354"/>
        <v>1</v>
      </c>
      <c r="K849" s="328">
        <f t="shared" si="355"/>
        <v>4.49</v>
      </c>
      <c r="L849" s="318">
        <v>1672</v>
      </c>
      <c r="M849" s="318">
        <v>152</v>
      </c>
      <c r="N849" s="318">
        <v>1</v>
      </c>
      <c r="O849" s="621">
        <f t="shared" si="356"/>
        <v>4.49</v>
      </c>
      <c r="P849" s="755">
        <v>1</v>
      </c>
      <c r="Q849" s="755">
        <f t="shared" si="357"/>
        <v>0</v>
      </c>
      <c r="R849" s="341">
        <v>1</v>
      </c>
      <c r="S849" s="318">
        <f t="shared" si="363"/>
        <v>4.49</v>
      </c>
      <c r="T849" s="388"/>
      <c r="V849" s="328">
        <f t="shared" si="365"/>
        <v>4.49</v>
      </c>
      <c r="W849" s="320">
        <v>1</v>
      </c>
      <c r="X849" s="328">
        <f t="shared" si="359"/>
        <v>4.49</v>
      </c>
      <c r="Y849" s="464">
        <v>1</v>
      </c>
      <c r="Z849" s="328">
        <f t="shared" si="360"/>
        <v>4.49</v>
      </c>
      <c r="AB849" s="458">
        <f t="shared" si="361"/>
        <v>0</v>
      </c>
      <c r="AC849" s="348">
        <f t="shared" si="362"/>
        <v>0</v>
      </c>
    </row>
    <row r="850" spans="1:29">
      <c r="A850" s="318"/>
      <c r="B850" s="319"/>
      <c r="C850" s="318"/>
      <c r="D850" s="318"/>
      <c r="E850" s="319"/>
      <c r="F850" s="336"/>
      <c r="G850" s="318" t="s">
        <v>2172</v>
      </c>
      <c r="H850" s="328">
        <v>4.49</v>
      </c>
      <c r="I850" s="318">
        <v>1</v>
      </c>
      <c r="J850" s="318">
        <f t="shared" si="354"/>
        <v>1</v>
      </c>
      <c r="K850" s="328">
        <f t="shared" si="355"/>
        <v>4.49</v>
      </c>
      <c r="L850" s="318">
        <v>1655</v>
      </c>
      <c r="M850" s="318" t="s">
        <v>355</v>
      </c>
      <c r="N850" s="318">
        <v>1</v>
      </c>
      <c r="O850" s="621">
        <f t="shared" si="356"/>
        <v>4.49</v>
      </c>
      <c r="P850" s="755">
        <v>1</v>
      </c>
      <c r="Q850" s="755">
        <f t="shared" si="357"/>
        <v>0</v>
      </c>
      <c r="R850" s="341">
        <v>1</v>
      </c>
      <c r="S850" s="318">
        <f t="shared" si="363"/>
        <v>4.49</v>
      </c>
      <c r="T850" s="388"/>
      <c r="V850" s="328">
        <f t="shared" si="365"/>
        <v>4.49</v>
      </c>
      <c r="W850" s="320">
        <v>1</v>
      </c>
      <c r="X850" s="328">
        <f t="shared" si="359"/>
        <v>4.49</v>
      </c>
      <c r="Y850" s="464">
        <v>1</v>
      </c>
      <c r="Z850" s="328">
        <f t="shared" si="360"/>
        <v>4.49</v>
      </c>
      <c r="AB850" s="458">
        <f t="shared" si="361"/>
        <v>0</v>
      </c>
      <c r="AC850" s="348">
        <f t="shared" si="362"/>
        <v>0</v>
      </c>
    </row>
    <row r="851" spans="1:29">
      <c r="A851" s="318"/>
      <c r="B851" s="319"/>
      <c r="C851" s="318"/>
      <c r="D851" s="318"/>
      <c r="E851" s="319"/>
      <c r="F851" s="336" t="s">
        <v>2123</v>
      </c>
      <c r="G851" s="318" t="s">
        <v>2173</v>
      </c>
      <c r="H851" s="328">
        <v>4.72</v>
      </c>
      <c r="I851" s="318">
        <v>1</v>
      </c>
      <c r="J851" s="318">
        <v>1</v>
      </c>
      <c r="K851" s="328">
        <f t="shared" si="355"/>
        <v>4.72</v>
      </c>
      <c r="L851" s="318"/>
      <c r="M851" s="318"/>
      <c r="N851" s="318">
        <v>1</v>
      </c>
      <c r="O851" s="621">
        <f t="shared" si="356"/>
        <v>4.72</v>
      </c>
      <c r="P851" s="755">
        <v>1</v>
      </c>
      <c r="Q851" s="755">
        <f t="shared" si="357"/>
        <v>0</v>
      </c>
      <c r="R851" s="341">
        <v>1</v>
      </c>
      <c r="S851" s="318">
        <f t="shared" si="363"/>
        <v>4.72</v>
      </c>
      <c r="T851" s="609" t="s">
        <v>3464</v>
      </c>
      <c r="V851" s="328">
        <f t="shared" si="365"/>
        <v>4.49</v>
      </c>
      <c r="W851" s="320"/>
      <c r="X851" s="328">
        <f t="shared" si="359"/>
        <v>0</v>
      </c>
      <c r="Y851" s="320"/>
      <c r="Z851" s="328">
        <f t="shared" si="360"/>
        <v>0</v>
      </c>
      <c r="AB851" s="458">
        <f t="shared" si="361"/>
        <v>-4.72</v>
      </c>
      <c r="AC851" s="348">
        <f t="shared" si="362"/>
        <v>-4.72</v>
      </c>
    </row>
    <row r="852" spans="1:29" collapsed="1">
      <c r="A852" s="584"/>
      <c r="B852" s="585"/>
      <c r="C852" s="584"/>
      <c r="D852" s="584"/>
      <c r="E852" s="585"/>
      <c r="F852" s="589"/>
      <c r="G852" s="584" t="s">
        <v>454</v>
      </c>
      <c r="H852" s="587"/>
      <c r="I852" s="584"/>
      <c r="J852" s="584"/>
      <c r="K852" s="584"/>
      <c r="L852" s="584"/>
      <c r="M852" s="584"/>
      <c r="N852" s="584"/>
      <c r="O852" s="634" t="s">
        <v>2321</v>
      </c>
      <c r="P852" s="766"/>
      <c r="Q852" s="766"/>
      <c r="R852" s="590"/>
      <c r="S852" s="588" t="s">
        <v>2321</v>
      </c>
      <c r="T852" s="1035" t="s">
        <v>1456</v>
      </c>
      <c r="V852" s="328"/>
      <c r="W852" s="320"/>
      <c r="X852" s="387" t="s">
        <v>2321</v>
      </c>
      <c r="Y852" s="320"/>
      <c r="Z852" s="387" t="s">
        <v>2321</v>
      </c>
      <c r="AB852" s="458"/>
      <c r="AC852" s="384"/>
    </row>
    <row r="853" spans="1:29">
      <c r="A853" s="584"/>
      <c r="B853" s="585"/>
      <c r="C853" s="584"/>
      <c r="D853" s="584"/>
      <c r="E853" s="585"/>
      <c r="F853" s="589"/>
      <c r="G853" s="584" t="s">
        <v>455</v>
      </c>
      <c r="H853" s="587"/>
      <c r="I853" s="584"/>
      <c r="J853" s="584"/>
      <c r="K853" s="584"/>
      <c r="L853" s="584"/>
      <c r="M853" s="584"/>
      <c r="N853" s="584"/>
      <c r="O853" s="634" t="s">
        <v>2321</v>
      </c>
      <c r="P853" s="766"/>
      <c r="Q853" s="766"/>
      <c r="R853" s="590"/>
      <c r="S853" s="588" t="s">
        <v>2321</v>
      </c>
      <c r="T853" s="1035"/>
      <c r="V853" s="328"/>
      <c r="W853" s="320"/>
      <c r="X853" s="387" t="s">
        <v>2321</v>
      </c>
      <c r="Y853" s="320"/>
      <c r="Z853" s="387" t="s">
        <v>2321</v>
      </c>
      <c r="AB853" s="458"/>
      <c r="AC853" s="384"/>
    </row>
    <row r="854" spans="1:29">
      <c r="A854" s="584"/>
      <c r="B854" s="585"/>
      <c r="C854" s="584"/>
      <c r="D854" s="584"/>
      <c r="E854" s="585"/>
      <c r="F854" s="589"/>
      <c r="G854" s="584" t="s">
        <v>456</v>
      </c>
      <c r="H854" s="587"/>
      <c r="I854" s="584"/>
      <c r="J854" s="584"/>
      <c r="K854" s="584"/>
      <c r="L854" s="584"/>
      <c r="M854" s="584"/>
      <c r="N854" s="584"/>
      <c r="O854" s="634" t="s">
        <v>2321</v>
      </c>
      <c r="P854" s="766"/>
      <c r="Q854" s="766"/>
      <c r="R854" s="590"/>
      <c r="S854" s="588" t="s">
        <v>2321</v>
      </c>
      <c r="T854" s="1035"/>
      <c r="V854" s="328"/>
      <c r="W854" s="320"/>
      <c r="X854" s="387" t="s">
        <v>2321</v>
      </c>
      <c r="Y854" s="320"/>
      <c r="Z854" s="387" t="s">
        <v>2321</v>
      </c>
      <c r="AB854" s="458"/>
      <c r="AC854" s="384"/>
    </row>
    <row r="855" spans="1:29">
      <c r="A855" s="584"/>
      <c r="B855" s="585"/>
      <c r="C855" s="584"/>
      <c r="D855" s="584"/>
      <c r="E855" s="585"/>
      <c r="F855" s="589"/>
      <c r="G855" s="584" t="s">
        <v>457</v>
      </c>
      <c r="H855" s="587"/>
      <c r="I855" s="584"/>
      <c r="J855" s="584"/>
      <c r="K855" s="584"/>
      <c r="L855" s="584"/>
      <c r="M855" s="584"/>
      <c r="N855" s="584"/>
      <c r="O855" s="634" t="s">
        <v>2321</v>
      </c>
      <c r="P855" s="766"/>
      <c r="Q855" s="766"/>
      <c r="R855" s="590"/>
      <c r="S855" s="588" t="s">
        <v>2321</v>
      </c>
      <c r="T855" s="1035"/>
      <c r="V855" s="328"/>
      <c r="W855" s="320"/>
      <c r="X855" s="387" t="s">
        <v>2321</v>
      </c>
      <c r="Y855" s="320"/>
      <c r="Z855" s="387" t="s">
        <v>2321</v>
      </c>
      <c r="AB855" s="458"/>
      <c r="AC855" s="384"/>
    </row>
    <row r="856" spans="1:29">
      <c r="A856" s="318"/>
      <c r="B856" s="319"/>
      <c r="C856" s="318"/>
      <c r="D856" s="318"/>
      <c r="E856" s="319"/>
      <c r="F856" s="336" t="s">
        <v>2123</v>
      </c>
      <c r="G856" s="318" t="s">
        <v>2174</v>
      </c>
      <c r="H856" s="328">
        <v>4.72</v>
      </c>
      <c r="I856" s="318">
        <v>1</v>
      </c>
      <c r="J856" s="318">
        <v>1</v>
      </c>
      <c r="K856" s="328">
        <f>H856*J856</f>
        <v>4.72</v>
      </c>
      <c r="L856" s="318"/>
      <c r="M856" s="318"/>
      <c r="N856" s="318">
        <v>1</v>
      </c>
      <c r="O856" s="621">
        <f t="shared" si="356"/>
        <v>4.72</v>
      </c>
      <c r="P856" s="755">
        <v>1</v>
      </c>
      <c r="Q856" s="755">
        <f t="shared" ref="Q856:Q859" si="366">R856-P856</f>
        <v>0</v>
      </c>
      <c r="R856" s="341">
        <v>1</v>
      </c>
      <c r="S856" s="318">
        <f t="shared" ref="S856" si="367">H856*R856</f>
        <v>4.72</v>
      </c>
      <c r="T856" s="609" t="s">
        <v>3464</v>
      </c>
      <c r="V856" s="328">
        <f t="shared" si="365"/>
        <v>4.49</v>
      </c>
      <c r="W856" s="320"/>
      <c r="X856" s="328">
        <f>V856*W856</f>
        <v>0</v>
      </c>
      <c r="Y856" s="320"/>
      <c r="Z856" s="328">
        <f>V856*Y856</f>
        <v>0</v>
      </c>
      <c r="AB856" s="458">
        <f>X856-O856</f>
        <v>-4.72</v>
      </c>
      <c r="AC856" s="348">
        <f>Z856-S856</f>
        <v>-4.72</v>
      </c>
    </row>
    <row r="857" spans="1:29">
      <c r="A857" s="318"/>
      <c r="B857" s="319"/>
      <c r="C857" s="318"/>
      <c r="D857" s="318"/>
      <c r="E857" s="319"/>
      <c r="F857" s="336"/>
      <c r="G857" s="318" t="s">
        <v>2175</v>
      </c>
      <c r="H857" s="328">
        <v>4.49</v>
      </c>
      <c r="I857" s="318">
        <v>1</v>
      </c>
      <c r="J857" s="318">
        <f>IF(N857&gt;0,1,0)</f>
        <v>1</v>
      </c>
      <c r="K857" s="328">
        <f>H857*J857</f>
        <v>4.49</v>
      </c>
      <c r="L857" s="318">
        <v>1672</v>
      </c>
      <c r="M857" s="318">
        <v>152</v>
      </c>
      <c r="N857" s="318">
        <v>1</v>
      </c>
      <c r="O857" s="621">
        <f t="shared" si="356"/>
        <v>4.49</v>
      </c>
      <c r="P857" s="755">
        <v>1</v>
      </c>
      <c r="Q857" s="755">
        <f t="shared" si="366"/>
        <v>0</v>
      </c>
      <c r="R857" s="341">
        <v>1</v>
      </c>
      <c r="S857" s="318">
        <f t="shared" ref="S857:S859" si="368">H857*R857</f>
        <v>4.49</v>
      </c>
      <c r="T857" s="388"/>
      <c r="V857" s="328">
        <f t="shared" si="365"/>
        <v>4.49</v>
      </c>
      <c r="W857" s="320"/>
      <c r="X857" s="328">
        <f>V857*W857</f>
        <v>0</v>
      </c>
      <c r="Y857" s="464"/>
      <c r="Z857" s="328">
        <f>V857*Y857</f>
        <v>0</v>
      </c>
      <c r="AB857" s="458">
        <f>X857-O857</f>
        <v>-4.49</v>
      </c>
      <c r="AC857" s="348">
        <f>Z857-S857</f>
        <v>-4.49</v>
      </c>
    </row>
    <row r="858" spans="1:29">
      <c r="A858" s="318"/>
      <c r="B858" s="319"/>
      <c r="C858" s="318"/>
      <c r="D858" s="318"/>
      <c r="E858" s="319"/>
      <c r="F858" s="336"/>
      <c r="G858" s="318" t="s">
        <v>2176</v>
      </c>
      <c r="H858" s="328">
        <v>0.84</v>
      </c>
      <c r="I858" s="318">
        <v>1</v>
      </c>
      <c r="J858" s="318">
        <f>IF(N858&gt;0,1,0)</f>
        <v>1</v>
      </c>
      <c r="K858" s="328">
        <f>H858*J858</f>
        <v>0.84</v>
      </c>
      <c r="L858" s="350" t="s">
        <v>2887</v>
      </c>
      <c r="M858" s="350" t="s">
        <v>2886</v>
      </c>
      <c r="N858" s="318">
        <v>1</v>
      </c>
      <c r="O858" s="621">
        <f t="shared" si="356"/>
        <v>0.84</v>
      </c>
      <c r="P858" s="755">
        <v>1</v>
      </c>
      <c r="Q858" s="755">
        <f t="shared" si="366"/>
        <v>0</v>
      </c>
      <c r="R858" s="341">
        <v>1</v>
      </c>
      <c r="S858" s="318">
        <f t="shared" si="368"/>
        <v>0.84</v>
      </c>
      <c r="T858" s="388"/>
      <c r="V858" s="328">
        <f>1.15</f>
        <v>1.1499999999999999</v>
      </c>
      <c r="W858" s="320"/>
      <c r="X858" s="328">
        <f>V858*W858</f>
        <v>0</v>
      </c>
      <c r="Y858" s="464"/>
      <c r="Z858" s="328">
        <f>V858*Y858</f>
        <v>0</v>
      </c>
      <c r="AB858" s="458">
        <f>X858-O858</f>
        <v>-0.84</v>
      </c>
      <c r="AC858" s="348">
        <f>Z858-S858</f>
        <v>-0.84</v>
      </c>
    </row>
    <row r="859" spans="1:29">
      <c r="A859" s="318"/>
      <c r="B859" s="319"/>
      <c r="C859" s="318"/>
      <c r="D859" s="318"/>
      <c r="E859" s="319"/>
      <c r="F859" s="336"/>
      <c r="G859" s="318" t="s">
        <v>2177</v>
      </c>
      <c r="H859" s="328">
        <v>1.74</v>
      </c>
      <c r="I859" s="318">
        <v>1</v>
      </c>
      <c r="J859" s="318">
        <f>IF(N859&gt;0,1,0)</f>
        <v>1</v>
      </c>
      <c r="K859" s="328">
        <f>H859*J859</f>
        <v>1.74</v>
      </c>
      <c r="L859" s="318"/>
      <c r="M859" s="318"/>
      <c r="N859" s="318">
        <v>1</v>
      </c>
      <c r="O859" s="621">
        <f t="shared" si="356"/>
        <v>1.74</v>
      </c>
      <c r="P859" s="755">
        <v>1</v>
      </c>
      <c r="Q859" s="755">
        <f t="shared" si="366"/>
        <v>0</v>
      </c>
      <c r="R859" s="341">
        <v>1</v>
      </c>
      <c r="S859" s="318">
        <f t="shared" si="368"/>
        <v>1.74</v>
      </c>
      <c r="T859" s="388"/>
      <c r="V859" s="328">
        <v>1.39</v>
      </c>
      <c r="W859" s="320"/>
      <c r="X859" s="328">
        <f>V859*W859</f>
        <v>0</v>
      </c>
      <c r="Y859" s="464"/>
      <c r="Z859" s="328">
        <f>V859*Y859</f>
        <v>0</v>
      </c>
      <c r="AB859" s="458">
        <f>X859-O859</f>
        <v>-1.74</v>
      </c>
      <c r="AC859" s="348">
        <f>Z859-S859</f>
        <v>-1.74</v>
      </c>
    </row>
    <row r="860" spans="1:29">
      <c r="A860" s="318"/>
      <c r="B860" s="319"/>
      <c r="C860" s="318"/>
      <c r="D860" s="318"/>
      <c r="E860" s="319"/>
      <c r="F860" s="319"/>
      <c r="G860" s="318"/>
      <c r="H860" s="318"/>
      <c r="I860" s="318"/>
      <c r="J860" s="382" t="s">
        <v>389</v>
      </c>
      <c r="K860" s="338">
        <f>SUM(K823:K859)</f>
        <v>131.04</v>
      </c>
      <c r="L860" s="318"/>
      <c r="M860" s="318"/>
      <c r="N860" s="382" t="s">
        <v>389</v>
      </c>
      <c r="O860" s="759">
        <f>SUM(O823:O859)</f>
        <v>131.04</v>
      </c>
      <c r="P860" s="751" t="s">
        <v>389</v>
      </c>
      <c r="Q860" s="751"/>
      <c r="R860" s="382"/>
      <c r="S860" s="338">
        <f>SUM(S823:S859)</f>
        <v>131.04</v>
      </c>
      <c r="T860" s="323"/>
      <c r="V860" s="318"/>
      <c r="W860" s="321" t="s">
        <v>389</v>
      </c>
      <c r="X860" s="338">
        <f>SUM(X823:X859)</f>
        <v>113.31999999999996</v>
      </c>
      <c r="Y860" s="321" t="s">
        <v>389</v>
      </c>
      <c r="Z860" s="338">
        <f>SUM(Z823:Z859)</f>
        <v>113.31999999999996</v>
      </c>
      <c r="AB860" s="338"/>
      <c r="AC860" s="338"/>
    </row>
    <row r="861" spans="1:29" ht="6.75" customHeight="1">
      <c r="A861" s="316"/>
      <c r="B861" s="317"/>
      <c r="C861" s="316"/>
      <c r="D861" s="316"/>
      <c r="E861" s="317"/>
      <c r="F861" s="317"/>
      <c r="G861" s="316"/>
      <c r="H861" s="316"/>
      <c r="I861" s="316"/>
      <c r="J861" s="316"/>
      <c r="K861" s="316"/>
      <c r="L861" s="316"/>
      <c r="M861" s="316"/>
      <c r="N861" s="316"/>
      <c r="O861" s="749"/>
      <c r="P861" s="752"/>
      <c r="Q861" s="752"/>
      <c r="R861" s="316"/>
      <c r="S861" s="316"/>
      <c r="T861" s="317"/>
      <c r="V861" s="316"/>
      <c r="W861" s="316"/>
      <c r="X861" s="316"/>
      <c r="Y861" s="316"/>
      <c r="Z861" s="316"/>
      <c r="AB861" s="339"/>
      <c r="AC861" s="339"/>
    </row>
    <row r="862" spans="1:29">
      <c r="A862" s="318">
        <v>21</v>
      </c>
      <c r="B862" s="319" t="s">
        <v>383</v>
      </c>
      <c r="C862" s="318">
        <v>600</v>
      </c>
      <c r="D862" s="318">
        <v>28</v>
      </c>
      <c r="E862" s="319">
        <v>1</v>
      </c>
      <c r="F862" s="336"/>
      <c r="G862" s="318" t="s">
        <v>2178</v>
      </c>
      <c r="H862" s="328">
        <v>4.1100000000000003</v>
      </c>
      <c r="I862" s="318">
        <v>1</v>
      </c>
      <c r="J862" s="318">
        <f t="shared" ref="J862:J913" si="369">IF(N862&gt;0,1,0)</f>
        <v>1</v>
      </c>
      <c r="K862" s="328">
        <f t="shared" ref="K862:K913" si="370">H862*J862</f>
        <v>4.1100000000000003</v>
      </c>
      <c r="L862" s="318">
        <v>1951</v>
      </c>
      <c r="M862" s="318">
        <v>178</v>
      </c>
      <c r="N862" s="318">
        <v>1</v>
      </c>
      <c r="O862" s="621">
        <f t="shared" ref="O862:O913" si="371">H862*N862</f>
        <v>4.1100000000000003</v>
      </c>
      <c r="P862" s="755">
        <v>1</v>
      </c>
      <c r="Q862" s="755">
        <f t="shared" ref="Q862:Q888" si="372">R862-P862</f>
        <v>0</v>
      </c>
      <c r="R862" s="341">
        <v>1</v>
      </c>
      <c r="S862" s="318">
        <f t="shared" ref="S862" si="373">H862*R862</f>
        <v>4.1100000000000003</v>
      </c>
      <c r="T862" s="609" t="s">
        <v>3344</v>
      </c>
      <c r="V862" s="328">
        <v>4.0990000000000002</v>
      </c>
      <c r="W862" s="320">
        <v>0.5</v>
      </c>
      <c r="X862" s="328">
        <f t="shared" ref="X862:X893" si="374">V862*W862</f>
        <v>2.0495000000000001</v>
      </c>
      <c r="Y862" s="320"/>
      <c r="Z862" s="328">
        <f t="shared" ref="Z862:Z893" si="375">V862*Y862</f>
        <v>0</v>
      </c>
      <c r="AB862" s="458">
        <f t="shared" ref="AB862:AB893" si="376">X862-O862</f>
        <v>-2.0605000000000002</v>
      </c>
      <c r="AC862" s="348">
        <f t="shared" ref="AC862:AC913" si="377">Z862-S862</f>
        <v>-4.1100000000000003</v>
      </c>
    </row>
    <row r="863" spans="1:29">
      <c r="A863" s="318"/>
      <c r="B863" s="319"/>
      <c r="C863" s="318"/>
      <c r="D863" s="318"/>
      <c r="E863" s="319"/>
      <c r="F863" s="336"/>
      <c r="G863" s="318" t="s">
        <v>2179</v>
      </c>
      <c r="H863" s="328">
        <v>4.49</v>
      </c>
      <c r="I863" s="318">
        <v>1</v>
      </c>
      <c r="J863" s="318">
        <f t="shared" si="369"/>
        <v>1</v>
      </c>
      <c r="K863" s="328">
        <f t="shared" si="370"/>
        <v>4.49</v>
      </c>
      <c r="L863" s="318">
        <v>1951</v>
      </c>
      <c r="M863" s="318">
        <v>178</v>
      </c>
      <c r="N863" s="318">
        <v>1</v>
      </c>
      <c r="O863" s="621">
        <f t="shared" si="371"/>
        <v>4.49</v>
      </c>
      <c r="P863" s="755">
        <v>1</v>
      </c>
      <c r="Q863" s="755">
        <f t="shared" si="372"/>
        <v>0</v>
      </c>
      <c r="R863" s="341">
        <v>1</v>
      </c>
      <c r="S863" s="318">
        <f t="shared" ref="S863:S888" si="378">H863*R863</f>
        <v>4.49</v>
      </c>
      <c r="T863" s="607"/>
      <c r="V863" s="328">
        <v>4.49</v>
      </c>
      <c r="W863" s="320">
        <v>1</v>
      </c>
      <c r="X863" s="328">
        <f t="shared" si="374"/>
        <v>4.49</v>
      </c>
      <c r="Y863" s="320"/>
      <c r="Z863" s="328">
        <f t="shared" si="375"/>
        <v>0</v>
      </c>
      <c r="AB863" s="458">
        <f t="shared" si="376"/>
        <v>0</v>
      </c>
      <c r="AC863" s="348">
        <f t="shared" si="377"/>
        <v>-4.49</v>
      </c>
    </row>
    <row r="864" spans="1:29">
      <c r="A864" s="318"/>
      <c r="B864" s="319"/>
      <c r="C864" s="318"/>
      <c r="D864" s="318"/>
      <c r="E864" s="319"/>
      <c r="F864" s="319"/>
      <c r="G864" s="318" t="s">
        <v>2180</v>
      </c>
      <c r="H864" s="328">
        <v>4.49</v>
      </c>
      <c r="I864" s="318">
        <v>1</v>
      </c>
      <c r="J864" s="318">
        <f t="shared" si="369"/>
        <v>1</v>
      </c>
      <c r="K864" s="328">
        <f t="shared" si="370"/>
        <v>4.49</v>
      </c>
      <c r="L864" s="318">
        <v>1720</v>
      </c>
      <c r="M864" s="318">
        <v>159</v>
      </c>
      <c r="N864" s="318">
        <v>1</v>
      </c>
      <c r="O864" s="621">
        <f t="shared" si="371"/>
        <v>4.49</v>
      </c>
      <c r="P864" s="755">
        <v>1</v>
      </c>
      <c r="Q864" s="755">
        <f t="shared" si="372"/>
        <v>0</v>
      </c>
      <c r="R864" s="341">
        <v>1</v>
      </c>
      <c r="S864" s="318">
        <f t="shared" si="378"/>
        <v>4.49</v>
      </c>
      <c r="T864" s="319"/>
      <c r="V864" s="328">
        <v>4.49</v>
      </c>
      <c r="W864" s="320">
        <v>1</v>
      </c>
      <c r="X864" s="328">
        <f t="shared" si="374"/>
        <v>4.49</v>
      </c>
      <c r="Y864" s="464">
        <v>0.5</v>
      </c>
      <c r="Z864" s="328">
        <f t="shared" si="375"/>
        <v>2.2450000000000001</v>
      </c>
      <c r="AB864" s="458">
        <f t="shared" si="376"/>
        <v>0</v>
      </c>
      <c r="AC864" s="348">
        <f t="shared" si="377"/>
        <v>-2.2450000000000001</v>
      </c>
    </row>
    <row r="865" spans="1:29">
      <c r="A865" s="318"/>
      <c r="B865" s="319"/>
      <c r="C865" s="318"/>
      <c r="D865" s="318"/>
      <c r="E865" s="319"/>
      <c r="F865" s="319"/>
      <c r="G865" s="318" t="s">
        <v>2181</v>
      </c>
      <c r="H865" s="328">
        <v>4.49</v>
      </c>
      <c r="I865" s="318">
        <v>1</v>
      </c>
      <c r="J865" s="318">
        <f t="shared" si="369"/>
        <v>1</v>
      </c>
      <c r="K865" s="328">
        <f t="shared" si="370"/>
        <v>4.49</v>
      </c>
      <c r="L865" s="318">
        <v>1720</v>
      </c>
      <c r="M865" s="318">
        <v>159</v>
      </c>
      <c r="N865" s="318">
        <v>1</v>
      </c>
      <c r="O865" s="621">
        <f t="shared" si="371"/>
        <v>4.49</v>
      </c>
      <c r="P865" s="755">
        <v>1</v>
      </c>
      <c r="Q865" s="755">
        <f t="shared" si="372"/>
        <v>0</v>
      </c>
      <c r="R865" s="341">
        <v>1</v>
      </c>
      <c r="S865" s="318">
        <f t="shared" si="378"/>
        <v>4.49</v>
      </c>
      <c r="T865" s="319"/>
      <c r="V865" s="328">
        <v>4.49</v>
      </c>
      <c r="W865" s="320">
        <v>1</v>
      </c>
      <c r="X865" s="328">
        <f t="shared" si="374"/>
        <v>4.49</v>
      </c>
      <c r="Y865" s="464">
        <v>0.5</v>
      </c>
      <c r="Z865" s="328">
        <f t="shared" si="375"/>
        <v>2.2450000000000001</v>
      </c>
      <c r="AB865" s="458">
        <f t="shared" si="376"/>
        <v>0</v>
      </c>
      <c r="AC865" s="348">
        <f t="shared" si="377"/>
        <v>-2.2450000000000001</v>
      </c>
    </row>
    <row r="866" spans="1:29">
      <c r="A866" s="318"/>
      <c r="B866" s="319"/>
      <c r="C866" s="318"/>
      <c r="D866" s="318"/>
      <c r="E866" s="319"/>
      <c r="F866" s="319"/>
      <c r="G866" s="318" t="s">
        <v>2182</v>
      </c>
      <c r="H866" s="328">
        <v>4.49</v>
      </c>
      <c r="I866" s="318">
        <v>1</v>
      </c>
      <c r="J866" s="318">
        <f t="shared" si="369"/>
        <v>1</v>
      </c>
      <c r="K866" s="328">
        <f t="shared" si="370"/>
        <v>4.49</v>
      </c>
      <c r="L866" s="318">
        <v>1720</v>
      </c>
      <c r="M866" s="318">
        <v>159</v>
      </c>
      <c r="N866" s="318">
        <v>1</v>
      </c>
      <c r="O866" s="621">
        <f t="shared" si="371"/>
        <v>4.49</v>
      </c>
      <c r="P866" s="755">
        <v>1</v>
      </c>
      <c r="Q866" s="755">
        <f t="shared" si="372"/>
        <v>0</v>
      </c>
      <c r="R866" s="341">
        <v>1</v>
      </c>
      <c r="S866" s="318">
        <f t="shared" si="378"/>
        <v>4.49</v>
      </c>
      <c r="T866" s="607" t="s">
        <v>3342</v>
      </c>
      <c r="V866" s="328">
        <v>4.49</v>
      </c>
      <c r="W866" s="320">
        <v>1</v>
      </c>
      <c r="X866" s="328">
        <f t="shared" si="374"/>
        <v>4.49</v>
      </c>
      <c r="Y866" s="464">
        <v>0.5</v>
      </c>
      <c r="Z866" s="328">
        <f t="shared" si="375"/>
        <v>2.2450000000000001</v>
      </c>
      <c r="AB866" s="458">
        <f t="shared" si="376"/>
        <v>0</v>
      </c>
      <c r="AC866" s="348">
        <f t="shared" si="377"/>
        <v>-2.2450000000000001</v>
      </c>
    </row>
    <row r="867" spans="1:29">
      <c r="A867" s="318"/>
      <c r="B867" s="319"/>
      <c r="C867" s="318"/>
      <c r="D867" s="318"/>
      <c r="E867" s="319"/>
      <c r="F867" s="319"/>
      <c r="G867" s="318" t="s">
        <v>2183</v>
      </c>
      <c r="H867" s="328">
        <v>4.49</v>
      </c>
      <c r="I867" s="318">
        <v>1</v>
      </c>
      <c r="J867" s="318">
        <f t="shared" si="369"/>
        <v>1</v>
      </c>
      <c r="K867" s="328">
        <f t="shared" si="370"/>
        <v>4.49</v>
      </c>
      <c r="L867" s="318">
        <v>1706</v>
      </c>
      <c r="M867" s="318">
        <v>157</v>
      </c>
      <c r="N867" s="318">
        <v>1</v>
      </c>
      <c r="O867" s="621">
        <f t="shared" si="371"/>
        <v>4.49</v>
      </c>
      <c r="P867" s="755">
        <v>1</v>
      </c>
      <c r="Q867" s="755">
        <f t="shared" si="372"/>
        <v>0</v>
      </c>
      <c r="R867" s="341">
        <v>1</v>
      </c>
      <c r="S867" s="318">
        <f t="shared" si="378"/>
        <v>4.49</v>
      </c>
      <c r="T867" s="607" t="s">
        <v>3342</v>
      </c>
      <c r="V867" s="328">
        <v>4.49</v>
      </c>
      <c r="W867" s="320">
        <v>1</v>
      </c>
      <c r="X867" s="328">
        <f t="shared" si="374"/>
        <v>4.49</v>
      </c>
      <c r="Y867" s="464">
        <v>0.5</v>
      </c>
      <c r="Z867" s="328">
        <f t="shared" si="375"/>
        <v>2.2450000000000001</v>
      </c>
      <c r="AB867" s="458">
        <f t="shared" si="376"/>
        <v>0</v>
      </c>
      <c r="AC867" s="348">
        <f t="shared" si="377"/>
        <v>-2.2450000000000001</v>
      </c>
    </row>
    <row r="868" spans="1:29">
      <c r="A868" s="318"/>
      <c r="B868" s="319"/>
      <c r="C868" s="318"/>
      <c r="D868" s="318"/>
      <c r="E868" s="319"/>
      <c r="F868" s="319"/>
      <c r="G868" s="318" t="s">
        <v>2184</v>
      </c>
      <c r="H868" s="328">
        <v>4.49</v>
      </c>
      <c r="I868" s="318">
        <v>1</v>
      </c>
      <c r="J868" s="318">
        <f t="shared" si="369"/>
        <v>1</v>
      </c>
      <c r="K868" s="328">
        <f t="shared" si="370"/>
        <v>4.49</v>
      </c>
      <c r="L868" s="318">
        <v>1706</v>
      </c>
      <c r="M868" s="318">
        <v>157</v>
      </c>
      <c r="N868" s="318">
        <v>1</v>
      </c>
      <c r="O868" s="621">
        <f t="shared" si="371"/>
        <v>4.49</v>
      </c>
      <c r="P868" s="755">
        <v>1</v>
      </c>
      <c r="Q868" s="755">
        <f t="shared" si="372"/>
        <v>0</v>
      </c>
      <c r="R868" s="341">
        <v>1</v>
      </c>
      <c r="S868" s="318">
        <f t="shared" si="378"/>
        <v>4.49</v>
      </c>
      <c r="T868" s="607" t="s">
        <v>3343</v>
      </c>
      <c r="V868" s="328">
        <v>4.49</v>
      </c>
      <c r="W868" s="320"/>
      <c r="X868" s="328">
        <f t="shared" si="374"/>
        <v>0</v>
      </c>
      <c r="Y868" s="464"/>
      <c r="Z868" s="328">
        <f t="shared" si="375"/>
        <v>0</v>
      </c>
      <c r="AB868" s="458">
        <f t="shared" si="376"/>
        <v>-4.49</v>
      </c>
      <c r="AC868" s="348">
        <f t="shared" si="377"/>
        <v>-4.49</v>
      </c>
    </row>
    <row r="869" spans="1:29">
      <c r="A869" s="318"/>
      <c r="B869" s="319"/>
      <c r="C869" s="318"/>
      <c r="D869" s="318"/>
      <c r="E869" s="319"/>
      <c r="F869" s="319"/>
      <c r="G869" s="318" t="s">
        <v>2185</v>
      </c>
      <c r="H869" s="328">
        <v>4.49</v>
      </c>
      <c r="I869" s="318">
        <v>1</v>
      </c>
      <c r="J869" s="318">
        <f t="shared" si="369"/>
        <v>1</v>
      </c>
      <c r="K869" s="328">
        <f t="shared" si="370"/>
        <v>4.49</v>
      </c>
      <c r="L869" s="318">
        <v>1712</v>
      </c>
      <c r="M869" s="318">
        <v>159</v>
      </c>
      <c r="N869" s="318">
        <v>1</v>
      </c>
      <c r="O869" s="621">
        <f t="shared" si="371"/>
        <v>4.49</v>
      </c>
      <c r="P869" s="755">
        <v>1</v>
      </c>
      <c r="Q869" s="755">
        <f t="shared" si="372"/>
        <v>0</v>
      </c>
      <c r="R869" s="341">
        <v>1</v>
      </c>
      <c r="S869" s="318">
        <f t="shared" si="378"/>
        <v>4.49</v>
      </c>
      <c r="T869" s="607" t="s">
        <v>3343</v>
      </c>
      <c r="V869" s="328">
        <v>4.49</v>
      </c>
      <c r="W869" s="320">
        <v>1</v>
      </c>
      <c r="X869" s="328">
        <f t="shared" si="374"/>
        <v>4.49</v>
      </c>
      <c r="Y869" s="464"/>
      <c r="Z869" s="328">
        <f t="shared" si="375"/>
        <v>0</v>
      </c>
      <c r="AB869" s="458">
        <f t="shared" si="376"/>
        <v>0</v>
      </c>
      <c r="AC869" s="348">
        <f t="shared" si="377"/>
        <v>-4.49</v>
      </c>
    </row>
    <row r="870" spans="1:29">
      <c r="A870" s="318"/>
      <c r="B870" s="319"/>
      <c r="C870" s="318"/>
      <c r="D870" s="318"/>
      <c r="E870" s="319"/>
      <c r="F870" s="319"/>
      <c r="G870" s="318" t="s">
        <v>2186</v>
      </c>
      <c r="H870" s="328">
        <v>4.49</v>
      </c>
      <c r="I870" s="318">
        <v>1</v>
      </c>
      <c r="J870" s="318">
        <f t="shared" si="369"/>
        <v>1</v>
      </c>
      <c r="K870" s="328">
        <f t="shared" si="370"/>
        <v>4.49</v>
      </c>
      <c r="L870" s="318">
        <v>1712</v>
      </c>
      <c r="M870" s="318">
        <v>159</v>
      </c>
      <c r="N870" s="318">
        <v>1</v>
      </c>
      <c r="O870" s="621">
        <f t="shared" si="371"/>
        <v>4.49</v>
      </c>
      <c r="P870" s="755">
        <v>1</v>
      </c>
      <c r="Q870" s="755">
        <f t="shared" si="372"/>
        <v>0</v>
      </c>
      <c r="R870" s="341">
        <v>1</v>
      </c>
      <c r="S870" s="318">
        <f t="shared" si="378"/>
        <v>4.49</v>
      </c>
      <c r="T870" s="607" t="s">
        <v>3343</v>
      </c>
      <c r="V870" s="328">
        <v>4.49</v>
      </c>
      <c r="W870" s="320">
        <v>1</v>
      </c>
      <c r="X870" s="328">
        <f t="shared" si="374"/>
        <v>4.49</v>
      </c>
      <c r="Y870" s="464"/>
      <c r="Z870" s="328">
        <f t="shared" si="375"/>
        <v>0</v>
      </c>
      <c r="AB870" s="458">
        <f t="shared" si="376"/>
        <v>0</v>
      </c>
      <c r="AC870" s="348">
        <f t="shared" si="377"/>
        <v>-4.49</v>
      </c>
    </row>
    <row r="871" spans="1:29">
      <c r="A871" s="318"/>
      <c r="B871" s="319"/>
      <c r="C871" s="318"/>
      <c r="D871" s="318"/>
      <c r="E871" s="319"/>
      <c r="F871" s="319"/>
      <c r="G871" s="318" t="s">
        <v>2187</v>
      </c>
      <c r="H871" s="328">
        <v>4.49</v>
      </c>
      <c r="I871" s="318">
        <v>1</v>
      </c>
      <c r="J871" s="318">
        <f t="shared" si="369"/>
        <v>1</v>
      </c>
      <c r="K871" s="328">
        <f t="shared" si="370"/>
        <v>4.49</v>
      </c>
      <c r="L871" s="318">
        <v>1712</v>
      </c>
      <c r="M871" s="318">
        <v>159</v>
      </c>
      <c r="N871" s="318">
        <v>1</v>
      </c>
      <c r="O871" s="621">
        <f t="shared" si="371"/>
        <v>4.49</v>
      </c>
      <c r="P871" s="755">
        <v>1</v>
      </c>
      <c r="Q871" s="755">
        <f t="shared" si="372"/>
        <v>0</v>
      </c>
      <c r="R871" s="341">
        <v>1</v>
      </c>
      <c r="S871" s="318">
        <f t="shared" si="378"/>
        <v>4.49</v>
      </c>
      <c r="T871" s="607" t="s">
        <v>3343</v>
      </c>
      <c r="V871" s="328">
        <v>4.49</v>
      </c>
      <c r="W871" s="320">
        <v>0.5</v>
      </c>
      <c r="X871" s="328">
        <f t="shared" si="374"/>
        <v>2.2450000000000001</v>
      </c>
      <c r="Y871" s="464"/>
      <c r="Z871" s="328">
        <f t="shared" si="375"/>
        <v>0</v>
      </c>
      <c r="AB871" s="458">
        <f t="shared" si="376"/>
        <v>-2.2450000000000001</v>
      </c>
      <c r="AC871" s="348">
        <f t="shared" si="377"/>
        <v>-4.49</v>
      </c>
    </row>
    <row r="872" spans="1:29">
      <c r="A872" s="318"/>
      <c r="B872" s="319"/>
      <c r="C872" s="318"/>
      <c r="D872" s="318"/>
      <c r="E872" s="319"/>
      <c r="F872" s="336"/>
      <c r="G872" s="318" t="s">
        <v>2188</v>
      </c>
      <c r="H872" s="328">
        <v>4.49</v>
      </c>
      <c r="I872" s="318">
        <v>1</v>
      </c>
      <c r="J872" s="318">
        <f t="shared" si="369"/>
        <v>1</v>
      </c>
      <c r="K872" s="328">
        <f t="shared" si="370"/>
        <v>4.49</v>
      </c>
      <c r="L872" s="318">
        <v>1697</v>
      </c>
      <c r="M872" s="318">
        <v>156</v>
      </c>
      <c r="N872" s="318">
        <v>1</v>
      </c>
      <c r="O872" s="621">
        <f t="shared" si="371"/>
        <v>4.49</v>
      </c>
      <c r="P872" s="755">
        <v>1</v>
      </c>
      <c r="Q872" s="755">
        <f t="shared" si="372"/>
        <v>0</v>
      </c>
      <c r="R872" s="341">
        <v>1</v>
      </c>
      <c r="S872" s="318">
        <f t="shared" si="378"/>
        <v>4.49</v>
      </c>
      <c r="T872" s="319"/>
      <c r="V872" s="328">
        <v>4.49</v>
      </c>
      <c r="W872" s="320">
        <v>1</v>
      </c>
      <c r="X872" s="328">
        <f t="shared" si="374"/>
        <v>4.49</v>
      </c>
      <c r="Y872" s="464">
        <v>0.5</v>
      </c>
      <c r="Z872" s="328">
        <f t="shared" si="375"/>
        <v>2.2450000000000001</v>
      </c>
      <c r="AB872" s="458">
        <f t="shared" si="376"/>
        <v>0</v>
      </c>
      <c r="AC872" s="348">
        <f t="shared" si="377"/>
        <v>-2.2450000000000001</v>
      </c>
    </row>
    <row r="873" spans="1:29">
      <c r="A873" s="318"/>
      <c r="B873" s="319"/>
      <c r="C873" s="318"/>
      <c r="D873" s="318"/>
      <c r="E873" s="319"/>
      <c r="F873" s="336"/>
      <c r="G873" s="318" t="s">
        <v>2189</v>
      </c>
      <c r="H873" s="328">
        <v>4.49</v>
      </c>
      <c r="I873" s="318">
        <v>1</v>
      </c>
      <c r="J873" s="318">
        <f t="shared" si="369"/>
        <v>1</v>
      </c>
      <c r="K873" s="328">
        <f t="shared" si="370"/>
        <v>4.49</v>
      </c>
      <c r="L873" s="318">
        <v>1697</v>
      </c>
      <c r="M873" s="318">
        <v>156</v>
      </c>
      <c r="N873" s="318">
        <v>1</v>
      </c>
      <c r="O873" s="621">
        <f t="shared" si="371"/>
        <v>4.49</v>
      </c>
      <c r="P873" s="755">
        <v>1</v>
      </c>
      <c r="Q873" s="755">
        <f t="shared" si="372"/>
        <v>0</v>
      </c>
      <c r="R873" s="341">
        <v>1</v>
      </c>
      <c r="S873" s="318">
        <f t="shared" si="378"/>
        <v>4.49</v>
      </c>
      <c r="T873" s="319"/>
      <c r="V873" s="328">
        <v>4.49</v>
      </c>
      <c r="W873" s="320">
        <v>1</v>
      </c>
      <c r="X873" s="328">
        <f t="shared" si="374"/>
        <v>4.49</v>
      </c>
      <c r="Y873" s="464">
        <v>0.5</v>
      </c>
      <c r="Z873" s="328">
        <f t="shared" si="375"/>
        <v>2.2450000000000001</v>
      </c>
      <c r="AB873" s="458">
        <f t="shared" si="376"/>
        <v>0</v>
      </c>
      <c r="AC873" s="348">
        <f t="shared" si="377"/>
        <v>-2.2450000000000001</v>
      </c>
    </row>
    <row r="874" spans="1:29">
      <c r="A874" s="318"/>
      <c r="B874" s="319"/>
      <c r="C874" s="318"/>
      <c r="D874" s="318"/>
      <c r="E874" s="319"/>
      <c r="F874" s="319"/>
      <c r="G874" s="318" t="s">
        <v>2190</v>
      </c>
      <c r="H874" s="328">
        <v>4.49</v>
      </c>
      <c r="I874" s="318">
        <v>1</v>
      </c>
      <c r="J874" s="318">
        <f t="shared" si="369"/>
        <v>1</v>
      </c>
      <c r="K874" s="328">
        <f t="shared" si="370"/>
        <v>4.49</v>
      </c>
      <c r="L874" s="350" t="s">
        <v>2585</v>
      </c>
      <c r="M874" s="318">
        <v>156</v>
      </c>
      <c r="N874" s="318">
        <v>1</v>
      </c>
      <c r="O874" s="621">
        <f t="shared" si="371"/>
        <v>4.49</v>
      </c>
      <c r="P874" s="755">
        <v>1</v>
      </c>
      <c r="Q874" s="755">
        <f t="shared" si="372"/>
        <v>0</v>
      </c>
      <c r="R874" s="341">
        <v>1</v>
      </c>
      <c r="S874" s="318">
        <f t="shared" si="378"/>
        <v>4.49</v>
      </c>
      <c r="T874" s="319"/>
      <c r="V874" s="328">
        <v>4.49</v>
      </c>
      <c r="W874" s="320">
        <v>1</v>
      </c>
      <c r="X874" s="328">
        <f t="shared" si="374"/>
        <v>4.49</v>
      </c>
      <c r="Y874" s="464">
        <v>1</v>
      </c>
      <c r="Z874" s="328">
        <f t="shared" si="375"/>
        <v>4.49</v>
      </c>
      <c r="AB874" s="458">
        <f t="shared" si="376"/>
        <v>0</v>
      </c>
      <c r="AC874" s="348">
        <f t="shared" si="377"/>
        <v>0</v>
      </c>
    </row>
    <row r="875" spans="1:29">
      <c r="A875" s="318"/>
      <c r="B875" s="319"/>
      <c r="C875" s="318"/>
      <c r="D875" s="318"/>
      <c r="E875" s="319"/>
      <c r="F875" s="319"/>
      <c r="G875" s="318" t="s">
        <v>2191</v>
      </c>
      <c r="H875" s="328">
        <v>4.49</v>
      </c>
      <c r="I875" s="318">
        <v>1</v>
      </c>
      <c r="J875" s="318">
        <f t="shared" si="369"/>
        <v>1</v>
      </c>
      <c r="K875" s="328">
        <f t="shared" si="370"/>
        <v>4.49</v>
      </c>
      <c r="L875" s="318">
        <v>1697</v>
      </c>
      <c r="M875" s="318">
        <v>156</v>
      </c>
      <c r="N875" s="318">
        <v>1</v>
      </c>
      <c r="O875" s="621">
        <f t="shared" si="371"/>
        <v>4.49</v>
      </c>
      <c r="P875" s="755">
        <v>1</v>
      </c>
      <c r="Q875" s="755">
        <f t="shared" si="372"/>
        <v>0</v>
      </c>
      <c r="R875" s="341">
        <v>1</v>
      </c>
      <c r="S875" s="318">
        <f t="shared" si="378"/>
        <v>4.49</v>
      </c>
      <c r="T875" s="319"/>
      <c r="V875" s="328">
        <v>4.49</v>
      </c>
      <c r="W875" s="320">
        <v>1</v>
      </c>
      <c r="X875" s="328">
        <f t="shared" si="374"/>
        <v>4.49</v>
      </c>
      <c r="Y875" s="464">
        <v>1</v>
      </c>
      <c r="Z875" s="328">
        <f t="shared" si="375"/>
        <v>4.49</v>
      </c>
      <c r="AB875" s="458">
        <f t="shared" si="376"/>
        <v>0</v>
      </c>
      <c r="AC875" s="348">
        <f t="shared" si="377"/>
        <v>0</v>
      </c>
    </row>
    <row r="876" spans="1:29">
      <c r="A876" s="318"/>
      <c r="B876" s="319"/>
      <c r="C876" s="318"/>
      <c r="D876" s="318"/>
      <c r="E876" s="319"/>
      <c r="F876" s="319"/>
      <c r="G876" s="318" t="s">
        <v>2192</v>
      </c>
      <c r="H876" s="328">
        <v>4.49</v>
      </c>
      <c r="I876" s="318">
        <v>1</v>
      </c>
      <c r="J876" s="318">
        <f t="shared" si="369"/>
        <v>1</v>
      </c>
      <c r="K876" s="328">
        <f t="shared" si="370"/>
        <v>4.49</v>
      </c>
      <c r="L876" s="350" t="s">
        <v>2585</v>
      </c>
      <c r="M876" s="318">
        <v>156</v>
      </c>
      <c r="N876" s="318">
        <v>1</v>
      </c>
      <c r="O876" s="621">
        <f t="shared" si="371"/>
        <v>4.49</v>
      </c>
      <c r="P876" s="755">
        <v>1</v>
      </c>
      <c r="Q876" s="755">
        <f t="shared" si="372"/>
        <v>0</v>
      </c>
      <c r="R876" s="341">
        <v>1</v>
      </c>
      <c r="S876" s="318">
        <f t="shared" si="378"/>
        <v>4.49</v>
      </c>
      <c r="T876" s="319"/>
      <c r="V876" s="328">
        <v>4.49</v>
      </c>
      <c r="W876" s="320">
        <v>1</v>
      </c>
      <c r="X876" s="328">
        <f t="shared" si="374"/>
        <v>4.49</v>
      </c>
      <c r="Y876" s="464">
        <v>0.5</v>
      </c>
      <c r="Z876" s="328">
        <f t="shared" si="375"/>
        <v>2.2450000000000001</v>
      </c>
      <c r="AB876" s="458">
        <f t="shared" si="376"/>
        <v>0</v>
      </c>
      <c r="AC876" s="348">
        <f t="shared" si="377"/>
        <v>-2.2450000000000001</v>
      </c>
    </row>
    <row r="877" spans="1:29">
      <c r="A877" s="318"/>
      <c r="B877" s="319"/>
      <c r="C877" s="318"/>
      <c r="D877" s="318"/>
      <c r="E877" s="319"/>
      <c r="F877" s="319"/>
      <c r="G877" s="318" t="s">
        <v>2193</v>
      </c>
      <c r="H877" s="328">
        <v>4.49</v>
      </c>
      <c r="I877" s="318">
        <v>1</v>
      </c>
      <c r="J877" s="318">
        <f t="shared" si="369"/>
        <v>1</v>
      </c>
      <c r="K877" s="328">
        <f t="shared" si="370"/>
        <v>4.49</v>
      </c>
      <c r="L877" s="350" t="s">
        <v>2585</v>
      </c>
      <c r="M877" s="318">
        <v>156</v>
      </c>
      <c r="N877" s="318">
        <v>1</v>
      </c>
      <c r="O877" s="621">
        <f t="shared" si="371"/>
        <v>4.49</v>
      </c>
      <c r="P877" s="755">
        <v>1</v>
      </c>
      <c r="Q877" s="755">
        <f t="shared" si="372"/>
        <v>0</v>
      </c>
      <c r="R877" s="341">
        <v>1</v>
      </c>
      <c r="S877" s="318">
        <f t="shared" si="378"/>
        <v>4.49</v>
      </c>
      <c r="T877" s="319"/>
      <c r="V877" s="328">
        <v>4.49</v>
      </c>
      <c r="W877" s="320">
        <v>1</v>
      </c>
      <c r="X877" s="328">
        <f t="shared" si="374"/>
        <v>4.49</v>
      </c>
      <c r="Y877" s="464">
        <v>0.5</v>
      </c>
      <c r="Z877" s="328">
        <f t="shared" si="375"/>
        <v>2.2450000000000001</v>
      </c>
      <c r="AB877" s="458">
        <f t="shared" si="376"/>
        <v>0</v>
      </c>
      <c r="AC877" s="348">
        <f t="shared" si="377"/>
        <v>-2.2450000000000001</v>
      </c>
    </row>
    <row r="878" spans="1:29">
      <c r="A878" s="318"/>
      <c r="B878" s="319"/>
      <c r="C878" s="318"/>
      <c r="D878" s="318"/>
      <c r="E878" s="319"/>
      <c r="F878" s="336"/>
      <c r="G878" s="318" t="s">
        <v>2194</v>
      </c>
      <c r="H878" s="328">
        <v>4.49</v>
      </c>
      <c r="I878" s="318">
        <v>1</v>
      </c>
      <c r="J878" s="318">
        <f t="shared" si="369"/>
        <v>1</v>
      </c>
      <c r="K878" s="328">
        <f t="shared" si="370"/>
        <v>4.49</v>
      </c>
      <c r="L878" s="318">
        <v>1951</v>
      </c>
      <c r="M878" s="318">
        <v>178</v>
      </c>
      <c r="N878" s="318">
        <v>1</v>
      </c>
      <c r="O878" s="621">
        <f t="shared" si="371"/>
        <v>4.49</v>
      </c>
      <c r="P878" s="755">
        <v>1</v>
      </c>
      <c r="Q878" s="755">
        <f t="shared" si="372"/>
        <v>0</v>
      </c>
      <c r="R878" s="341">
        <v>1</v>
      </c>
      <c r="S878" s="318">
        <f t="shared" si="378"/>
        <v>4.49</v>
      </c>
      <c r="T878" s="319"/>
      <c r="V878" s="328">
        <v>4.49</v>
      </c>
      <c r="W878" s="320">
        <v>1</v>
      </c>
      <c r="X878" s="328">
        <f t="shared" si="374"/>
        <v>4.49</v>
      </c>
      <c r="Y878" s="464"/>
      <c r="Z878" s="328">
        <f t="shared" si="375"/>
        <v>0</v>
      </c>
      <c r="AB878" s="458">
        <f t="shared" si="376"/>
        <v>0</v>
      </c>
      <c r="AC878" s="348">
        <f t="shared" si="377"/>
        <v>-4.49</v>
      </c>
    </row>
    <row r="879" spans="1:29">
      <c r="A879" s="318"/>
      <c r="B879" s="319"/>
      <c r="C879" s="318"/>
      <c r="D879" s="318"/>
      <c r="E879" s="319"/>
      <c r="F879" s="336"/>
      <c r="G879" s="318" t="s">
        <v>2195</v>
      </c>
      <c r="H879" s="328">
        <v>4.49</v>
      </c>
      <c r="I879" s="318">
        <v>1</v>
      </c>
      <c r="J879" s="318">
        <f t="shared" si="369"/>
        <v>1</v>
      </c>
      <c r="K879" s="328">
        <f t="shared" si="370"/>
        <v>4.49</v>
      </c>
      <c r="L879" s="318">
        <v>1951</v>
      </c>
      <c r="M879" s="318">
        <v>178</v>
      </c>
      <c r="N879" s="318">
        <v>1</v>
      </c>
      <c r="O879" s="621">
        <f t="shared" si="371"/>
        <v>4.49</v>
      </c>
      <c r="P879" s="755">
        <v>1</v>
      </c>
      <c r="Q879" s="755">
        <f t="shared" si="372"/>
        <v>0</v>
      </c>
      <c r="R879" s="341">
        <v>1</v>
      </c>
      <c r="S879" s="318">
        <f t="shared" si="378"/>
        <v>4.49</v>
      </c>
      <c r="T879" s="319"/>
      <c r="V879" s="328">
        <v>4.49</v>
      </c>
      <c r="W879" s="320">
        <v>1</v>
      </c>
      <c r="X879" s="328">
        <f t="shared" si="374"/>
        <v>4.49</v>
      </c>
      <c r="Y879" s="320"/>
      <c r="Z879" s="328">
        <f t="shared" si="375"/>
        <v>0</v>
      </c>
      <c r="AB879" s="458">
        <f t="shared" si="376"/>
        <v>0</v>
      </c>
      <c r="AC879" s="348">
        <f t="shared" si="377"/>
        <v>-4.49</v>
      </c>
    </row>
    <row r="880" spans="1:29">
      <c r="A880" s="318"/>
      <c r="B880" s="319"/>
      <c r="C880" s="318"/>
      <c r="D880" s="318"/>
      <c r="E880" s="319"/>
      <c r="F880" s="336"/>
      <c r="G880" s="318" t="s">
        <v>2196</v>
      </c>
      <c r="H880" s="328">
        <v>4.6100000000000003</v>
      </c>
      <c r="I880" s="318">
        <v>1</v>
      </c>
      <c r="J880" s="318">
        <f t="shared" si="369"/>
        <v>1</v>
      </c>
      <c r="K880" s="328">
        <f t="shared" si="370"/>
        <v>4.6100000000000003</v>
      </c>
      <c r="L880" s="350" t="s">
        <v>2790</v>
      </c>
      <c r="M880" s="350" t="s">
        <v>2790</v>
      </c>
      <c r="N880" s="318">
        <v>1</v>
      </c>
      <c r="O880" s="621">
        <f t="shared" si="371"/>
        <v>4.6100000000000003</v>
      </c>
      <c r="P880" s="755">
        <v>1</v>
      </c>
      <c r="Q880" s="755">
        <f t="shared" si="372"/>
        <v>0</v>
      </c>
      <c r="R880" s="341">
        <v>1</v>
      </c>
      <c r="S880" s="318">
        <f t="shared" si="378"/>
        <v>4.6100000000000003</v>
      </c>
      <c r="T880" s="319"/>
      <c r="V880" s="328">
        <f>1.8+3.495-0.06</f>
        <v>5.2350000000000003</v>
      </c>
      <c r="W880" s="320"/>
      <c r="X880" s="328">
        <f t="shared" si="374"/>
        <v>0</v>
      </c>
      <c r="Y880" s="320"/>
      <c r="Z880" s="328">
        <f t="shared" si="375"/>
        <v>0</v>
      </c>
      <c r="AB880" s="458">
        <f t="shared" si="376"/>
        <v>-4.6100000000000003</v>
      </c>
      <c r="AC880" s="348">
        <f t="shared" si="377"/>
        <v>-4.6100000000000003</v>
      </c>
    </row>
    <row r="881" spans="1:29">
      <c r="A881" s="318"/>
      <c r="B881" s="319"/>
      <c r="C881" s="318"/>
      <c r="D881" s="318"/>
      <c r="E881" s="319"/>
      <c r="F881" s="336"/>
      <c r="G881" s="318" t="s">
        <v>2197</v>
      </c>
      <c r="H881" s="328">
        <v>4.49</v>
      </c>
      <c r="I881" s="318">
        <v>1</v>
      </c>
      <c r="J881" s="318">
        <f t="shared" si="369"/>
        <v>1</v>
      </c>
      <c r="K881" s="328">
        <f t="shared" si="370"/>
        <v>4.49</v>
      </c>
      <c r="L881" s="318">
        <v>2031</v>
      </c>
      <c r="M881" s="318">
        <v>187</v>
      </c>
      <c r="N881" s="318">
        <v>1</v>
      </c>
      <c r="O881" s="621">
        <f t="shared" si="371"/>
        <v>4.49</v>
      </c>
      <c r="P881" s="755">
        <v>1</v>
      </c>
      <c r="Q881" s="755">
        <f t="shared" si="372"/>
        <v>0</v>
      </c>
      <c r="R881" s="341">
        <v>1</v>
      </c>
      <c r="S881" s="318">
        <f t="shared" si="378"/>
        <v>4.49</v>
      </c>
      <c r="T881" s="388"/>
      <c r="V881" s="328">
        <v>4.49</v>
      </c>
      <c r="W881" s="320"/>
      <c r="X881" s="328">
        <f t="shared" si="374"/>
        <v>0</v>
      </c>
      <c r="Y881" s="464"/>
      <c r="Z881" s="328">
        <f t="shared" si="375"/>
        <v>0</v>
      </c>
      <c r="AB881" s="458">
        <f t="shared" si="376"/>
        <v>-4.49</v>
      </c>
      <c r="AC881" s="348">
        <f t="shared" si="377"/>
        <v>-4.49</v>
      </c>
    </row>
    <row r="882" spans="1:29">
      <c r="A882" s="318"/>
      <c r="B882" s="319"/>
      <c r="C882" s="318"/>
      <c r="D882" s="318"/>
      <c r="E882" s="319"/>
      <c r="F882" s="319"/>
      <c r="G882" s="318" t="s">
        <v>2198</v>
      </c>
      <c r="H882" s="328">
        <v>4.49</v>
      </c>
      <c r="I882" s="318">
        <v>1</v>
      </c>
      <c r="J882" s="318">
        <f t="shared" si="369"/>
        <v>1</v>
      </c>
      <c r="K882" s="328">
        <f t="shared" si="370"/>
        <v>4.49</v>
      </c>
      <c r="L882" s="318">
        <v>1967</v>
      </c>
      <c r="M882" s="318">
        <v>179</v>
      </c>
      <c r="N882" s="318">
        <v>1</v>
      </c>
      <c r="O882" s="621">
        <f t="shared" si="371"/>
        <v>4.49</v>
      </c>
      <c r="P882" s="755">
        <v>1</v>
      </c>
      <c r="Q882" s="755">
        <f t="shared" si="372"/>
        <v>0</v>
      </c>
      <c r="R882" s="341">
        <v>1</v>
      </c>
      <c r="S882" s="318">
        <f t="shared" si="378"/>
        <v>4.49</v>
      </c>
      <c r="T882" s="388"/>
      <c r="V882" s="328">
        <v>4.49</v>
      </c>
      <c r="W882" s="320">
        <v>1</v>
      </c>
      <c r="X882" s="328">
        <f t="shared" si="374"/>
        <v>4.49</v>
      </c>
      <c r="Y882" s="464"/>
      <c r="Z882" s="328">
        <f t="shared" si="375"/>
        <v>0</v>
      </c>
      <c r="AB882" s="458">
        <f t="shared" si="376"/>
        <v>0</v>
      </c>
      <c r="AC882" s="348">
        <f t="shared" si="377"/>
        <v>-4.49</v>
      </c>
    </row>
    <row r="883" spans="1:29">
      <c r="A883" s="318"/>
      <c r="B883" s="319"/>
      <c r="C883" s="318"/>
      <c r="D883" s="318"/>
      <c r="E883" s="319"/>
      <c r="F883" s="319"/>
      <c r="G883" s="318" t="s">
        <v>2199</v>
      </c>
      <c r="H883" s="328">
        <v>4.49</v>
      </c>
      <c r="I883" s="318">
        <v>1</v>
      </c>
      <c r="J883" s="318">
        <f t="shared" si="369"/>
        <v>1</v>
      </c>
      <c r="K883" s="328">
        <f t="shared" si="370"/>
        <v>4.49</v>
      </c>
      <c r="L883" s="350" t="s">
        <v>3265</v>
      </c>
      <c r="M883" s="350" t="s">
        <v>3252</v>
      </c>
      <c r="N883" s="318">
        <v>1</v>
      </c>
      <c r="O883" s="621">
        <f t="shared" si="371"/>
        <v>4.49</v>
      </c>
      <c r="P883" s="755">
        <v>1</v>
      </c>
      <c r="Q883" s="755">
        <f t="shared" si="372"/>
        <v>0</v>
      </c>
      <c r="R883" s="341">
        <v>1</v>
      </c>
      <c r="S883" s="318">
        <f t="shared" si="378"/>
        <v>4.49</v>
      </c>
      <c r="T883" s="388"/>
      <c r="V883" s="328">
        <v>4.49</v>
      </c>
      <c r="W883" s="320">
        <v>1</v>
      </c>
      <c r="X883" s="328">
        <f t="shared" si="374"/>
        <v>4.49</v>
      </c>
      <c r="Y883" s="464"/>
      <c r="Z883" s="328">
        <f t="shared" si="375"/>
        <v>0</v>
      </c>
      <c r="AB883" s="458">
        <f t="shared" si="376"/>
        <v>0</v>
      </c>
      <c r="AC883" s="348">
        <f t="shared" si="377"/>
        <v>-4.49</v>
      </c>
    </row>
    <row r="884" spans="1:29">
      <c r="A884" s="318"/>
      <c r="B884" s="319"/>
      <c r="C884" s="318"/>
      <c r="D884" s="318"/>
      <c r="E884" s="319"/>
      <c r="F884" s="336"/>
      <c r="G884" s="318" t="s">
        <v>2200</v>
      </c>
      <c r="H884" s="328">
        <v>4.49</v>
      </c>
      <c r="I884" s="318">
        <v>1</v>
      </c>
      <c r="J884" s="318">
        <f t="shared" si="369"/>
        <v>1</v>
      </c>
      <c r="K884" s="328">
        <f t="shared" si="370"/>
        <v>4.49</v>
      </c>
      <c r="L884" s="350" t="s">
        <v>3030</v>
      </c>
      <c r="M884" s="471" t="s">
        <v>3032</v>
      </c>
      <c r="N884" s="318">
        <v>1</v>
      </c>
      <c r="O884" s="621">
        <f t="shared" si="371"/>
        <v>4.49</v>
      </c>
      <c r="P884" s="755">
        <v>1</v>
      </c>
      <c r="Q884" s="755">
        <f t="shared" si="372"/>
        <v>0</v>
      </c>
      <c r="R884" s="341">
        <v>1</v>
      </c>
      <c r="S884" s="318">
        <f t="shared" si="378"/>
        <v>4.49</v>
      </c>
      <c r="T884" s="389"/>
      <c r="V884" s="328">
        <v>4.49</v>
      </c>
      <c r="W884" s="320"/>
      <c r="X884" s="328">
        <f t="shared" si="374"/>
        <v>0</v>
      </c>
      <c r="Y884" s="464"/>
      <c r="Z884" s="328">
        <f t="shared" si="375"/>
        <v>0</v>
      </c>
      <c r="AB884" s="458">
        <f t="shared" si="376"/>
        <v>-4.49</v>
      </c>
      <c r="AC884" s="348">
        <f t="shared" si="377"/>
        <v>-4.49</v>
      </c>
    </row>
    <row r="885" spans="1:29" ht="14.4" customHeight="1">
      <c r="A885" s="318"/>
      <c r="B885" s="319"/>
      <c r="C885" s="318"/>
      <c r="D885" s="318"/>
      <c r="E885" s="319"/>
      <c r="F885" s="336"/>
      <c r="G885" s="318" t="s">
        <v>2201</v>
      </c>
      <c r="H885" s="328">
        <v>4.67</v>
      </c>
      <c r="I885" s="318">
        <v>1</v>
      </c>
      <c r="J885" s="318">
        <f t="shared" si="369"/>
        <v>1</v>
      </c>
      <c r="K885" s="328">
        <f t="shared" si="370"/>
        <v>4.67</v>
      </c>
      <c r="L885" s="350" t="s">
        <v>2790</v>
      </c>
      <c r="M885" s="350" t="s">
        <v>2790</v>
      </c>
      <c r="N885" s="318">
        <v>1</v>
      </c>
      <c r="O885" s="621">
        <f t="shared" si="371"/>
        <v>4.67</v>
      </c>
      <c r="P885" s="755">
        <v>1</v>
      </c>
      <c r="Q885" s="755">
        <f t="shared" si="372"/>
        <v>0</v>
      </c>
      <c r="R885" s="341">
        <v>1</v>
      </c>
      <c r="S885" s="318">
        <f t="shared" si="378"/>
        <v>4.67</v>
      </c>
      <c r="T885" s="388"/>
      <c r="V885" s="328">
        <f>3.495+1.8-0.6</f>
        <v>4.6950000000000003</v>
      </c>
      <c r="W885" s="320"/>
      <c r="X885" s="328">
        <f t="shared" si="374"/>
        <v>0</v>
      </c>
      <c r="Y885" s="464"/>
      <c r="Z885" s="328">
        <f t="shared" si="375"/>
        <v>0</v>
      </c>
      <c r="AB885" s="458">
        <f t="shared" si="376"/>
        <v>-4.67</v>
      </c>
      <c r="AC885" s="348">
        <f t="shared" si="377"/>
        <v>-4.67</v>
      </c>
    </row>
    <row r="886" spans="1:29">
      <c r="A886" s="318"/>
      <c r="B886" s="319"/>
      <c r="C886" s="318"/>
      <c r="D886" s="318"/>
      <c r="E886" s="319"/>
      <c r="F886" s="336"/>
      <c r="G886" s="318" t="s">
        <v>2202</v>
      </c>
      <c r="H886" s="328">
        <v>4.49</v>
      </c>
      <c r="I886" s="318">
        <v>1</v>
      </c>
      <c r="J886" s="318">
        <f t="shared" si="369"/>
        <v>1</v>
      </c>
      <c r="K886" s="328">
        <f t="shared" si="370"/>
        <v>4.49</v>
      </c>
      <c r="L886" s="318">
        <v>1945</v>
      </c>
      <c r="M886" s="318">
        <v>177</v>
      </c>
      <c r="N886" s="318">
        <v>1</v>
      </c>
      <c r="O886" s="621">
        <f t="shared" si="371"/>
        <v>4.49</v>
      </c>
      <c r="P886" s="755">
        <v>1</v>
      </c>
      <c r="Q886" s="755">
        <f t="shared" si="372"/>
        <v>0</v>
      </c>
      <c r="R886" s="341">
        <v>1</v>
      </c>
      <c r="S886" s="318">
        <f t="shared" si="378"/>
        <v>4.49</v>
      </c>
      <c r="T886" s="389"/>
      <c r="V886" s="328">
        <v>4.49</v>
      </c>
      <c r="W886" s="320"/>
      <c r="X886" s="328">
        <f t="shared" si="374"/>
        <v>0</v>
      </c>
      <c r="Y886" s="464"/>
      <c r="Z886" s="328">
        <f t="shared" si="375"/>
        <v>0</v>
      </c>
      <c r="AB886" s="458">
        <f t="shared" si="376"/>
        <v>-4.49</v>
      </c>
      <c r="AC886" s="348">
        <f t="shared" si="377"/>
        <v>-4.49</v>
      </c>
    </row>
    <row r="887" spans="1:29">
      <c r="A887" s="318"/>
      <c r="B887" s="319"/>
      <c r="C887" s="318"/>
      <c r="D887" s="318"/>
      <c r="E887" s="319"/>
      <c r="F887" s="336"/>
      <c r="G887" s="318" t="s">
        <v>2203</v>
      </c>
      <c r="H887" s="328">
        <v>4.49</v>
      </c>
      <c r="I887" s="318">
        <v>1</v>
      </c>
      <c r="J887" s="318">
        <f t="shared" si="369"/>
        <v>1</v>
      </c>
      <c r="K887" s="328">
        <f t="shared" si="370"/>
        <v>4.49</v>
      </c>
      <c r="L887" s="318">
        <v>1945</v>
      </c>
      <c r="M887" s="318">
        <v>177</v>
      </c>
      <c r="N887" s="318">
        <v>1</v>
      </c>
      <c r="O887" s="621">
        <f t="shared" si="371"/>
        <v>4.49</v>
      </c>
      <c r="P887" s="755">
        <v>1</v>
      </c>
      <c r="Q887" s="755">
        <f t="shared" si="372"/>
        <v>0</v>
      </c>
      <c r="R887" s="341">
        <v>1</v>
      </c>
      <c r="S887" s="318">
        <f t="shared" si="378"/>
        <v>4.49</v>
      </c>
      <c r="T887" s="389"/>
      <c r="V887" s="328">
        <v>4.49</v>
      </c>
      <c r="W887" s="320"/>
      <c r="X887" s="328">
        <f t="shared" si="374"/>
        <v>0</v>
      </c>
      <c r="Y887" s="464"/>
      <c r="Z887" s="328">
        <f t="shared" si="375"/>
        <v>0</v>
      </c>
      <c r="AB887" s="458">
        <f t="shared" si="376"/>
        <v>-4.49</v>
      </c>
      <c r="AC887" s="348">
        <f t="shared" si="377"/>
        <v>-4.49</v>
      </c>
    </row>
    <row r="888" spans="1:29" ht="15" thickBot="1">
      <c r="A888" s="318"/>
      <c r="B888" s="319"/>
      <c r="C888" s="318"/>
      <c r="D888" s="318"/>
      <c r="E888" s="319"/>
      <c r="F888" s="336"/>
      <c r="G888" s="318" t="s">
        <v>2204</v>
      </c>
      <c r="H888" s="328">
        <v>4.49</v>
      </c>
      <c r="I888" s="318">
        <v>1</v>
      </c>
      <c r="J888" s="318">
        <f t="shared" si="369"/>
        <v>1</v>
      </c>
      <c r="K888" s="328">
        <f t="shared" si="370"/>
        <v>4.49</v>
      </c>
      <c r="L888" s="318">
        <v>1989</v>
      </c>
      <c r="M888" s="318">
        <v>183</v>
      </c>
      <c r="N888" s="318">
        <v>1</v>
      </c>
      <c r="O888" s="621">
        <f t="shared" si="371"/>
        <v>4.49</v>
      </c>
      <c r="P888" s="755">
        <v>1</v>
      </c>
      <c r="Q888" s="755">
        <f t="shared" si="372"/>
        <v>0</v>
      </c>
      <c r="R888" s="341">
        <v>1</v>
      </c>
      <c r="S888" s="318">
        <f t="shared" si="378"/>
        <v>4.49</v>
      </c>
      <c r="T888" s="389"/>
      <c r="V888" s="328">
        <v>4.49</v>
      </c>
      <c r="W888" s="320"/>
      <c r="X888" s="328">
        <f t="shared" si="374"/>
        <v>0</v>
      </c>
      <c r="Y888" s="320"/>
      <c r="Z888" s="328">
        <f t="shared" si="375"/>
        <v>0</v>
      </c>
      <c r="AB888" s="458">
        <f t="shared" si="376"/>
        <v>-4.49</v>
      </c>
      <c r="AC888" s="348">
        <f t="shared" si="377"/>
        <v>-4.49</v>
      </c>
    </row>
    <row r="889" spans="1:29" ht="15.6" thickTop="1" thickBot="1">
      <c r="A889" s="318"/>
      <c r="B889" s="319"/>
      <c r="C889" s="318"/>
      <c r="D889" s="318"/>
      <c r="E889" s="319"/>
      <c r="F889" s="336"/>
      <c r="G889" s="649" t="s">
        <v>2205</v>
      </c>
      <c r="H889" s="328">
        <v>4.49</v>
      </c>
      <c r="I889" s="318">
        <v>1</v>
      </c>
      <c r="J889" s="318">
        <f t="shared" si="369"/>
        <v>1</v>
      </c>
      <c r="K889" s="328">
        <f t="shared" si="370"/>
        <v>4.49</v>
      </c>
      <c r="L889" s="350" t="s">
        <v>3411</v>
      </c>
      <c r="M889" s="350" t="s">
        <v>3412</v>
      </c>
      <c r="N889" s="318">
        <v>1</v>
      </c>
      <c r="O889" s="621">
        <f t="shared" si="371"/>
        <v>4.49</v>
      </c>
      <c r="P889" s="755"/>
      <c r="Q889" s="764"/>
      <c r="R889" s="627"/>
      <c r="S889" s="622">
        <f t="shared" ref="S889:S895" si="379">H889*R889</f>
        <v>0</v>
      </c>
      <c r="T889" s="319" t="s">
        <v>3351</v>
      </c>
      <c r="V889" s="328">
        <v>4.49</v>
      </c>
      <c r="W889" s="320"/>
      <c r="X889" s="328">
        <f t="shared" si="374"/>
        <v>0</v>
      </c>
      <c r="Y889" s="464"/>
      <c r="Z889" s="328">
        <f t="shared" si="375"/>
        <v>0</v>
      </c>
      <c r="AB889" s="458">
        <f t="shared" si="376"/>
        <v>-4.49</v>
      </c>
      <c r="AC889" s="348">
        <f t="shared" si="377"/>
        <v>0</v>
      </c>
    </row>
    <row r="890" spans="1:29" ht="15.6" thickTop="1" thickBot="1">
      <c r="A890" s="318"/>
      <c r="B890" s="319"/>
      <c r="C890" s="318"/>
      <c r="D890" s="318"/>
      <c r="E890" s="319"/>
      <c r="F890" s="336"/>
      <c r="G890" s="652" t="s">
        <v>2206</v>
      </c>
      <c r="H890" s="328">
        <v>4.49</v>
      </c>
      <c r="I890" s="318">
        <v>1</v>
      </c>
      <c r="J890" s="318">
        <v>1</v>
      </c>
      <c r="K890" s="328">
        <f t="shared" si="370"/>
        <v>4.49</v>
      </c>
      <c r="L890" s="318"/>
      <c r="M890" s="318"/>
      <c r="N890" s="318"/>
      <c r="O890" s="621">
        <f t="shared" si="371"/>
        <v>0</v>
      </c>
      <c r="P890" s="633"/>
      <c r="Q890" s="762"/>
      <c r="R890" s="627"/>
      <c r="S890" s="622">
        <f t="shared" si="379"/>
        <v>0</v>
      </c>
      <c r="T890" s="319" t="s">
        <v>3351</v>
      </c>
      <c r="V890" s="328">
        <v>4.49</v>
      </c>
      <c r="W890" s="320"/>
      <c r="X890" s="328">
        <f t="shared" si="374"/>
        <v>0</v>
      </c>
      <c r="Y890" s="320"/>
      <c r="Z890" s="328">
        <f t="shared" si="375"/>
        <v>0</v>
      </c>
      <c r="AB890" s="458">
        <f t="shared" si="376"/>
        <v>0</v>
      </c>
      <c r="AC890" s="348">
        <f t="shared" si="377"/>
        <v>0</v>
      </c>
    </row>
    <row r="891" spans="1:29" ht="15.6" thickTop="1" thickBot="1">
      <c r="A891" s="318"/>
      <c r="B891" s="319"/>
      <c r="C891" s="318"/>
      <c r="D891" s="318"/>
      <c r="E891" s="319"/>
      <c r="F891" s="336"/>
      <c r="G891" s="652" t="s">
        <v>2207</v>
      </c>
      <c r="H891" s="328">
        <v>4.49</v>
      </c>
      <c r="I891" s="318">
        <v>1</v>
      </c>
      <c r="J891" s="318">
        <v>1</v>
      </c>
      <c r="K891" s="328">
        <f t="shared" si="370"/>
        <v>4.49</v>
      </c>
      <c r="L891" s="318"/>
      <c r="M891" s="318"/>
      <c r="N891" s="318"/>
      <c r="O891" s="621">
        <f t="shared" si="371"/>
        <v>0</v>
      </c>
      <c r="P891" s="633"/>
      <c r="Q891" s="762"/>
      <c r="R891" s="627"/>
      <c r="S891" s="622">
        <f t="shared" si="379"/>
        <v>0</v>
      </c>
      <c r="T891" s="319" t="s">
        <v>3351</v>
      </c>
      <c r="V891" s="328">
        <v>4.49</v>
      </c>
      <c r="W891" s="320"/>
      <c r="X891" s="328">
        <f t="shared" si="374"/>
        <v>0</v>
      </c>
      <c r="Y891" s="320"/>
      <c r="Z891" s="328">
        <f t="shared" si="375"/>
        <v>0</v>
      </c>
      <c r="AB891" s="458">
        <f t="shared" si="376"/>
        <v>0</v>
      </c>
      <c r="AC891" s="348">
        <f t="shared" si="377"/>
        <v>0</v>
      </c>
    </row>
    <row r="892" spans="1:29" ht="15.6" thickTop="1" thickBot="1">
      <c r="A892" s="318"/>
      <c r="B892" s="319"/>
      <c r="C892" s="318"/>
      <c r="D892" s="318"/>
      <c r="E892" s="319"/>
      <c r="F892" s="336"/>
      <c r="G892" s="652" t="s">
        <v>2208</v>
      </c>
      <c r="H892" s="328">
        <v>4.49</v>
      </c>
      <c r="I892" s="318">
        <v>1</v>
      </c>
      <c r="J892" s="318">
        <v>1</v>
      </c>
      <c r="K892" s="328">
        <f t="shared" si="370"/>
        <v>4.49</v>
      </c>
      <c r="L892" s="318"/>
      <c r="M892" s="318"/>
      <c r="N892" s="318"/>
      <c r="O892" s="621">
        <f t="shared" si="371"/>
        <v>0</v>
      </c>
      <c r="P892" s="633"/>
      <c r="Q892" s="762"/>
      <c r="R892" s="627"/>
      <c r="S892" s="622">
        <f t="shared" si="379"/>
        <v>0</v>
      </c>
      <c r="T892" s="319" t="s">
        <v>3351</v>
      </c>
      <c r="V892" s="328">
        <v>4.49</v>
      </c>
      <c r="W892" s="320"/>
      <c r="X892" s="328">
        <f t="shared" si="374"/>
        <v>0</v>
      </c>
      <c r="Y892" s="320"/>
      <c r="Z892" s="328">
        <f t="shared" si="375"/>
        <v>0</v>
      </c>
      <c r="AB892" s="458">
        <f t="shared" si="376"/>
        <v>0</v>
      </c>
      <c r="AC892" s="348">
        <f t="shared" si="377"/>
        <v>0</v>
      </c>
    </row>
    <row r="893" spans="1:29" ht="15.6" thickTop="1" thickBot="1">
      <c r="A893" s="318"/>
      <c r="B893" s="319"/>
      <c r="C893" s="318"/>
      <c r="D893" s="318"/>
      <c r="E893" s="319"/>
      <c r="F893" s="336"/>
      <c r="G893" s="652" t="s">
        <v>2209</v>
      </c>
      <c r="H893" s="328">
        <v>4.49</v>
      </c>
      <c r="I893" s="318">
        <v>1</v>
      </c>
      <c r="J893" s="318">
        <v>1</v>
      </c>
      <c r="K893" s="328">
        <f t="shared" si="370"/>
        <v>4.49</v>
      </c>
      <c r="L893" s="318"/>
      <c r="M893" s="318"/>
      <c r="N893" s="318"/>
      <c r="O893" s="621">
        <f t="shared" si="371"/>
        <v>0</v>
      </c>
      <c r="P893" s="633"/>
      <c r="Q893" s="762"/>
      <c r="R893" s="627"/>
      <c r="S893" s="622">
        <f t="shared" si="379"/>
        <v>0</v>
      </c>
      <c r="T893" s="319" t="s">
        <v>3351</v>
      </c>
      <c r="V893" s="328">
        <v>4.49</v>
      </c>
      <c r="W893" s="320"/>
      <c r="X893" s="328">
        <f t="shared" si="374"/>
        <v>0</v>
      </c>
      <c r="Y893" s="320"/>
      <c r="Z893" s="328">
        <f t="shared" si="375"/>
        <v>0</v>
      </c>
      <c r="AB893" s="458">
        <f t="shared" si="376"/>
        <v>0</v>
      </c>
      <c r="AC893" s="348">
        <f t="shared" si="377"/>
        <v>0</v>
      </c>
    </row>
    <row r="894" spans="1:29" ht="15.6" thickTop="1" thickBot="1">
      <c r="A894" s="318"/>
      <c r="B894" s="319"/>
      <c r="C894" s="318"/>
      <c r="D894" s="318"/>
      <c r="E894" s="319"/>
      <c r="F894" s="336"/>
      <c r="G894" s="652" t="s">
        <v>2210</v>
      </c>
      <c r="H894" s="328">
        <v>4.49</v>
      </c>
      <c r="I894" s="318">
        <v>1</v>
      </c>
      <c r="J894" s="318">
        <f t="shared" si="369"/>
        <v>1</v>
      </c>
      <c r="K894" s="328">
        <f t="shared" si="370"/>
        <v>4.49</v>
      </c>
      <c r="L894" s="318"/>
      <c r="M894" s="318"/>
      <c r="N894" s="318">
        <v>1</v>
      </c>
      <c r="O894" s="621">
        <f t="shared" si="371"/>
        <v>4.49</v>
      </c>
      <c r="P894" s="755"/>
      <c r="Q894" s="771"/>
      <c r="R894" s="627"/>
      <c r="S894" s="328">
        <f t="shared" si="379"/>
        <v>0</v>
      </c>
      <c r="T894" s="319"/>
      <c r="V894" s="328">
        <v>4.49</v>
      </c>
      <c r="W894" s="320">
        <v>1</v>
      </c>
      <c r="X894" s="328">
        <f t="shared" ref="X894:X913" si="380">V894*W894</f>
        <v>4.49</v>
      </c>
      <c r="Y894" s="464">
        <v>1</v>
      </c>
      <c r="Z894" s="328">
        <f t="shared" ref="Z894:Z913" si="381">V894*Y894</f>
        <v>4.49</v>
      </c>
      <c r="AB894" s="458">
        <f t="shared" ref="AB894:AB913" si="382">X894-O894</f>
        <v>0</v>
      </c>
      <c r="AC894" s="348">
        <f t="shared" si="377"/>
        <v>4.49</v>
      </c>
    </row>
    <row r="895" spans="1:29" ht="15" thickTop="1">
      <c r="A895" s="318"/>
      <c r="B895" s="319"/>
      <c r="C895" s="318"/>
      <c r="D895" s="318"/>
      <c r="E895" s="319"/>
      <c r="F895" s="336"/>
      <c r="G895" s="318" t="s">
        <v>2211</v>
      </c>
      <c r="H895" s="328">
        <v>4.49</v>
      </c>
      <c r="I895" s="318">
        <v>1</v>
      </c>
      <c r="J895" s="318">
        <f t="shared" si="369"/>
        <v>1</v>
      </c>
      <c r="K895" s="328">
        <f t="shared" si="370"/>
        <v>4.49</v>
      </c>
      <c r="L895" s="318">
        <v>1950</v>
      </c>
      <c r="M895" s="318">
        <v>178</v>
      </c>
      <c r="N895" s="318">
        <v>1</v>
      </c>
      <c r="O895" s="621">
        <f t="shared" si="371"/>
        <v>4.49</v>
      </c>
      <c r="P895" s="755">
        <v>1</v>
      </c>
      <c r="Q895" s="755">
        <f t="shared" ref="Q895:Q913" si="383">R895-P895</f>
        <v>0</v>
      </c>
      <c r="R895" s="341">
        <v>1</v>
      </c>
      <c r="S895" s="318">
        <f t="shared" si="379"/>
        <v>4.49</v>
      </c>
      <c r="T895" s="319"/>
      <c r="V895" s="328">
        <v>4.49</v>
      </c>
      <c r="W895" s="320">
        <v>1</v>
      </c>
      <c r="X895" s="328">
        <f t="shared" si="380"/>
        <v>4.49</v>
      </c>
      <c r="Y895" s="464">
        <v>1</v>
      </c>
      <c r="Z895" s="328">
        <f t="shared" si="381"/>
        <v>4.49</v>
      </c>
      <c r="AB895" s="458">
        <f t="shared" si="382"/>
        <v>0</v>
      </c>
      <c r="AC895" s="348">
        <f t="shared" si="377"/>
        <v>0</v>
      </c>
    </row>
    <row r="896" spans="1:29">
      <c r="A896" s="318"/>
      <c r="B896" s="319"/>
      <c r="C896" s="318"/>
      <c r="D896" s="318"/>
      <c r="E896" s="319"/>
      <c r="F896" s="336"/>
      <c r="G896" s="318" t="s">
        <v>2212</v>
      </c>
      <c r="H896" s="328">
        <v>4.49</v>
      </c>
      <c r="I896" s="318">
        <v>1</v>
      </c>
      <c r="J896" s="318">
        <f t="shared" si="369"/>
        <v>1</v>
      </c>
      <c r="K896" s="328">
        <f t="shared" si="370"/>
        <v>4.49</v>
      </c>
      <c r="L896" s="318">
        <v>1744</v>
      </c>
      <c r="M896" s="318">
        <v>160</v>
      </c>
      <c r="N896" s="318">
        <v>1</v>
      </c>
      <c r="O896" s="621">
        <f t="shared" si="371"/>
        <v>4.49</v>
      </c>
      <c r="P896" s="755">
        <v>1</v>
      </c>
      <c r="Q896" s="755">
        <f t="shared" si="383"/>
        <v>0</v>
      </c>
      <c r="R896" s="341">
        <v>1</v>
      </c>
      <c r="S896" s="318">
        <f t="shared" ref="S896:S913" si="384">H896*R896</f>
        <v>4.49</v>
      </c>
      <c r="T896" s="319"/>
      <c r="V896" s="328">
        <v>4.49</v>
      </c>
      <c r="W896" s="320">
        <v>1</v>
      </c>
      <c r="X896" s="328">
        <f t="shared" si="380"/>
        <v>4.49</v>
      </c>
      <c r="Y896" s="464">
        <v>1</v>
      </c>
      <c r="Z896" s="328">
        <f t="shared" si="381"/>
        <v>4.49</v>
      </c>
      <c r="AB896" s="458">
        <f t="shared" si="382"/>
        <v>0</v>
      </c>
      <c r="AC896" s="348">
        <f t="shared" si="377"/>
        <v>0</v>
      </c>
    </row>
    <row r="897" spans="1:29">
      <c r="A897" s="318"/>
      <c r="B897" s="319"/>
      <c r="C897" s="318"/>
      <c r="D897" s="318"/>
      <c r="E897" s="319"/>
      <c r="F897" s="319"/>
      <c r="G897" s="318" t="s">
        <v>2213</v>
      </c>
      <c r="H897" s="328">
        <v>4.49</v>
      </c>
      <c r="I897" s="318">
        <v>1</v>
      </c>
      <c r="J897" s="318">
        <f t="shared" si="369"/>
        <v>1</v>
      </c>
      <c r="K897" s="328">
        <f t="shared" si="370"/>
        <v>4.49</v>
      </c>
      <c r="L897" s="318">
        <v>1744</v>
      </c>
      <c r="M897" s="318">
        <v>160</v>
      </c>
      <c r="N897" s="318">
        <v>1</v>
      </c>
      <c r="O897" s="621">
        <f t="shared" si="371"/>
        <v>4.49</v>
      </c>
      <c r="P897" s="755">
        <v>1</v>
      </c>
      <c r="Q897" s="755">
        <f t="shared" si="383"/>
        <v>0</v>
      </c>
      <c r="R897" s="341">
        <v>1</v>
      </c>
      <c r="S897" s="318">
        <f t="shared" si="384"/>
        <v>4.49</v>
      </c>
      <c r="T897" s="319"/>
      <c r="V897" s="328">
        <v>4.49</v>
      </c>
      <c r="W897" s="320">
        <v>1</v>
      </c>
      <c r="X897" s="328">
        <f t="shared" si="380"/>
        <v>4.49</v>
      </c>
      <c r="Y897" s="464">
        <v>1</v>
      </c>
      <c r="Z897" s="328">
        <f t="shared" si="381"/>
        <v>4.49</v>
      </c>
      <c r="AB897" s="458">
        <f t="shared" si="382"/>
        <v>0</v>
      </c>
      <c r="AC897" s="348">
        <f t="shared" si="377"/>
        <v>0</v>
      </c>
    </row>
    <row r="898" spans="1:29">
      <c r="A898" s="318"/>
      <c r="B898" s="319"/>
      <c r="C898" s="318"/>
      <c r="D898" s="318"/>
      <c r="E898" s="319"/>
      <c r="F898" s="319"/>
      <c r="G898" s="318" t="s">
        <v>2214</v>
      </c>
      <c r="H898" s="328">
        <v>4.49</v>
      </c>
      <c r="I898" s="318">
        <v>1</v>
      </c>
      <c r="J898" s="318">
        <f t="shared" si="369"/>
        <v>1</v>
      </c>
      <c r="K898" s="328">
        <f t="shared" si="370"/>
        <v>4.49</v>
      </c>
      <c r="L898" s="318">
        <v>1744</v>
      </c>
      <c r="M898" s="318">
        <v>160</v>
      </c>
      <c r="N898" s="318">
        <v>1</v>
      </c>
      <c r="O898" s="621">
        <f t="shared" si="371"/>
        <v>4.49</v>
      </c>
      <c r="P898" s="755">
        <v>1</v>
      </c>
      <c r="Q898" s="755">
        <f t="shared" si="383"/>
        <v>0</v>
      </c>
      <c r="R898" s="341">
        <v>1</v>
      </c>
      <c r="S898" s="318">
        <f t="shared" si="384"/>
        <v>4.49</v>
      </c>
      <c r="T898" s="319"/>
      <c r="V898" s="328">
        <v>4.49</v>
      </c>
      <c r="W898" s="320"/>
      <c r="X898" s="457">
        <f t="shared" si="380"/>
        <v>0</v>
      </c>
      <c r="Y898" s="464"/>
      <c r="Z898" s="457">
        <f t="shared" si="381"/>
        <v>0</v>
      </c>
      <c r="AB898" s="458">
        <f t="shared" si="382"/>
        <v>-4.49</v>
      </c>
      <c r="AC898" s="455">
        <f t="shared" si="377"/>
        <v>-4.49</v>
      </c>
    </row>
    <row r="899" spans="1:29">
      <c r="A899" s="318"/>
      <c r="B899" s="319"/>
      <c r="C899" s="318"/>
      <c r="D899" s="318"/>
      <c r="E899" s="319"/>
      <c r="F899" s="336"/>
      <c r="G899" s="318" t="s">
        <v>2215</v>
      </c>
      <c r="H899" s="328">
        <v>4.49</v>
      </c>
      <c r="I899" s="318">
        <v>1</v>
      </c>
      <c r="J899" s="318">
        <f t="shared" si="369"/>
        <v>1</v>
      </c>
      <c r="K899" s="328">
        <f t="shared" si="370"/>
        <v>4.49</v>
      </c>
      <c r="L899" s="318">
        <v>1744</v>
      </c>
      <c r="M899" s="318">
        <v>160</v>
      </c>
      <c r="N899" s="318">
        <v>1</v>
      </c>
      <c r="O899" s="621">
        <f t="shared" si="371"/>
        <v>4.49</v>
      </c>
      <c r="P899" s="755">
        <v>1</v>
      </c>
      <c r="Q899" s="755">
        <f t="shared" si="383"/>
        <v>0</v>
      </c>
      <c r="R899" s="341">
        <v>1</v>
      </c>
      <c r="S899" s="318">
        <f t="shared" si="384"/>
        <v>4.49</v>
      </c>
      <c r="T899" s="319"/>
      <c r="V899" s="328">
        <v>4.49</v>
      </c>
      <c r="W899" s="320">
        <v>1</v>
      </c>
      <c r="X899" s="328">
        <f t="shared" si="380"/>
        <v>4.49</v>
      </c>
      <c r="Y899" s="464">
        <v>1</v>
      </c>
      <c r="Z899" s="328">
        <f t="shared" si="381"/>
        <v>4.49</v>
      </c>
      <c r="AB899" s="458">
        <f t="shared" si="382"/>
        <v>0</v>
      </c>
      <c r="AC899" s="348">
        <f t="shared" si="377"/>
        <v>0</v>
      </c>
    </row>
    <row r="900" spans="1:29" ht="14.4" customHeight="1">
      <c r="A900" s="318"/>
      <c r="B900" s="319"/>
      <c r="C900" s="318"/>
      <c r="D900" s="318"/>
      <c r="E900" s="319"/>
      <c r="F900" s="336"/>
      <c r="G900" s="318" t="s">
        <v>2216</v>
      </c>
      <c r="H900" s="328">
        <v>4.49</v>
      </c>
      <c r="I900" s="318">
        <v>1</v>
      </c>
      <c r="J900" s="318">
        <f t="shared" si="369"/>
        <v>1</v>
      </c>
      <c r="K900" s="328">
        <f t="shared" si="370"/>
        <v>4.49</v>
      </c>
      <c r="L900" s="318">
        <v>1749</v>
      </c>
      <c r="M900" s="318">
        <v>161</v>
      </c>
      <c r="N900" s="318">
        <v>1</v>
      </c>
      <c r="O900" s="621">
        <f t="shared" si="371"/>
        <v>4.49</v>
      </c>
      <c r="P900" s="755">
        <v>1</v>
      </c>
      <c r="Q900" s="755">
        <f t="shared" si="383"/>
        <v>0</v>
      </c>
      <c r="R900" s="341">
        <v>1</v>
      </c>
      <c r="S900" s="318">
        <f t="shared" si="384"/>
        <v>4.49</v>
      </c>
      <c r="T900" s="319"/>
      <c r="V900" s="328">
        <v>4.49</v>
      </c>
      <c r="W900" s="320">
        <v>1</v>
      </c>
      <c r="X900" s="328">
        <f t="shared" si="380"/>
        <v>4.49</v>
      </c>
      <c r="Y900" s="464">
        <v>1</v>
      </c>
      <c r="Z900" s="328">
        <f t="shared" si="381"/>
        <v>4.49</v>
      </c>
      <c r="AB900" s="458">
        <f t="shared" si="382"/>
        <v>0</v>
      </c>
      <c r="AC900" s="348">
        <f t="shared" si="377"/>
        <v>0</v>
      </c>
    </row>
    <row r="901" spans="1:29">
      <c r="A901" s="318"/>
      <c r="B901" s="319"/>
      <c r="C901" s="318"/>
      <c r="D901" s="318"/>
      <c r="E901" s="319"/>
      <c r="F901" s="336"/>
      <c r="G901" s="318" t="s">
        <v>2217</v>
      </c>
      <c r="H901" s="328">
        <v>4.49</v>
      </c>
      <c r="I901" s="318">
        <v>1</v>
      </c>
      <c r="J901" s="318">
        <f t="shared" si="369"/>
        <v>1</v>
      </c>
      <c r="K901" s="328">
        <f t="shared" si="370"/>
        <v>4.49</v>
      </c>
      <c r="L901" s="318">
        <v>1749</v>
      </c>
      <c r="M901" s="318">
        <v>161</v>
      </c>
      <c r="N901" s="318">
        <v>1</v>
      </c>
      <c r="O901" s="621">
        <f t="shared" si="371"/>
        <v>4.49</v>
      </c>
      <c r="P901" s="755">
        <v>1</v>
      </c>
      <c r="Q901" s="755">
        <f t="shared" si="383"/>
        <v>0</v>
      </c>
      <c r="R901" s="341">
        <v>1</v>
      </c>
      <c r="S901" s="318">
        <f t="shared" si="384"/>
        <v>4.49</v>
      </c>
      <c r="T901" s="319"/>
      <c r="V901" s="328">
        <v>4.49</v>
      </c>
      <c r="W901" s="320"/>
      <c r="X901" s="457">
        <f t="shared" si="380"/>
        <v>0</v>
      </c>
      <c r="Y901" s="464"/>
      <c r="Z901" s="457">
        <f t="shared" si="381"/>
        <v>0</v>
      </c>
      <c r="AB901" s="458">
        <f t="shared" si="382"/>
        <v>-4.49</v>
      </c>
      <c r="AC901" s="455">
        <f t="shared" si="377"/>
        <v>-4.49</v>
      </c>
    </row>
    <row r="902" spans="1:29">
      <c r="A902" s="318"/>
      <c r="B902" s="319"/>
      <c r="C902" s="318"/>
      <c r="D902" s="318"/>
      <c r="E902" s="319"/>
      <c r="F902" s="336"/>
      <c r="G902" s="318" t="s">
        <v>2218</v>
      </c>
      <c r="H902" s="328">
        <v>4.49</v>
      </c>
      <c r="I902" s="318">
        <v>1</v>
      </c>
      <c r="J902" s="318">
        <f t="shared" si="369"/>
        <v>1</v>
      </c>
      <c r="K902" s="328">
        <f t="shared" si="370"/>
        <v>4.49</v>
      </c>
      <c r="L902" s="318">
        <v>1749</v>
      </c>
      <c r="M902" s="318">
        <v>161</v>
      </c>
      <c r="N902" s="318">
        <v>1</v>
      </c>
      <c r="O902" s="621">
        <f t="shared" si="371"/>
        <v>4.49</v>
      </c>
      <c r="P902" s="755">
        <v>1</v>
      </c>
      <c r="Q902" s="755">
        <f t="shared" si="383"/>
        <v>0</v>
      </c>
      <c r="R902" s="341">
        <v>1</v>
      </c>
      <c r="S902" s="318">
        <f t="shared" si="384"/>
        <v>4.49</v>
      </c>
      <c r="T902" s="319"/>
      <c r="V902" s="328">
        <v>4.49</v>
      </c>
      <c r="W902" s="320"/>
      <c r="X902" s="457">
        <f t="shared" si="380"/>
        <v>0</v>
      </c>
      <c r="Y902" s="464"/>
      <c r="Z902" s="457">
        <f t="shared" si="381"/>
        <v>0</v>
      </c>
      <c r="AB902" s="458">
        <f t="shared" si="382"/>
        <v>-4.49</v>
      </c>
      <c r="AC902" s="455">
        <f t="shared" si="377"/>
        <v>-4.49</v>
      </c>
    </row>
    <row r="903" spans="1:29">
      <c r="A903" s="318"/>
      <c r="B903" s="319"/>
      <c r="C903" s="318"/>
      <c r="D903" s="318"/>
      <c r="E903" s="319"/>
      <c r="F903" s="336"/>
      <c r="G903" s="318" t="s">
        <v>2219</v>
      </c>
      <c r="H903" s="328">
        <v>4.49</v>
      </c>
      <c r="I903" s="318">
        <v>1</v>
      </c>
      <c r="J903" s="318">
        <f t="shared" si="369"/>
        <v>1</v>
      </c>
      <c r="K903" s="328">
        <f t="shared" si="370"/>
        <v>4.49</v>
      </c>
      <c r="L903" s="350" t="s">
        <v>2796</v>
      </c>
      <c r="M903" s="318">
        <v>191</v>
      </c>
      <c r="N903" s="318">
        <v>1</v>
      </c>
      <c r="O903" s="621">
        <f t="shared" si="371"/>
        <v>4.49</v>
      </c>
      <c r="P903" s="755">
        <v>1</v>
      </c>
      <c r="Q903" s="755">
        <f t="shared" si="383"/>
        <v>0</v>
      </c>
      <c r="R903" s="341">
        <v>1</v>
      </c>
      <c r="S903" s="318">
        <f t="shared" si="384"/>
        <v>4.49</v>
      </c>
      <c r="T903" s="319"/>
      <c r="V903" s="328">
        <v>4.49</v>
      </c>
      <c r="W903" s="320"/>
      <c r="X903" s="328">
        <f t="shared" si="380"/>
        <v>0</v>
      </c>
      <c r="Y903" s="464"/>
      <c r="Z903" s="328">
        <f t="shared" si="381"/>
        <v>0</v>
      </c>
      <c r="AB903" s="458">
        <f t="shared" si="382"/>
        <v>-4.49</v>
      </c>
      <c r="AC903" s="348">
        <f t="shared" si="377"/>
        <v>-4.49</v>
      </c>
    </row>
    <row r="904" spans="1:29">
      <c r="A904" s="318"/>
      <c r="B904" s="319"/>
      <c r="C904" s="318"/>
      <c r="D904" s="318"/>
      <c r="E904" s="319"/>
      <c r="F904" s="336"/>
      <c r="G904" s="318" t="s">
        <v>2220</v>
      </c>
      <c r="H904" s="328">
        <v>3.26</v>
      </c>
      <c r="I904" s="318">
        <v>1</v>
      </c>
      <c r="J904" s="318">
        <f t="shared" si="369"/>
        <v>1</v>
      </c>
      <c r="K904" s="328">
        <f t="shared" si="370"/>
        <v>3.26</v>
      </c>
      <c r="L904" s="318">
        <v>1989</v>
      </c>
      <c r="M904" s="318">
        <v>183</v>
      </c>
      <c r="N904" s="318">
        <v>1</v>
      </c>
      <c r="O904" s="621">
        <f t="shared" si="371"/>
        <v>3.26</v>
      </c>
      <c r="P904" s="755">
        <v>1</v>
      </c>
      <c r="Q904" s="755">
        <f t="shared" si="383"/>
        <v>0</v>
      </c>
      <c r="R904" s="341">
        <v>1</v>
      </c>
      <c r="S904" s="318">
        <f t="shared" si="384"/>
        <v>3.26</v>
      </c>
      <c r="T904" s="319"/>
      <c r="V904" s="328">
        <v>3.2509999999999999</v>
      </c>
      <c r="W904" s="320"/>
      <c r="X904" s="328">
        <f t="shared" si="380"/>
        <v>0</v>
      </c>
      <c r="Y904" s="464"/>
      <c r="Z904" s="328">
        <f t="shared" si="381"/>
        <v>0</v>
      </c>
      <c r="AB904" s="458">
        <f t="shared" si="382"/>
        <v>-3.26</v>
      </c>
      <c r="AC904" s="348">
        <f t="shared" si="377"/>
        <v>-3.26</v>
      </c>
    </row>
    <row r="905" spans="1:29">
      <c r="A905" s="318"/>
      <c r="B905" s="319"/>
      <c r="C905" s="318"/>
      <c r="D905" s="318"/>
      <c r="E905" s="319"/>
      <c r="F905" s="336"/>
      <c r="G905" s="318" t="s">
        <v>2221</v>
      </c>
      <c r="H905" s="328">
        <v>3.26</v>
      </c>
      <c r="I905" s="318">
        <v>1</v>
      </c>
      <c r="J905" s="318">
        <f t="shared" si="369"/>
        <v>1</v>
      </c>
      <c r="K905" s="328">
        <f t="shared" si="370"/>
        <v>3.26</v>
      </c>
      <c r="L905" s="318">
        <v>1989</v>
      </c>
      <c r="M905" s="318">
        <v>183</v>
      </c>
      <c r="N905" s="318">
        <v>1</v>
      </c>
      <c r="O905" s="621">
        <f t="shared" si="371"/>
        <v>3.26</v>
      </c>
      <c r="P905" s="755">
        <v>1</v>
      </c>
      <c r="Q905" s="755">
        <f t="shared" si="383"/>
        <v>0</v>
      </c>
      <c r="R905" s="341">
        <v>1</v>
      </c>
      <c r="S905" s="318">
        <f t="shared" si="384"/>
        <v>3.26</v>
      </c>
      <c r="T905" s="319"/>
      <c r="V905" s="328">
        <v>3.2509999999999999</v>
      </c>
      <c r="W905" s="320"/>
      <c r="X905" s="328">
        <f t="shared" si="380"/>
        <v>0</v>
      </c>
      <c r="Y905" s="464"/>
      <c r="Z905" s="328">
        <f t="shared" si="381"/>
        <v>0</v>
      </c>
      <c r="AB905" s="458">
        <f t="shared" si="382"/>
        <v>-3.26</v>
      </c>
      <c r="AC905" s="348">
        <f t="shared" si="377"/>
        <v>-3.26</v>
      </c>
    </row>
    <row r="906" spans="1:29">
      <c r="A906" s="318"/>
      <c r="B906" s="319"/>
      <c r="C906" s="318"/>
      <c r="D906" s="318"/>
      <c r="E906" s="319"/>
      <c r="F906" s="336"/>
      <c r="G906" s="318" t="s">
        <v>2222</v>
      </c>
      <c r="H906" s="328">
        <v>4.08</v>
      </c>
      <c r="I906" s="318">
        <v>1</v>
      </c>
      <c r="J906" s="318">
        <f t="shared" si="369"/>
        <v>1</v>
      </c>
      <c r="K906" s="328">
        <f t="shared" si="370"/>
        <v>4.08</v>
      </c>
      <c r="L906" s="350" t="s">
        <v>3002</v>
      </c>
      <c r="M906" s="350" t="s">
        <v>3012</v>
      </c>
      <c r="N906" s="318">
        <v>1</v>
      </c>
      <c r="O906" s="621">
        <f t="shared" si="371"/>
        <v>4.08</v>
      </c>
      <c r="P906" s="755">
        <v>1</v>
      </c>
      <c r="Q906" s="755">
        <f t="shared" si="383"/>
        <v>0</v>
      </c>
      <c r="R906" s="341">
        <v>1</v>
      </c>
      <c r="S906" s="318">
        <f t="shared" si="384"/>
        <v>4.08</v>
      </c>
      <c r="T906" s="609" t="s">
        <v>3347</v>
      </c>
      <c r="V906" s="328">
        <v>4.0739999999999998</v>
      </c>
      <c r="W906" s="320"/>
      <c r="X906" s="328">
        <f t="shared" si="380"/>
        <v>0</v>
      </c>
      <c r="Y906" s="464"/>
      <c r="Z906" s="328">
        <f t="shared" si="381"/>
        <v>0</v>
      </c>
      <c r="AB906" s="458">
        <f t="shared" si="382"/>
        <v>-4.08</v>
      </c>
      <c r="AC906" s="348">
        <f t="shared" si="377"/>
        <v>-4.08</v>
      </c>
    </row>
    <row r="907" spans="1:29">
      <c r="A907" s="318"/>
      <c r="B907" s="319"/>
      <c r="C907" s="318"/>
      <c r="D907" s="318"/>
      <c r="E907" s="319"/>
      <c r="F907" s="336"/>
      <c r="G907" s="318" t="s">
        <v>2223</v>
      </c>
      <c r="H907" s="328">
        <v>4.21</v>
      </c>
      <c r="I907" s="318">
        <v>1</v>
      </c>
      <c r="J907" s="318">
        <f t="shared" si="369"/>
        <v>1</v>
      </c>
      <c r="K907" s="328">
        <f t="shared" si="370"/>
        <v>4.21</v>
      </c>
      <c r="L907" s="350" t="s">
        <v>3002</v>
      </c>
      <c r="M907" s="350" t="s">
        <v>3012</v>
      </c>
      <c r="N907" s="318">
        <v>1</v>
      </c>
      <c r="O907" s="621">
        <f t="shared" si="371"/>
        <v>4.21</v>
      </c>
      <c r="P907" s="755">
        <v>1</v>
      </c>
      <c r="Q907" s="755">
        <f t="shared" si="383"/>
        <v>0</v>
      </c>
      <c r="R907" s="341">
        <v>1</v>
      </c>
      <c r="S907" s="318">
        <f t="shared" si="384"/>
        <v>4.21</v>
      </c>
      <c r="T907" s="609" t="s">
        <v>3347</v>
      </c>
      <c r="V907" s="328">
        <f>4.074+0.122</f>
        <v>4.1959999999999997</v>
      </c>
      <c r="W907" s="320"/>
      <c r="X907" s="328">
        <f t="shared" si="380"/>
        <v>0</v>
      </c>
      <c r="Y907" s="464"/>
      <c r="Z907" s="328">
        <f t="shared" si="381"/>
        <v>0</v>
      </c>
      <c r="AB907" s="458">
        <f t="shared" si="382"/>
        <v>-4.21</v>
      </c>
      <c r="AC907" s="348">
        <f t="shared" si="377"/>
        <v>-4.21</v>
      </c>
    </row>
    <row r="908" spans="1:29">
      <c r="A908" s="318"/>
      <c r="B908" s="319"/>
      <c r="C908" s="318"/>
      <c r="D908" s="318"/>
      <c r="E908" s="319"/>
      <c r="F908" s="336"/>
      <c r="G908" s="318" t="s">
        <v>2224</v>
      </c>
      <c r="H908" s="328">
        <v>4.24</v>
      </c>
      <c r="I908" s="318">
        <v>1</v>
      </c>
      <c r="J908" s="318">
        <f t="shared" si="369"/>
        <v>1</v>
      </c>
      <c r="K908" s="328">
        <f t="shared" si="370"/>
        <v>4.24</v>
      </c>
      <c r="L908" s="318">
        <v>1980</v>
      </c>
      <c r="M908" s="318">
        <v>181</v>
      </c>
      <c r="N908" s="318">
        <v>1</v>
      </c>
      <c r="O908" s="621">
        <f t="shared" si="371"/>
        <v>4.24</v>
      </c>
      <c r="P908" s="755">
        <v>1</v>
      </c>
      <c r="Q908" s="755">
        <f t="shared" si="383"/>
        <v>0</v>
      </c>
      <c r="R908" s="341">
        <v>1</v>
      </c>
      <c r="S908" s="318">
        <f t="shared" si="384"/>
        <v>4.24</v>
      </c>
      <c r="T908" s="388"/>
      <c r="V908" s="328">
        <v>4.2300000000000004</v>
      </c>
      <c r="W908" s="320"/>
      <c r="X908" s="328">
        <f t="shared" si="380"/>
        <v>0</v>
      </c>
      <c r="Y908" s="464"/>
      <c r="Z908" s="328">
        <f t="shared" si="381"/>
        <v>0</v>
      </c>
      <c r="AB908" s="458">
        <f t="shared" si="382"/>
        <v>-4.24</v>
      </c>
      <c r="AC908" s="348">
        <f t="shared" si="377"/>
        <v>-4.24</v>
      </c>
    </row>
    <row r="909" spans="1:29">
      <c r="A909" s="318"/>
      <c r="B909" s="319"/>
      <c r="C909" s="318"/>
      <c r="D909" s="318"/>
      <c r="E909" s="319"/>
      <c r="F909" s="336"/>
      <c r="G909" s="318" t="s">
        <v>2225</v>
      </c>
      <c r="H909" s="328">
        <v>4.24</v>
      </c>
      <c r="I909" s="318">
        <v>1</v>
      </c>
      <c r="J909" s="318">
        <f t="shared" si="369"/>
        <v>1</v>
      </c>
      <c r="K909" s="328">
        <f t="shared" si="370"/>
        <v>4.24</v>
      </c>
      <c r="L909" s="318">
        <v>2030</v>
      </c>
      <c r="M909" s="318">
        <v>187</v>
      </c>
      <c r="N909" s="318">
        <v>1</v>
      </c>
      <c r="O909" s="621">
        <f t="shared" si="371"/>
        <v>4.24</v>
      </c>
      <c r="P909" s="755">
        <v>1</v>
      </c>
      <c r="Q909" s="755">
        <f t="shared" si="383"/>
        <v>0</v>
      </c>
      <c r="R909" s="341">
        <v>1</v>
      </c>
      <c r="S909" s="318">
        <f t="shared" si="384"/>
        <v>4.24</v>
      </c>
      <c r="T909" s="388"/>
      <c r="V909" s="328">
        <v>4.2300000000000004</v>
      </c>
      <c r="W909" s="320"/>
      <c r="X909" s="328">
        <f t="shared" si="380"/>
        <v>0</v>
      </c>
      <c r="Y909" s="464"/>
      <c r="Z909" s="328">
        <f t="shared" si="381"/>
        <v>0</v>
      </c>
      <c r="AB909" s="458">
        <f t="shared" si="382"/>
        <v>-4.24</v>
      </c>
      <c r="AC909" s="348">
        <f t="shared" si="377"/>
        <v>-4.24</v>
      </c>
    </row>
    <row r="910" spans="1:29">
      <c r="A910" s="318"/>
      <c r="B910" s="319"/>
      <c r="C910" s="318"/>
      <c r="D910" s="318"/>
      <c r="E910" s="319"/>
      <c r="F910" s="336"/>
      <c r="G910" s="318" t="s">
        <v>2226</v>
      </c>
      <c r="H910" s="328">
        <v>4.24</v>
      </c>
      <c r="I910" s="318">
        <v>1</v>
      </c>
      <c r="J910" s="318">
        <f t="shared" si="369"/>
        <v>1</v>
      </c>
      <c r="K910" s="328">
        <f t="shared" si="370"/>
        <v>4.24</v>
      </c>
      <c r="L910" s="318">
        <v>2034</v>
      </c>
      <c r="M910" s="318">
        <v>188</v>
      </c>
      <c r="N910" s="318">
        <v>1</v>
      </c>
      <c r="O910" s="621">
        <f t="shared" si="371"/>
        <v>4.24</v>
      </c>
      <c r="P910" s="755">
        <v>1</v>
      </c>
      <c r="Q910" s="755">
        <f t="shared" si="383"/>
        <v>0</v>
      </c>
      <c r="R910" s="341">
        <v>1</v>
      </c>
      <c r="S910" s="318">
        <f t="shared" si="384"/>
        <v>4.24</v>
      </c>
      <c r="T910" s="388"/>
      <c r="V910" s="328">
        <v>4.2300000000000004</v>
      </c>
      <c r="W910" s="320"/>
      <c r="X910" s="328">
        <f t="shared" si="380"/>
        <v>0</v>
      </c>
      <c r="Y910" s="464"/>
      <c r="Z910" s="328">
        <f t="shared" si="381"/>
        <v>0</v>
      </c>
      <c r="AB910" s="458">
        <f t="shared" si="382"/>
        <v>-4.24</v>
      </c>
      <c r="AC910" s="348">
        <f t="shared" si="377"/>
        <v>-4.24</v>
      </c>
    </row>
    <row r="911" spans="1:29">
      <c r="A911" s="318"/>
      <c r="B911" s="319"/>
      <c r="C911" s="318"/>
      <c r="D911" s="318"/>
      <c r="E911" s="319"/>
      <c r="F911" s="336"/>
      <c r="G911" s="318" t="s">
        <v>2227</v>
      </c>
      <c r="H911" s="328">
        <v>4.24</v>
      </c>
      <c r="I911" s="318">
        <v>1</v>
      </c>
      <c r="J911" s="318">
        <f t="shared" si="369"/>
        <v>1</v>
      </c>
      <c r="K911" s="328">
        <f t="shared" si="370"/>
        <v>4.24</v>
      </c>
      <c r="L911" s="318">
        <v>2015</v>
      </c>
      <c r="M911" s="318">
        <v>185</v>
      </c>
      <c r="N911" s="318">
        <v>1</v>
      </c>
      <c r="O911" s="621">
        <f t="shared" si="371"/>
        <v>4.24</v>
      </c>
      <c r="P911" s="755">
        <v>1</v>
      </c>
      <c r="Q911" s="755">
        <f t="shared" si="383"/>
        <v>0</v>
      </c>
      <c r="R911" s="341">
        <v>1</v>
      </c>
      <c r="S911" s="318">
        <f t="shared" si="384"/>
        <v>4.24</v>
      </c>
      <c r="T911" s="388"/>
      <c r="V911" s="328">
        <v>4.2300000000000004</v>
      </c>
      <c r="W911" s="320"/>
      <c r="X911" s="328">
        <f t="shared" si="380"/>
        <v>0</v>
      </c>
      <c r="Y911" s="464"/>
      <c r="Z911" s="328">
        <f t="shared" si="381"/>
        <v>0</v>
      </c>
      <c r="AB911" s="458">
        <f t="shared" si="382"/>
        <v>-4.24</v>
      </c>
      <c r="AC911" s="348">
        <f t="shared" si="377"/>
        <v>-4.24</v>
      </c>
    </row>
    <row r="912" spans="1:29">
      <c r="A912" s="318"/>
      <c r="B912" s="319"/>
      <c r="C912" s="318"/>
      <c r="D912" s="318"/>
      <c r="E912" s="319"/>
      <c r="F912" s="336"/>
      <c r="G912" s="318" t="s">
        <v>2228</v>
      </c>
      <c r="H912" s="328">
        <v>3.43</v>
      </c>
      <c r="I912" s="318">
        <v>1</v>
      </c>
      <c r="J912" s="318">
        <f t="shared" si="369"/>
        <v>1</v>
      </c>
      <c r="K912" s="328">
        <f t="shared" si="370"/>
        <v>3.43</v>
      </c>
      <c r="L912" s="350" t="s">
        <v>3002</v>
      </c>
      <c r="M912" s="350" t="s">
        <v>3012</v>
      </c>
      <c r="N912" s="318">
        <v>1</v>
      </c>
      <c r="O912" s="621">
        <f t="shared" si="371"/>
        <v>3.43</v>
      </c>
      <c r="P912" s="755">
        <v>1</v>
      </c>
      <c r="Q912" s="755">
        <f t="shared" si="383"/>
        <v>0</v>
      </c>
      <c r="R912" s="341">
        <v>1</v>
      </c>
      <c r="S912" s="318">
        <f t="shared" si="384"/>
        <v>3.43</v>
      </c>
      <c r="T912" s="609" t="s">
        <v>3344</v>
      </c>
      <c r="V912" s="328">
        <f>0.973+2.442</f>
        <v>3.415</v>
      </c>
      <c r="W912" s="320"/>
      <c r="X912" s="328">
        <f t="shared" si="380"/>
        <v>0</v>
      </c>
      <c r="Y912" s="464"/>
      <c r="Z912" s="328">
        <f t="shared" si="381"/>
        <v>0</v>
      </c>
      <c r="AB912" s="458">
        <f t="shared" si="382"/>
        <v>-3.43</v>
      </c>
      <c r="AC912" s="348">
        <f t="shared" si="377"/>
        <v>-3.43</v>
      </c>
    </row>
    <row r="913" spans="1:29">
      <c r="A913" s="318"/>
      <c r="B913" s="319"/>
      <c r="C913" s="318"/>
      <c r="D913" s="318"/>
      <c r="E913" s="319"/>
      <c r="F913" s="336"/>
      <c r="G913" s="318" t="s">
        <v>2229</v>
      </c>
      <c r="H913" s="328">
        <v>2.4500000000000002</v>
      </c>
      <c r="I913" s="318">
        <v>1</v>
      </c>
      <c r="J913" s="318">
        <f t="shared" si="369"/>
        <v>1</v>
      </c>
      <c r="K913" s="328">
        <f t="shared" si="370"/>
        <v>2.4500000000000002</v>
      </c>
      <c r="L913" s="350" t="s">
        <v>3002</v>
      </c>
      <c r="M913" s="350" t="s">
        <v>3012</v>
      </c>
      <c r="N913" s="318">
        <v>1</v>
      </c>
      <c r="O913" s="621">
        <f t="shared" si="371"/>
        <v>2.4500000000000002</v>
      </c>
      <c r="P913" s="755">
        <v>1</v>
      </c>
      <c r="Q913" s="755">
        <f t="shared" si="383"/>
        <v>0</v>
      </c>
      <c r="R913" s="341">
        <v>1</v>
      </c>
      <c r="S913" s="318">
        <f t="shared" si="384"/>
        <v>2.4500000000000002</v>
      </c>
      <c r="T913" s="609" t="s">
        <v>3344</v>
      </c>
      <c r="V913" s="328">
        <v>2.4420000000000002</v>
      </c>
      <c r="W913" s="320"/>
      <c r="X913" s="328">
        <f t="shared" si="380"/>
        <v>0</v>
      </c>
      <c r="Y913" s="464"/>
      <c r="Z913" s="328">
        <f t="shared" si="381"/>
        <v>0</v>
      </c>
      <c r="AB913" s="458">
        <f t="shared" si="382"/>
        <v>-2.4500000000000002</v>
      </c>
      <c r="AC913" s="348">
        <f t="shared" si="377"/>
        <v>-2.4500000000000002</v>
      </c>
    </row>
    <row r="914" spans="1:29">
      <c r="A914" s="318"/>
      <c r="B914" s="319"/>
      <c r="C914" s="318"/>
      <c r="D914" s="318"/>
      <c r="E914" s="319"/>
      <c r="F914" s="319"/>
      <c r="G914" s="318"/>
      <c r="H914" s="318"/>
      <c r="I914" s="318"/>
      <c r="J914" s="382" t="s">
        <v>389</v>
      </c>
      <c r="K914" s="338">
        <f>SUM(K862:K913)</f>
        <v>226.15000000000012</v>
      </c>
      <c r="L914" s="318"/>
      <c r="M914" s="318"/>
      <c r="N914" s="382" t="s">
        <v>389</v>
      </c>
      <c r="O914" s="759">
        <f>SUM(O862:O913)</f>
        <v>208.19000000000008</v>
      </c>
      <c r="P914" s="751" t="s">
        <v>389</v>
      </c>
      <c r="Q914" s="751"/>
      <c r="R914" s="382"/>
      <c r="S914" s="338">
        <f>SUM(S862:S913)</f>
        <v>199.21000000000006</v>
      </c>
      <c r="T914" s="323"/>
      <c r="V914" s="318"/>
      <c r="W914" s="321" t="s">
        <v>389</v>
      </c>
      <c r="X914" s="338">
        <f>SUM(X862:X913)</f>
        <v>107.56449999999997</v>
      </c>
      <c r="Y914" s="321" t="s">
        <v>389</v>
      </c>
      <c r="Z914" s="338">
        <f>SUM(Z862:Z913)</f>
        <v>53.880000000000017</v>
      </c>
      <c r="AB914" s="338"/>
      <c r="AC914" s="338"/>
    </row>
    <row r="915" spans="1:29" ht="6.75" customHeight="1">
      <c r="A915" s="316"/>
      <c r="B915" s="317"/>
      <c r="C915" s="316"/>
      <c r="D915" s="316"/>
      <c r="E915" s="317"/>
      <c r="F915" s="317"/>
      <c r="G915" s="316"/>
      <c r="H915" s="316"/>
      <c r="I915" s="316"/>
      <c r="J915" s="316"/>
      <c r="K915" s="316"/>
      <c r="L915" s="316"/>
      <c r="M915" s="316"/>
      <c r="N915" s="316"/>
      <c r="O915" s="749"/>
      <c r="P915" s="752"/>
      <c r="Q915" s="752"/>
      <c r="R915" s="316"/>
      <c r="S915" s="316"/>
      <c r="T915" s="317"/>
      <c r="V915" s="316"/>
      <c r="W915" s="316"/>
      <c r="X915" s="316"/>
      <c r="Y915" s="316"/>
      <c r="Z915" s="316"/>
      <c r="AB915" s="339"/>
      <c r="AC915" s="339"/>
    </row>
    <row r="916" spans="1:29">
      <c r="A916" s="318">
        <v>22</v>
      </c>
      <c r="B916" s="319" t="s">
        <v>383</v>
      </c>
      <c r="C916" s="318">
        <v>600</v>
      </c>
      <c r="D916" s="318">
        <v>29</v>
      </c>
      <c r="E916" s="319">
        <v>1</v>
      </c>
      <c r="F916" s="336"/>
      <c r="G916" s="318" t="s">
        <v>2230</v>
      </c>
      <c r="H916" s="328">
        <v>4.1100000000000003</v>
      </c>
      <c r="I916" s="318">
        <v>1</v>
      </c>
      <c r="J916" s="318">
        <f>IF(N916&gt;0,1,0)</f>
        <v>1</v>
      </c>
      <c r="K916" s="328">
        <f t="shared" ref="K916:K967" si="385">H916*J916</f>
        <v>4.1100000000000003</v>
      </c>
      <c r="L916" s="350" t="s">
        <v>3156</v>
      </c>
      <c r="M916" s="318">
        <v>234</v>
      </c>
      <c r="N916" s="318">
        <v>1</v>
      </c>
      <c r="O916" s="621">
        <f t="shared" ref="O916:O967" si="386">H916*N916</f>
        <v>4.1100000000000003</v>
      </c>
      <c r="P916" s="755">
        <v>1</v>
      </c>
      <c r="Q916" s="755">
        <f t="shared" ref="Q916:Q943" si="387">R916-P916</f>
        <v>0</v>
      </c>
      <c r="R916" s="341">
        <v>1</v>
      </c>
      <c r="S916" s="318">
        <f t="shared" ref="S916" si="388">H916*R916</f>
        <v>4.1100000000000003</v>
      </c>
      <c r="T916" s="319"/>
      <c r="V916" s="328"/>
      <c r="W916" s="318"/>
      <c r="X916" s="328">
        <f t="shared" ref="X916:X947" si="389">V916*W916</f>
        <v>0</v>
      </c>
      <c r="Y916" s="318"/>
      <c r="Z916" s="328">
        <f t="shared" ref="Z916:Z947" si="390">V916*Y916</f>
        <v>0</v>
      </c>
      <c r="AB916" s="348">
        <f t="shared" ref="AB916:AB947" si="391">X916-O916</f>
        <v>-4.1100000000000003</v>
      </c>
      <c r="AC916" s="348">
        <f t="shared" ref="AC916:AC967" si="392">Z916-S916</f>
        <v>-4.1100000000000003</v>
      </c>
    </row>
    <row r="917" spans="1:29">
      <c r="A917" s="318"/>
      <c r="B917" s="319"/>
      <c r="C917" s="318"/>
      <c r="D917" s="318"/>
      <c r="E917" s="319"/>
      <c r="F917" s="336"/>
      <c r="G917" s="318" t="s">
        <v>2231</v>
      </c>
      <c r="H917" s="328">
        <v>4.49</v>
      </c>
      <c r="I917" s="318">
        <v>1</v>
      </c>
      <c r="J917" s="318">
        <f>IF(N917&gt;0,1,0)</f>
        <v>1</v>
      </c>
      <c r="K917" s="328">
        <f t="shared" si="385"/>
        <v>4.49</v>
      </c>
      <c r="L917" s="350" t="s">
        <v>3192</v>
      </c>
      <c r="M917" s="318">
        <v>234</v>
      </c>
      <c r="N917" s="318">
        <v>1</v>
      </c>
      <c r="O917" s="621">
        <f t="shared" si="386"/>
        <v>4.49</v>
      </c>
      <c r="P917" s="755">
        <v>1</v>
      </c>
      <c r="Q917" s="755">
        <f t="shared" si="387"/>
        <v>0</v>
      </c>
      <c r="R917" s="341">
        <v>1</v>
      </c>
      <c r="S917" s="318">
        <f t="shared" ref="S917:S943" si="393">H917*R917</f>
        <v>4.49</v>
      </c>
      <c r="T917" s="319"/>
      <c r="V917" s="328"/>
      <c r="W917" s="318"/>
      <c r="X917" s="328">
        <f t="shared" si="389"/>
        <v>0</v>
      </c>
      <c r="Y917" s="318"/>
      <c r="Z917" s="328">
        <f t="shared" si="390"/>
        <v>0</v>
      </c>
      <c r="AB917" s="348">
        <f t="shared" si="391"/>
        <v>-4.49</v>
      </c>
      <c r="AC917" s="348">
        <f t="shared" si="392"/>
        <v>-4.49</v>
      </c>
    </row>
    <row r="918" spans="1:29">
      <c r="A918" s="318"/>
      <c r="B918" s="319"/>
      <c r="C918" s="318"/>
      <c r="D918" s="318"/>
      <c r="E918" s="319"/>
      <c r="F918" s="319"/>
      <c r="G918" s="318" t="s">
        <v>2232</v>
      </c>
      <c r="H918" s="328">
        <v>4.49</v>
      </c>
      <c r="I918" s="318">
        <v>1</v>
      </c>
      <c r="J918" s="318">
        <f>IF(N918&gt;0,1,0)</f>
        <v>1</v>
      </c>
      <c r="K918" s="328">
        <f t="shared" si="385"/>
        <v>4.49</v>
      </c>
      <c r="L918" s="350" t="s">
        <v>3192</v>
      </c>
      <c r="M918" s="318">
        <v>234</v>
      </c>
      <c r="N918" s="318">
        <v>1</v>
      </c>
      <c r="O918" s="621">
        <f t="shared" si="386"/>
        <v>4.49</v>
      </c>
      <c r="P918" s="755">
        <v>1</v>
      </c>
      <c r="Q918" s="755">
        <f t="shared" si="387"/>
        <v>0</v>
      </c>
      <c r="R918" s="341">
        <v>1</v>
      </c>
      <c r="S918" s="318">
        <f t="shared" si="393"/>
        <v>4.49</v>
      </c>
      <c r="T918" s="319"/>
      <c r="V918" s="328"/>
      <c r="W918" s="318"/>
      <c r="X918" s="328">
        <f t="shared" si="389"/>
        <v>0</v>
      </c>
      <c r="Y918" s="341"/>
      <c r="Z918" s="328">
        <f t="shared" si="390"/>
        <v>0</v>
      </c>
      <c r="AB918" s="348">
        <f t="shared" si="391"/>
        <v>-4.49</v>
      </c>
      <c r="AC918" s="348">
        <f t="shared" si="392"/>
        <v>-4.49</v>
      </c>
    </row>
    <row r="919" spans="1:29">
      <c r="A919" s="318"/>
      <c r="B919" s="319"/>
      <c r="C919" s="318"/>
      <c r="D919" s="318"/>
      <c r="E919" s="319"/>
      <c r="F919" s="319"/>
      <c r="G919" s="318" t="s">
        <v>2233</v>
      </c>
      <c r="H919" s="328">
        <v>4.49</v>
      </c>
      <c r="I919" s="318">
        <v>1</v>
      </c>
      <c r="J919" s="318">
        <f>IF(N919&gt;0,1,0)</f>
        <v>1</v>
      </c>
      <c r="K919" s="328">
        <f t="shared" si="385"/>
        <v>4.49</v>
      </c>
      <c r="L919" s="350" t="s">
        <v>3192</v>
      </c>
      <c r="M919" s="318">
        <v>234</v>
      </c>
      <c r="N919" s="318">
        <v>1</v>
      </c>
      <c r="O919" s="621">
        <f t="shared" si="386"/>
        <v>4.49</v>
      </c>
      <c r="P919" s="755">
        <v>1</v>
      </c>
      <c r="Q919" s="755">
        <f t="shared" si="387"/>
        <v>0</v>
      </c>
      <c r="R919" s="341">
        <v>1</v>
      </c>
      <c r="S919" s="318">
        <f t="shared" si="393"/>
        <v>4.49</v>
      </c>
      <c r="T919" s="319"/>
      <c r="V919" s="328"/>
      <c r="W919" s="318"/>
      <c r="X919" s="328">
        <f t="shared" si="389"/>
        <v>0</v>
      </c>
      <c r="Y919" s="341"/>
      <c r="Z919" s="328">
        <f t="shared" si="390"/>
        <v>0</v>
      </c>
      <c r="AB919" s="348">
        <f t="shared" si="391"/>
        <v>-4.49</v>
      </c>
      <c r="AC919" s="348">
        <f t="shared" si="392"/>
        <v>-4.49</v>
      </c>
    </row>
    <row r="920" spans="1:29">
      <c r="A920" s="318"/>
      <c r="B920" s="319"/>
      <c r="C920" s="318"/>
      <c r="D920" s="318"/>
      <c r="E920" s="319"/>
      <c r="F920" s="319"/>
      <c r="G920" s="318" t="s">
        <v>2234</v>
      </c>
      <c r="H920" s="328">
        <v>4.49</v>
      </c>
      <c r="I920" s="318">
        <v>1</v>
      </c>
      <c r="J920" s="318">
        <v>1</v>
      </c>
      <c r="K920" s="328">
        <f t="shared" si="385"/>
        <v>4.49</v>
      </c>
      <c r="L920" s="350" t="s">
        <v>3202</v>
      </c>
      <c r="M920" s="318"/>
      <c r="N920" s="318">
        <v>1</v>
      </c>
      <c r="O920" s="621">
        <f t="shared" si="386"/>
        <v>4.49</v>
      </c>
      <c r="P920" s="755">
        <v>1</v>
      </c>
      <c r="Q920" s="755">
        <f t="shared" si="387"/>
        <v>0</v>
      </c>
      <c r="R920" s="341">
        <v>1</v>
      </c>
      <c r="S920" s="318">
        <f t="shared" si="393"/>
        <v>4.49</v>
      </c>
      <c r="T920" s="319"/>
      <c r="V920" s="328"/>
      <c r="W920" s="318"/>
      <c r="X920" s="328">
        <f t="shared" si="389"/>
        <v>0</v>
      </c>
      <c r="Y920" s="341"/>
      <c r="Z920" s="328">
        <f t="shared" si="390"/>
        <v>0</v>
      </c>
      <c r="AB920" s="348">
        <f t="shared" si="391"/>
        <v>-4.49</v>
      </c>
      <c r="AC920" s="348">
        <f t="shared" si="392"/>
        <v>-4.49</v>
      </c>
    </row>
    <row r="921" spans="1:29">
      <c r="A921" s="318"/>
      <c r="B921" s="319"/>
      <c r="C921" s="318"/>
      <c r="D921" s="318"/>
      <c r="E921" s="319"/>
      <c r="F921" s="319"/>
      <c r="G921" s="318" t="s">
        <v>2235</v>
      </c>
      <c r="H921" s="328">
        <v>4.49</v>
      </c>
      <c r="I921" s="318">
        <v>1</v>
      </c>
      <c r="J921" s="318">
        <v>1</v>
      </c>
      <c r="K921" s="328">
        <f t="shared" si="385"/>
        <v>4.49</v>
      </c>
      <c r="L921" s="350" t="s">
        <v>3640</v>
      </c>
      <c r="M921" s="318">
        <v>302</v>
      </c>
      <c r="N921" s="318">
        <v>1</v>
      </c>
      <c r="O921" s="621">
        <f t="shared" si="386"/>
        <v>4.49</v>
      </c>
      <c r="P921" s="755">
        <v>1</v>
      </c>
      <c r="Q921" s="755">
        <f t="shared" si="387"/>
        <v>0</v>
      </c>
      <c r="R921" s="341">
        <v>1</v>
      </c>
      <c r="S921" s="318">
        <f t="shared" si="393"/>
        <v>4.49</v>
      </c>
      <c r="T921" s="319"/>
      <c r="V921" s="328"/>
      <c r="W921" s="318"/>
      <c r="X921" s="328">
        <f t="shared" si="389"/>
        <v>0</v>
      </c>
      <c r="Y921" s="341"/>
      <c r="Z921" s="328">
        <f t="shared" si="390"/>
        <v>0</v>
      </c>
      <c r="AB921" s="348">
        <f t="shared" si="391"/>
        <v>-4.49</v>
      </c>
      <c r="AC921" s="348">
        <f t="shared" si="392"/>
        <v>-4.49</v>
      </c>
    </row>
    <row r="922" spans="1:29">
      <c r="A922" s="318"/>
      <c r="B922" s="319"/>
      <c r="C922" s="318"/>
      <c r="D922" s="318"/>
      <c r="E922" s="319"/>
      <c r="F922" s="319"/>
      <c r="G922" s="318" t="s">
        <v>2236</v>
      </c>
      <c r="H922" s="328">
        <v>4.49</v>
      </c>
      <c r="I922" s="318">
        <v>1</v>
      </c>
      <c r="J922" s="318">
        <v>1</v>
      </c>
      <c r="K922" s="328">
        <f t="shared" si="385"/>
        <v>4.49</v>
      </c>
      <c r="L922" s="350" t="s">
        <v>3202</v>
      </c>
      <c r="M922" s="318"/>
      <c r="N922" s="318">
        <v>1</v>
      </c>
      <c r="O922" s="621">
        <f t="shared" si="386"/>
        <v>4.49</v>
      </c>
      <c r="P922" s="755">
        <v>1</v>
      </c>
      <c r="Q922" s="755">
        <f t="shared" si="387"/>
        <v>0</v>
      </c>
      <c r="R922" s="341">
        <v>1</v>
      </c>
      <c r="S922" s="318">
        <f t="shared" si="393"/>
        <v>4.49</v>
      </c>
      <c r="T922" s="319"/>
      <c r="V922" s="328"/>
      <c r="W922" s="318"/>
      <c r="X922" s="328">
        <f t="shared" si="389"/>
        <v>0</v>
      </c>
      <c r="Y922" s="341"/>
      <c r="Z922" s="328">
        <f t="shared" si="390"/>
        <v>0</v>
      </c>
      <c r="AB922" s="348">
        <f t="shared" si="391"/>
        <v>-4.49</v>
      </c>
      <c r="AC922" s="348">
        <f t="shared" si="392"/>
        <v>-4.49</v>
      </c>
    </row>
    <row r="923" spans="1:29">
      <c r="A923" s="318"/>
      <c r="B923" s="319"/>
      <c r="C923" s="318"/>
      <c r="D923" s="318"/>
      <c r="E923" s="319"/>
      <c r="F923" s="319"/>
      <c r="G923" s="318" t="s">
        <v>2237</v>
      </c>
      <c r="H923" s="328">
        <v>4.49</v>
      </c>
      <c r="I923" s="318">
        <v>1</v>
      </c>
      <c r="J923" s="318">
        <v>1</v>
      </c>
      <c r="K923" s="328">
        <f t="shared" si="385"/>
        <v>4.49</v>
      </c>
      <c r="L923" s="350" t="s">
        <v>3202</v>
      </c>
      <c r="M923" s="318"/>
      <c r="N923" s="318">
        <v>1</v>
      </c>
      <c r="O923" s="621">
        <f t="shared" si="386"/>
        <v>4.49</v>
      </c>
      <c r="P923" s="755">
        <v>1</v>
      </c>
      <c r="Q923" s="755">
        <f t="shared" si="387"/>
        <v>0</v>
      </c>
      <c r="R923" s="341">
        <v>1</v>
      </c>
      <c r="S923" s="318">
        <f t="shared" si="393"/>
        <v>4.49</v>
      </c>
      <c r="T923" s="319"/>
      <c r="V923" s="328"/>
      <c r="W923" s="318"/>
      <c r="X923" s="328">
        <f t="shared" si="389"/>
        <v>0</v>
      </c>
      <c r="Y923" s="341"/>
      <c r="Z923" s="328">
        <f t="shared" si="390"/>
        <v>0</v>
      </c>
      <c r="AB923" s="348">
        <f t="shared" si="391"/>
        <v>-4.49</v>
      </c>
      <c r="AC923" s="348">
        <f t="shared" si="392"/>
        <v>-4.49</v>
      </c>
    </row>
    <row r="924" spans="1:29">
      <c r="A924" s="318"/>
      <c r="B924" s="319"/>
      <c r="C924" s="318"/>
      <c r="D924" s="318"/>
      <c r="E924" s="319"/>
      <c r="F924" s="319"/>
      <c r="G924" s="318" t="s">
        <v>2238</v>
      </c>
      <c r="H924" s="328">
        <v>4.49</v>
      </c>
      <c r="I924" s="318">
        <v>1</v>
      </c>
      <c r="J924" s="318">
        <f>IF(N924&gt;0,1,0)</f>
        <v>1</v>
      </c>
      <c r="K924" s="328">
        <f t="shared" si="385"/>
        <v>4.49</v>
      </c>
      <c r="L924" s="471" t="s">
        <v>3157</v>
      </c>
      <c r="M924" s="318">
        <v>234</v>
      </c>
      <c r="N924" s="318">
        <v>1</v>
      </c>
      <c r="O924" s="621">
        <f t="shared" si="386"/>
        <v>4.49</v>
      </c>
      <c r="P924" s="755">
        <v>1</v>
      </c>
      <c r="Q924" s="755">
        <f t="shared" si="387"/>
        <v>0</v>
      </c>
      <c r="R924" s="341">
        <v>1</v>
      </c>
      <c r="S924" s="318">
        <f t="shared" si="393"/>
        <v>4.49</v>
      </c>
      <c r="T924" s="319"/>
      <c r="V924" s="328"/>
      <c r="W924" s="318"/>
      <c r="X924" s="328">
        <f t="shared" si="389"/>
        <v>0</v>
      </c>
      <c r="Y924" s="341"/>
      <c r="Z924" s="328">
        <f t="shared" si="390"/>
        <v>0</v>
      </c>
      <c r="AB924" s="348">
        <f t="shared" si="391"/>
        <v>-4.49</v>
      </c>
      <c r="AC924" s="348">
        <f t="shared" si="392"/>
        <v>-4.49</v>
      </c>
    </row>
    <row r="925" spans="1:29">
      <c r="A925" s="318"/>
      <c r="B925" s="319"/>
      <c r="C925" s="318"/>
      <c r="D925" s="318"/>
      <c r="E925" s="319"/>
      <c r="F925" s="319"/>
      <c r="G925" s="318" t="s">
        <v>2239</v>
      </c>
      <c r="H925" s="328">
        <v>4.49</v>
      </c>
      <c r="I925" s="318">
        <v>1</v>
      </c>
      <c r="J925" s="318">
        <f>IF(N925&gt;0,1,0)</f>
        <v>1</v>
      </c>
      <c r="K925" s="328">
        <f t="shared" si="385"/>
        <v>4.49</v>
      </c>
      <c r="L925" s="350" t="s">
        <v>3156</v>
      </c>
      <c r="M925" s="318">
        <v>234</v>
      </c>
      <c r="N925" s="318">
        <v>1</v>
      </c>
      <c r="O925" s="621">
        <f t="shared" si="386"/>
        <v>4.49</v>
      </c>
      <c r="P925" s="755">
        <v>1</v>
      </c>
      <c r="Q925" s="755">
        <f t="shared" si="387"/>
        <v>0</v>
      </c>
      <c r="R925" s="341">
        <v>1</v>
      </c>
      <c r="S925" s="318">
        <f t="shared" si="393"/>
        <v>4.49</v>
      </c>
      <c r="T925" s="319"/>
      <c r="V925" s="328"/>
      <c r="W925" s="318"/>
      <c r="X925" s="328">
        <f t="shared" si="389"/>
        <v>0</v>
      </c>
      <c r="Y925" s="341"/>
      <c r="Z925" s="328">
        <f t="shared" si="390"/>
        <v>0</v>
      </c>
      <c r="AB925" s="348">
        <f t="shared" si="391"/>
        <v>-4.49</v>
      </c>
      <c r="AC925" s="348">
        <f t="shared" si="392"/>
        <v>-4.49</v>
      </c>
    </row>
    <row r="926" spans="1:29">
      <c r="A926" s="318"/>
      <c r="B926" s="319"/>
      <c r="C926" s="318"/>
      <c r="D926" s="318"/>
      <c r="E926" s="319"/>
      <c r="F926" s="336"/>
      <c r="G926" s="318" t="s">
        <v>2240</v>
      </c>
      <c r="H926" s="328">
        <v>4.49</v>
      </c>
      <c r="I926" s="318">
        <v>1</v>
      </c>
      <c r="J926" s="318">
        <f>IF(N926&gt;0,1,0)</f>
        <v>1</v>
      </c>
      <c r="K926" s="328">
        <f t="shared" si="385"/>
        <v>4.49</v>
      </c>
      <c r="L926" s="350" t="s">
        <v>3156</v>
      </c>
      <c r="M926" s="318">
        <v>234</v>
      </c>
      <c r="N926" s="318">
        <v>1</v>
      </c>
      <c r="O926" s="621">
        <f t="shared" si="386"/>
        <v>4.49</v>
      </c>
      <c r="P926" s="755">
        <v>1</v>
      </c>
      <c r="Q926" s="755">
        <f t="shared" si="387"/>
        <v>0</v>
      </c>
      <c r="R926" s="341">
        <v>1</v>
      </c>
      <c r="S926" s="318">
        <f t="shared" si="393"/>
        <v>4.49</v>
      </c>
      <c r="T926" s="319"/>
      <c r="V926" s="328"/>
      <c r="W926" s="318"/>
      <c r="X926" s="328">
        <f t="shared" si="389"/>
        <v>0</v>
      </c>
      <c r="Y926" s="341"/>
      <c r="Z926" s="328">
        <f t="shared" si="390"/>
        <v>0</v>
      </c>
      <c r="AB926" s="348">
        <f t="shared" si="391"/>
        <v>-4.49</v>
      </c>
      <c r="AC926" s="348">
        <f t="shared" si="392"/>
        <v>-4.49</v>
      </c>
    </row>
    <row r="927" spans="1:29">
      <c r="A927" s="318"/>
      <c r="B927" s="319"/>
      <c r="C927" s="318"/>
      <c r="D927" s="318"/>
      <c r="E927" s="319"/>
      <c r="F927" s="336"/>
      <c r="G927" s="318" t="s">
        <v>2241</v>
      </c>
      <c r="H927" s="328">
        <v>4.49</v>
      </c>
      <c r="I927" s="318">
        <v>1</v>
      </c>
      <c r="J927" s="318">
        <f>IF(N927&gt;0,1,0)</f>
        <v>1</v>
      </c>
      <c r="K927" s="328">
        <f t="shared" si="385"/>
        <v>4.49</v>
      </c>
      <c r="L927" s="350" t="s">
        <v>3156</v>
      </c>
      <c r="M927" s="318">
        <v>234</v>
      </c>
      <c r="N927" s="318">
        <v>1</v>
      </c>
      <c r="O927" s="621">
        <f t="shared" si="386"/>
        <v>4.49</v>
      </c>
      <c r="P927" s="755">
        <v>1</v>
      </c>
      <c r="Q927" s="755">
        <f t="shared" si="387"/>
        <v>0</v>
      </c>
      <c r="R927" s="341">
        <v>1</v>
      </c>
      <c r="S927" s="318">
        <f t="shared" si="393"/>
        <v>4.49</v>
      </c>
      <c r="T927" s="319"/>
      <c r="V927" s="328"/>
      <c r="W927" s="318"/>
      <c r="X927" s="328">
        <f t="shared" si="389"/>
        <v>0</v>
      </c>
      <c r="Y927" s="341"/>
      <c r="Z927" s="328">
        <f t="shared" si="390"/>
        <v>0</v>
      </c>
      <c r="AB927" s="348">
        <f t="shared" si="391"/>
        <v>-4.49</v>
      </c>
      <c r="AC927" s="348">
        <f t="shared" si="392"/>
        <v>-4.49</v>
      </c>
    </row>
    <row r="928" spans="1:29">
      <c r="A928" s="318"/>
      <c r="B928" s="319"/>
      <c r="C928" s="318"/>
      <c r="D928" s="318"/>
      <c r="E928" s="319"/>
      <c r="F928" s="319"/>
      <c r="G928" s="318" t="s">
        <v>2242</v>
      </c>
      <c r="H928" s="328">
        <v>4.49</v>
      </c>
      <c r="I928" s="318">
        <v>1</v>
      </c>
      <c r="J928" s="318">
        <f>IF(N928&gt;0,1,0)</f>
        <v>1</v>
      </c>
      <c r="K928" s="328">
        <f t="shared" si="385"/>
        <v>4.49</v>
      </c>
      <c r="L928" s="350" t="s">
        <v>3192</v>
      </c>
      <c r="M928" s="318">
        <v>234</v>
      </c>
      <c r="N928" s="318">
        <v>1</v>
      </c>
      <c r="O928" s="621">
        <f t="shared" si="386"/>
        <v>4.49</v>
      </c>
      <c r="P928" s="755">
        <v>1</v>
      </c>
      <c r="Q928" s="755">
        <f t="shared" si="387"/>
        <v>0</v>
      </c>
      <c r="R928" s="341">
        <v>1</v>
      </c>
      <c r="S928" s="318">
        <f t="shared" si="393"/>
        <v>4.49</v>
      </c>
      <c r="T928" s="319"/>
      <c r="V928" s="328"/>
      <c r="W928" s="318"/>
      <c r="X928" s="328">
        <f t="shared" si="389"/>
        <v>0</v>
      </c>
      <c r="Y928" s="341"/>
      <c r="Z928" s="328">
        <f t="shared" si="390"/>
        <v>0</v>
      </c>
      <c r="AB928" s="348">
        <f t="shared" si="391"/>
        <v>-4.49</v>
      </c>
      <c r="AC928" s="348">
        <f t="shared" si="392"/>
        <v>-4.49</v>
      </c>
    </row>
    <row r="929" spans="1:29">
      <c r="A929" s="318"/>
      <c r="B929" s="319"/>
      <c r="C929" s="318"/>
      <c r="D929" s="318"/>
      <c r="E929" s="319"/>
      <c r="F929" s="319"/>
      <c r="G929" s="318" t="s">
        <v>2243</v>
      </c>
      <c r="H929" s="328">
        <v>4.49</v>
      </c>
      <c r="I929" s="318">
        <v>1</v>
      </c>
      <c r="J929" s="318">
        <v>1</v>
      </c>
      <c r="K929" s="328">
        <f t="shared" si="385"/>
        <v>4.49</v>
      </c>
      <c r="L929" s="350" t="s">
        <v>3199</v>
      </c>
      <c r="M929" s="318"/>
      <c r="N929" s="318">
        <v>1</v>
      </c>
      <c r="O929" s="621">
        <f t="shared" si="386"/>
        <v>4.49</v>
      </c>
      <c r="P929" s="755">
        <v>1</v>
      </c>
      <c r="Q929" s="755">
        <f t="shared" si="387"/>
        <v>0</v>
      </c>
      <c r="R929" s="341">
        <v>1</v>
      </c>
      <c r="S929" s="318">
        <f t="shared" si="393"/>
        <v>4.49</v>
      </c>
      <c r="T929" s="319"/>
      <c r="V929" s="328"/>
      <c r="W929" s="318"/>
      <c r="X929" s="328">
        <f t="shared" si="389"/>
        <v>0</v>
      </c>
      <c r="Y929" s="341"/>
      <c r="Z929" s="328">
        <f t="shared" si="390"/>
        <v>0</v>
      </c>
      <c r="AB929" s="348">
        <f t="shared" si="391"/>
        <v>-4.49</v>
      </c>
      <c r="AC929" s="348">
        <f t="shared" si="392"/>
        <v>-4.49</v>
      </c>
    </row>
    <row r="930" spans="1:29">
      <c r="A930" s="318"/>
      <c r="B930" s="319"/>
      <c r="C930" s="318"/>
      <c r="D930" s="318"/>
      <c r="E930" s="319"/>
      <c r="F930" s="319"/>
      <c r="G930" s="318" t="s">
        <v>2244</v>
      </c>
      <c r="H930" s="328">
        <v>4.49</v>
      </c>
      <c r="I930" s="318">
        <v>1</v>
      </c>
      <c r="J930" s="318">
        <v>1</v>
      </c>
      <c r="K930" s="328">
        <f t="shared" si="385"/>
        <v>4.49</v>
      </c>
      <c r="L930" s="350" t="s">
        <v>3199</v>
      </c>
      <c r="M930" s="318"/>
      <c r="N930" s="318">
        <v>1</v>
      </c>
      <c r="O930" s="621">
        <f t="shared" si="386"/>
        <v>4.49</v>
      </c>
      <c r="P930" s="755">
        <v>1</v>
      </c>
      <c r="Q930" s="755">
        <f t="shared" si="387"/>
        <v>0</v>
      </c>
      <c r="R930" s="341">
        <v>1</v>
      </c>
      <c r="S930" s="318">
        <f t="shared" si="393"/>
        <v>4.49</v>
      </c>
      <c r="T930" s="319"/>
      <c r="V930" s="328"/>
      <c r="W930" s="318"/>
      <c r="X930" s="328">
        <f t="shared" si="389"/>
        <v>0</v>
      </c>
      <c r="Y930" s="341"/>
      <c r="Z930" s="328">
        <f t="shared" si="390"/>
        <v>0</v>
      </c>
      <c r="AB930" s="348">
        <f t="shared" si="391"/>
        <v>-4.49</v>
      </c>
      <c r="AC930" s="348">
        <f t="shared" si="392"/>
        <v>-4.49</v>
      </c>
    </row>
    <row r="931" spans="1:29">
      <c r="A931" s="318"/>
      <c r="B931" s="319"/>
      <c r="C931" s="318"/>
      <c r="D931" s="318"/>
      <c r="E931" s="319"/>
      <c r="F931" s="336"/>
      <c r="G931" s="318" t="s">
        <v>2245</v>
      </c>
      <c r="H931" s="328">
        <v>4.49</v>
      </c>
      <c r="I931" s="318">
        <v>1</v>
      </c>
      <c r="J931" s="318">
        <v>1</v>
      </c>
      <c r="K931" s="328">
        <f t="shared" si="385"/>
        <v>4.49</v>
      </c>
      <c r="L931" s="350" t="s">
        <v>3200</v>
      </c>
      <c r="M931" s="318"/>
      <c r="N931" s="318">
        <v>1</v>
      </c>
      <c r="O931" s="621">
        <f t="shared" si="386"/>
        <v>4.49</v>
      </c>
      <c r="P931" s="755">
        <v>1</v>
      </c>
      <c r="Q931" s="755">
        <f t="shared" si="387"/>
        <v>0</v>
      </c>
      <c r="R931" s="341">
        <v>1</v>
      </c>
      <c r="S931" s="318">
        <f t="shared" si="393"/>
        <v>4.49</v>
      </c>
      <c r="T931" s="319"/>
      <c r="V931" s="328"/>
      <c r="W931" s="318"/>
      <c r="X931" s="328">
        <f t="shared" si="389"/>
        <v>0</v>
      </c>
      <c r="Y931" s="318"/>
      <c r="Z931" s="328">
        <f t="shared" si="390"/>
        <v>0</v>
      </c>
      <c r="AB931" s="348">
        <f t="shared" si="391"/>
        <v>-4.49</v>
      </c>
      <c r="AC931" s="348">
        <f t="shared" si="392"/>
        <v>-4.49</v>
      </c>
    </row>
    <row r="932" spans="1:29">
      <c r="A932" s="318"/>
      <c r="B932" s="319"/>
      <c r="C932" s="318"/>
      <c r="D932" s="318"/>
      <c r="E932" s="319"/>
      <c r="F932" s="336"/>
      <c r="G932" s="318" t="s">
        <v>2246</v>
      </c>
      <c r="H932" s="328">
        <v>4.49</v>
      </c>
      <c r="I932" s="318">
        <v>1</v>
      </c>
      <c r="J932" s="318">
        <v>1</v>
      </c>
      <c r="K932" s="328">
        <f t="shared" si="385"/>
        <v>4.49</v>
      </c>
      <c r="L932" s="350" t="s">
        <v>3193</v>
      </c>
      <c r="M932" s="318">
        <v>239</v>
      </c>
      <c r="N932" s="318">
        <v>1</v>
      </c>
      <c r="O932" s="621">
        <f t="shared" si="386"/>
        <v>4.49</v>
      </c>
      <c r="P932" s="755">
        <v>1</v>
      </c>
      <c r="Q932" s="755">
        <f t="shared" si="387"/>
        <v>0</v>
      </c>
      <c r="R932" s="341">
        <v>1</v>
      </c>
      <c r="S932" s="318">
        <f t="shared" si="393"/>
        <v>4.49</v>
      </c>
      <c r="T932" s="319"/>
      <c r="V932" s="328"/>
      <c r="W932" s="318"/>
      <c r="X932" s="328">
        <f t="shared" si="389"/>
        <v>0</v>
      </c>
      <c r="Y932" s="318"/>
      <c r="Z932" s="328">
        <f t="shared" si="390"/>
        <v>0</v>
      </c>
      <c r="AB932" s="348">
        <f t="shared" si="391"/>
        <v>-4.49</v>
      </c>
      <c r="AC932" s="348">
        <f t="shared" si="392"/>
        <v>-4.49</v>
      </c>
    </row>
    <row r="933" spans="1:29">
      <c r="A933" s="318"/>
      <c r="B933" s="319"/>
      <c r="C933" s="318"/>
      <c r="D933" s="318"/>
      <c r="E933" s="319"/>
      <c r="F933" s="336"/>
      <c r="G933" s="318" t="s">
        <v>2247</v>
      </c>
      <c r="H933" s="328">
        <v>4.49</v>
      </c>
      <c r="I933" s="318">
        <v>1</v>
      </c>
      <c r="J933" s="318">
        <f t="shared" ref="J933:J941" si="394">IF(N933&gt;0,1,0)</f>
        <v>1</v>
      </c>
      <c r="K933" s="328">
        <f t="shared" si="385"/>
        <v>4.49</v>
      </c>
      <c r="L933" s="318">
        <v>2438</v>
      </c>
      <c r="M933" s="318">
        <v>239</v>
      </c>
      <c r="N933" s="318">
        <v>1</v>
      </c>
      <c r="O933" s="621">
        <f t="shared" si="386"/>
        <v>4.49</v>
      </c>
      <c r="P933" s="755">
        <v>1</v>
      </c>
      <c r="Q933" s="755">
        <f t="shared" si="387"/>
        <v>0</v>
      </c>
      <c r="R933" s="341">
        <v>1</v>
      </c>
      <c r="S933" s="318">
        <f t="shared" si="393"/>
        <v>4.49</v>
      </c>
      <c r="T933" s="319"/>
      <c r="V933" s="328"/>
      <c r="W933" s="318"/>
      <c r="X933" s="328">
        <f t="shared" si="389"/>
        <v>0</v>
      </c>
      <c r="Y933" s="341"/>
      <c r="Z933" s="328">
        <f t="shared" si="390"/>
        <v>0</v>
      </c>
      <c r="AB933" s="348">
        <f t="shared" si="391"/>
        <v>-4.49</v>
      </c>
      <c r="AC933" s="348">
        <f t="shared" si="392"/>
        <v>-4.49</v>
      </c>
    </row>
    <row r="934" spans="1:29">
      <c r="A934" s="318"/>
      <c r="B934" s="319"/>
      <c r="C934" s="318"/>
      <c r="D934" s="318"/>
      <c r="E934" s="319"/>
      <c r="F934" s="319"/>
      <c r="G934" s="318" t="s">
        <v>2248</v>
      </c>
      <c r="H934" s="328">
        <v>4.74</v>
      </c>
      <c r="I934" s="318">
        <v>1</v>
      </c>
      <c r="J934" s="318">
        <f t="shared" si="394"/>
        <v>1</v>
      </c>
      <c r="K934" s="328">
        <f t="shared" si="385"/>
        <v>4.74</v>
      </c>
      <c r="L934" s="318">
        <v>2437</v>
      </c>
      <c r="M934" s="318">
        <v>239</v>
      </c>
      <c r="N934" s="318">
        <v>1</v>
      </c>
      <c r="O934" s="621">
        <f t="shared" si="386"/>
        <v>4.74</v>
      </c>
      <c r="P934" s="755">
        <v>1</v>
      </c>
      <c r="Q934" s="755">
        <f t="shared" si="387"/>
        <v>0</v>
      </c>
      <c r="R934" s="341">
        <v>1</v>
      </c>
      <c r="S934" s="318">
        <f t="shared" si="393"/>
        <v>4.74</v>
      </c>
      <c r="T934" s="319"/>
      <c r="V934" s="328"/>
      <c r="W934" s="318"/>
      <c r="X934" s="328">
        <f t="shared" si="389"/>
        <v>0</v>
      </c>
      <c r="Y934" s="341"/>
      <c r="Z934" s="328">
        <f t="shared" si="390"/>
        <v>0</v>
      </c>
      <c r="AB934" s="348">
        <f t="shared" si="391"/>
        <v>-4.74</v>
      </c>
      <c r="AC934" s="348">
        <f t="shared" si="392"/>
        <v>-4.74</v>
      </c>
    </row>
    <row r="935" spans="1:29">
      <c r="A935" s="318"/>
      <c r="B935" s="319"/>
      <c r="C935" s="318"/>
      <c r="D935" s="318"/>
      <c r="E935" s="319"/>
      <c r="F935" s="319"/>
      <c r="G935" s="318" t="s">
        <v>2249</v>
      </c>
      <c r="H935" s="328">
        <v>4.49</v>
      </c>
      <c r="I935" s="318">
        <v>1</v>
      </c>
      <c r="J935" s="318">
        <f t="shared" si="394"/>
        <v>1</v>
      </c>
      <c r="K935" s="328">
        <f t="shared" si="385"/>
        <v>4.49</v>
      </c>
      <c r="L935" s="318">
        <v>2451</v>
      </c>
      <c r="M935" s="318">
        <v>241</v>
      </c>
      <c r="N935" s="318">
        <v>1</v>
      </c>
      <c r="O935" s="621">
        <f t="shared" si="386"/>
        <v>4.49</v>
      </c>
      <c r="P935" s="755">
        <v>1</v>
      </c>
      <c r="Q935" s="755">
        <f t="shared" si="387"/>
        <v>0</v>
      </c>
      <c r="R935" s="341">
        <v>1</v>
      </c>
      <c r="S935" s="318">
        <f t="shared" si="393"/>
        <v>4.49</v>
      </c>
      <c r="T935" s="319"/>
      <c r="V935" s="328"/>
      <c r="W935" s="318"/>
      <c r="X935" s="328">
        <f t="shared" si="389"/>
        <v>0</v>
      </c>
      <c r="Y935" s="341"/>
      <c r="Z935" s="328">
        <f t="shared" si="390"/>
        <v>0</v>
      </c>
      <c r="AB935" s="348">
        <f t="shared" si="391"/>
        <v>-4.49</v>
      </c>
      <c r="AC935" s="348">
        <f t="shared" si="392"/>
        <v>-4.49</v>
      </c>
    </row>
    <row r="936" spans="1:29">
      <c r="A936" s="318"/>
      <c r="B936" s="319"/>
      <c r="C936" s="318"/>
      <c r="D936" s="318"/>
      <c r="E936" s="319"/>
      <c r="F936" s="336"/>
      <c r="G936" s="318" t="s">
        <v>2250</v>
      </c>
      <c r="H936" s="328">
        <v>4.49</v>
      </c>
      <c r="I936" s="318">
        <v>1</v>
      </c>
      <c r="J936" s="318">
        <f t="shared" si="394"/>
        <v>1</v>
      </c>
      <c r="K936" s="328">
        <f t="shared" si="385"/>
        <v>4.49</v>
      </c>
      <c r="L936" s="318">
        <v>2451</v>
      </c>
      <c r="M936" s="318">
        <v>241</v>
      </c>
      <c r="N936" s="318">
        <v>1</v>
      </c>
      <c r="O936" s="621">
        <f t="shared" si="386"/>
        <v>4.49</v>
      </c>
      <c r="P936" s="755">
        <v>1</v>
      </c>
      <c r="Q936" s="755">
        <f t="shared" si="387"/>
        <v>0</v>
      </c>
      <c r="R936" s="341">
        <v>1</v>
      </c>
      <c r="S936" s="318">
        <f t="shared" si="393"/>
        <v>4.49</v>
      </c>
      <c r="T936" s="389"/>
      <c r="V936" s="328"/>
      <c r="W936" s="318"/>
      <c r="X936" s="328">
        <f t="shared" si="389"/>
        <v>0</v>
      </c>
      <c r="Y936" s="341"/>
      <c r="Z936" s="328">
        <f t="shared" si="390"/>
        <v>0</v>
      </c>
      <c r="AB936" s="348">
        <f t="shared" si="391"/>
        <v>-4.49</v>
      </c>
      <c r="AC936" s="348">
        <f t="shared" si="392"/>
        <v>-4.49</v>
      </c>
    </row>
    <row r="937" spans="1:29" ht="14.4" customHeight="1">
      <c r="A937" s="318"/>
      <c r="B937" s="319"/>
      <c r="C937" s="318"/>
      <c r="D937" s="318"/>
      <c r="E937" s="319"/>
      <c r="F937" s="336"/>
      <c r="G937" s="318" t="s">
        <v>2251</v>
      </c>
      <c r="H937" s="328">
        <v>4.49</v>
      </c>
      <c r="I937" s="318">
        <v>1</v>
      </c>
      <c r="J937" s="318">
        <f t="shared" si="394"/>
        <v>1</v>
      </c>
      <c r="K937" s="328">
        <f t="shared" si="385"/>
        <v>4.49</v>
      </c>
      <c r="L937" s="318">
        <v>2438</v>
      </c>
      <c r="M937" s="318">
        <v>239</v>
      </c>
      <c r="N937" s="318">
        <v>1</v>
      </c>
      <c r="O937" s="621">
        <f t="shared" si="386"/>
        <v>4.49</v>
      </c>
      <c r="P937" s="755">
        <v>1</v>
      </c>
      <c r="Q937" s="755">
        <f t="shared" si="387"/>
        <v>0</v>
      </c>
      <c r="R937" s="341">
        <v>1</v>
      </c>
      <c r="S937" s="318">
        <f t="shared" si="393"/>
        <v>4.49</v>
      </c>
      <c r="T937" s="388"/>
      <c r="V937" s="328"/>
      <c r="W937" s="318"/>
      <c r="X937" s="328">
        <f t="shared" si="389"/>
        <v>0</v>
      </c>
      <c r="Y937" s="341"/>
      <c r="Z937" s="328">
        <f t="shared" si="390"/>
        <v>0</v>
      </c>
      <c r="AB937" s="348">
        <f t="shared" si="391"/>
        <v>-4.49</v>
      </c>
      <c r="AC937" s="348">
        <f t="shared" si="392"/>
        <v>-4.49</v>
      </c>
    </row>
    <row r="938" spans="1:29">
      <c r="A938" s="318"/>
      <c r="B938" s="319"/>
      <c r="C938" s="318"/>
      <c r="D938" s="318"/>
      <c r="E938" s="319"/>
      <c r="F938" s="336"/>
      <c r="G938" s="318" t="s">
        <v>2252</v>
      </c>
      <c r="H938" s="328">
        <v>4.49</v>
      </c>
      <c r="I938" s="318">
        <v>1</v>
      </c>
      <c r="J938" s="318">
        <f t="shared" si="394"/>
        <v>1</v>
      </c>
      <c r="K938" s="328">
        <f t="shared" si="385"/>
        <v>4.49</v>
      </c>
      <c r="L938" s="318">
        <v>2438</v>
      </c>
      <c r="M938" s="318">
        <v>239</v>
      </c>
      <c r="N938" s="318">
        <v>1</v>
      </c>
      <c r="O938" s="621">
        <f t="shared" si="386"/>
        <v>4.49</v>
      </c>
      <c r="P938" s="755">
        <v>1</v>
      </c>
      <c r="Q938" s="755">
        <f t="shared" si="387"/>
        <v>0</v>
      </c>
      <c r="R938" s="341">
        <v>1</v>
      </c>
      <c r="S938" s="318">
        <f t="shared" si="393"/>
        <v>4.49</v>
      </c>
      <c r="T938" s="388"/>
      <c r="V938" s="328"/>
      <c r="W938" s="318"/>
      <c r="X938" s="328">
        <f t="shared" si="389"/>
        <v>0</v>
      </c>
      <c r="Y938" s="341"/>
      <c r="Z938" s="328">
        <f t="shared" si="390"/>
        <v>0</v>
      </c>
      <c r="AB938" s="348">
        <f t="shared" si="391"/>
        <v>-4.49</v>
      </c>
      <c r="AC938" s="348">
        <f t="shared" si="392"/>
        <v>-4.49</v>
      </c>
    </row>
    <row r="939" spans="1:29">
      <c r="A939" s="318"/>
      <c r="B939" s="319"/>
      <c r="C939" s="318"/>
      <c r="D939" s="318"/>
      <c r="E939" s="319"/>
      <c r="F939" s="336"/>
      <c r="G939" s="318" t="s">
        <v>2253</v>
      </c>
      <c r="H939" s="328">
        <v>4.74</v>
      </c>
      <c r="I939" s="318">
        <v>1</v>
      </c>
      <c r="J939" s="318">
        <f t="shared" si="394"/>
        <v>1</v>
      </c>
      <c r="K939" s="328">
        <f t="shared" si="385"/>
        <v>4.74</v>
      </c>
      <c r="L939" s="318">
        <v>2437</v>
      </c>
      <c r="M939" s="318">
        <v>239</v>
      </c>
      <c r="N939" s="318">
        <v>1</v>
      </c>
      <c r="O939" s="621">
        <f t="shared" si="386"/>
        <v>4.74</v>
      </c>
      <c r="P939" s="755">
        <v>1</v>
      </c>
      <c r="Q939" s="755">
        <f t="shared" si="387"/>
        <v>0</v>
      </c>
      <c r="R939" s="341">
        <v>1</v>
      </c>
      <c r="S939" s="318">
        <f t="shared" si="393"/>
        <v>4.74</v>
      </c>
      <c r="T939" s="388"/>
      <c r="V939" s="328"/>
      <c r="W939" s="318"/>
      <c r="X939" s="328">
        <f t="shared" si="389"/>
        <v>0</v>
      </c>
      <c r="Y939" s="341"/>
      <c r="Z939" s="328">
        <f t="shared" si="390"/>
        <v>0</v>
      </c>
      <c r="AB939" s="348">
        <f t="shared" si="391"/>
        <v>-4.74</v>
      </c>
      <c r="AC939" s="348">
        <f t="shared" si="392"/>
        <v>-4.74</v>
      </c>
    </row>
    <row r="940" spans="1:29">
      <c r="A940" s="318"/>
      <c r="B940" s="319"/>
      <c r="C940" s="318"/>
      <c r="D940" s="318"/>
      <c r="E940" s="319"/>
      <c r="F940" s="336"/>
      <c r="G940" s="318" t="s">
        <v>2254</v>
      </c>
      <c r="H940" s="328">
        <v>4.49</v>
      </c>
      <c r="I940" s="318">
        <v>1</v>
      </c>
      <c r="J940" s="318">
        <f t="shared" si="394"/>
        <v>1</v>
      </c>
      <c r="K940" s="328">
        <f t="shared" si="385"/>
        <v>4.49</v>
      </c>
      <c r="L940" s="350" t="s">
        <v>3201</v>
      </c>
      <c r="M940" s="318">
        <v>239</v>
      </c>
      <c r="N940" s="318">
        <v>1</v>
      </c>
      <c r="O940" s="621">
        <f t="shared" si="386"/>
        <v>4.49</v>
      </c>
      <c r="P940" s="755">
        <v>1</v>
      </c>
      <c r="Q940" s="755">
        <f t="shared" si="387"/>
        <v>0</v>
      </c>
      <c r="R940" s="341">
        <v>1</v>
      </c>
      <c r="S940" s="318">
        <f t="shared" si="393"/>
        <v>4.49</v>
      </c>
      <c r="T940" s="388"/>
      <c r="V940" s="328"/>
      <c r="W940" s="318"/>
      <c r="X940" s="328">
        <f t="shared" si="389"/>
        <v>0</v>
      </c>
      <c r="Y940" s="318"/>
      <c r="Z940" s="328">
        <f t="shared" si="390"/>
        <v>0</v>
      </c>
      <c r="AB940" s="348">
        <f t="shared" si="391"/>
        <v>-4.49</v>
      </c>
      <c r="AC940" s="348">
        <f t="shared" si="392"/>
        <v>-4.49</v>
      </c>
    </row>
    <row r="941" spans="1:29">
      <c r="A941" s="318"/>
      <c r="B941" s="319"/>
      <c r="C941" s="318"/>
      <c r="D941" s="318"/>
      <c r="E941" s="319"/>
      <c r="F941" s="336"/>
      <c r="G941" s="318" t="s">
        <v>2255</v>
      </c>
      <c r="H941" s="328">
        <v>4.49</v>
      </c>
      <c r="I941" s="318">
        <v>1</v>
      </c>
      <c r="J941" s="318">
        <f t="shared" si="394"/>
        <v>1</v>
      </c>
      <c r="K941" s="328">
        <f t="shared" si="385"/>
        <v>4.49</v>
      </c>
      <c r="L941" s="318">
        <v>2451</v>
      </c>
      <c r="M941" s="318">
        <v>241</v>
      </c>
      <c r="N941" s="318">
        <v>1</v>
      </c>
      <c r="O941" s="621">
        <f t="shared" si="386"/>
        <v>4.49</v>
      </c>
      <c r="P941" s="755">
        <v>1</v>
      </c>
      <c r="Q941" s="755">
        <f t="shared" si="387"/>
        <v>0</v>
      </c>
      <c r="R941" s="341">
        <v>1</v>
      </c>
      <c r="S941" s="318">
        <f t="shared" si="393"/>
        <v>4.49</v>
      </c>
      <c r="T941" s="388"/>
      <c r="V941" s="328"/>
      <c r="W941" s="318"/>
      <c r="X941" s="328">
        <f t="shared" si="389"/>
        <v>0</v>
      </c>
      <c r="Y941" s="341"/>
      <c r="Z941" s="328">
        <f t="shared" si="390"/>
        <v>0</v>
      </c>
      <c r="AB941" s="348">
        <f t="shared" si="391"/>
        <v>-4.49</v>
      </c>
      <c r="AC941" s="348">
        <f t="shared" si="392"/>
        <v>-4.49</v>
      </c>
    </row>
    <row r="942" spans="1:29">
      <c r="A942" s="318"/>
      <c r="B942" s="319"/>
      <c r="C942" s="318"/>
      <c r="D942" s="318"/>
      <c r="E942" s="319"/>
      <c r="F942" s="336"/>
      <c r="G942" s="318" t="s">
        <v>2256</v>
      </c>
      <c r="H942" s="328">
        <v>4.49</v>
      </c>
      <c r="I942" s="318">
        <v>1</v>
      </c>
      <c r="J942" s="318">
        <v>1</v>
      </c>
      <c r="K942" s="328">
        <f t="shared" si="385"/>
        <v>4.49</v>
      </c>
      <c r="L942" s="350" t="s">
        <v>3158</v>
      </c>
      <c r="M942" s="318">
        <v>241</v>
      </c>
      <c r="N942" s="318">
        <v>1</v>
      </c>
      <c r="O942" s="621">
        <f t="shared" si="386"/>
        <v>4.49</v>
      </c>
      <c r="P942" s="755">
        <v>1</v>
      </c>
      <c r="Q942" s="755">
        <f t="shared" si="387"/>
        <v>0</v>
      </c>
      <c r="R942" s="341">
        <v>1</v>
      </c>
      <c r="S942" s="318">
        <f t="shared" si="393"/>
        <v>4.49</v>
      </c>
      <c r="T942" s="388"/>
      <c r="V942" s="328"/>
      <c r="W942" s="318"/>
      <c r="X942" s="328">
        <f t="shared" si="389"/>
        <v>0</v>
      </c>
      <c r="Y942" s="318"/>
      <c r="Z942" s="328">
        <f t="shared" si="390"/>
        <v>0</v>
      </c>
      <c r="AB942" s="348">
        <f t="shared" si="391"/>
        <v>-4.49</v>
      </c>
      <c r="AC942" s="348">
        <f t="shared" si="392"/>
        <v>-4.49</v>
      </c>
    </row>
    <row r="943" spans="1:29" ht="15" collapsed="1" thickBot="1">
      <c r="A943" s="318"/>
      <c r="B943" s="319"/>
      <c r="C943" s="318"/>
      <c r="D943" s="318"/>
      <c r="E943" s="319"/>
      <c r="F943" s="336"/>
      <c r="G943" s="318" t="s">
        <v>2257</v>
      </c>
      <c r="H943" s="328">
        <v>4.49</v>
      </c>
      <c r="I943" s="318">
        <v>1</v>
      </c>
      <c r="J943" s="318">
        <v>1</v>
      </c>
      <c r="K943" s="328">
        <f t="shared" si="385"/>
        <v>4.49</v>
      </c>
      <c r="L943" s="350" t="s">
        <v>3202</v>
      </c>
      <c r="M943" s="318"/>
      <c r="N943" s="318">
        <v>1</v>
      </c>
      <c r="O943" s="621">
        <f t="shared" si="386"/>
        <v>4.49</v>
      </c>
      <c r="P943" s="755">
        <v>1</v>
      </c>
      <c r="Q943" s="755">
        <f t="shared" si="387"/>
        <v>0</v>
      </c>
      <c r="R943" s="341">
        <v>1</v>
      </c>
      <c r="S943" s="318">
        <f t="shared" si="393"/>
        <v>4.49</v>
      </c>
      <c r="T943" s="609" t="s">
        <v>3389</v>
      </c>
      <c r="V943" s="328"/>
      <c r="W943" s="318"/>
      <c r="X943" s="328">
        <f t="shared" si="389"/>
        <v>0</v>
      </c>
      <c r="Y943" s="318"/>
      <c r="Z943" s="328">
        <f t="shared" si="390"/>
        <v>0</v>
      </c>
      <c r="AB943" s="348">
        <f t="shared" si="391"/>
        <v>-4.49</v>
      </c>
      <c r="AC943" s="348">
        <f t="shared" si="392"/>
        <v>-4.49</v>
      </c>
    </row>
    <row r="944" spans="1:29" ht="15.6" thickTop="1" thickBot="1">
      <c r="A944" s="318"/>
      <c r="B944" s="319"/>
      <c r="C944" s="318"/>
      <c r="D944" s="318"/>
      <c r="E944" s="319"/>
      <c r="F944" s="336"/>
      <c r="G944" s="649" t="s">
        <v>2258</v>
      </c>
      <c r="H944" s="328">
        <v>4.49</v>
      </c>
      <c r="I944" s="318">
        <v>1</v>
      </c>
      <c r="J944" s="318">
        <v>1</v>
      </c>
      <c r="K944" s="328">
        <f t="shared" si="385"/>
        <v>4.49</v>
      </c>
      <c r="L944" s="350" t="s">
        <v>3202</v>
      </c>
      <c r="M944" s="318"/>
      <c r="N944" s="318">
        <v>1</v>
      </c>
      <c r="O944" s="621">
        <f t="shared" si="386"/>
        <v>4.49</v>
      </c>
      <c r="P944" s="633"/>
      <c r="Q944" s="762"/>
      <c r="R944" s="627"/>
      <c r="S944" s="622">
        <f>H944*R944</f>
        <v>0</v>
      </c>
      <c r="T944" s="583" t="s">
        <v>3211</v>
      </c>
      <c r="V944" s="328"/>
      <c r="W944" s="318"/>
      <c r="X944" s="328">
        <f t="shared" si="389"/>
        <v>0</v>
      </c>
      <c r="Y944" s="318"/>
      <c r="Z944" s="328">
        <f t="shared" si="390"/>
        <v>0</v>
      </c>
      <c r="AB944" s="348">
        <f t="shared" si="391"/>
        <v>-4.49</v>
      </c>
      <c r="AC944" s="348">
        <f t="shared" si="392"/>
        <v>0</v>
      </c>
    </row>
    <row r="945" spans="1:29" ht="15.6" thickTop="1" thickBot="1">
      <c r="A945" s="318"/>
      <c r="B945" s="319"/>
      <c r="C945" s="318"/>
      <c r="D945" s="318"/>
      <c r="E945" s="319"/>
      <c r="F945" s="336"/>
      <c r="G945" s="649" t="s">
        <v>2259</v>
      </c>
      <c r="H945" s="328">
        <v>4.49</v>
      </c>
      <c r="I945" s="318">
        <v>1</v>
      </c>
      <c r="J945" s="318">
        <v>1</v>
      </c>
      <c r="K945" s="328">
        <f t="shared" si="385"/>
        <v>4.49</v>
      </c>
      <c r="L945" s="350" t="s">
        <v>3202</v>
      </c>
      <c r="M945" s="318"/>
      <c r="N945" s="318">
        <v>1</v>
      </c>
      <c r="O945" s="621">
        <f t="shared" si="386"/>
        <v>4.49</v>
      </c>
      <c r="P945" s="633"/>
      <c r="Q945" s="762"/>
      <c r="R945" s="627"/>
      <c r="S945" s="622">
        <f>H945*R945</f>
        <v>0</v>
      </c>
      <c r="T945" s="583" t="s">
        <v>3211</v>
      </c>
      <c r="V945" s="328"/>
      <c r="W945" s="318"/>
      <c r="X945" s="328">
        <f t="shared" si="389"/>
        <v>0</v>
      </c>
      <c r="Y945" s="318"/>
      <c r="Z945" s="328">
        <f t="shared" si="390"/>
        <v>0</v>
      </c>
      <c r="AB945" s="348">
        <f t="shared" si="391"/>
        <v>-4.49</v>
      </c>
      <c r="AC945" s="348">
        <f t="shared" si="392"/>
        <v>0</v>
      </c>
    </row>
    <row r="946" spans="1:29" ht="15.6" thickTop="1" thickBot="1">
      <c r="A946" s="318"/>
      <c r="B946" s="319"/>
      <c r="C946" s="318"/>
      <c r="D946" s="318"/>
      <c r="E946" s="319"/>
      <c r="F946" s="319"/>
      <c r="G946" s="649" t="s">
        <v>2260</v>
      </c>
      <c r="H946" s="328">
        <v>4.49</v>
      </c>
      <c r="I946" s="318">
        <v>1</v>
      </c>
      <c r="J946" s="318">
        <v>1</v>
      </c>
      <c r="K946" s="328">
        <f t="shared" si="385"/>
        <v>4.49</v>
      </c>
      <c r="L946" s="350" t="s">
        <v>3202</v>
      </c>
      <c r="M946" s="318"/>
      <c r="N946" s="318">
        <v>1</v>
      </c>
      <c r="O946" s="621">
        <f t="shared" si="386"/>
        <v>4.49</v>
      </c>
      <c r="P946" s="755"/>
      <c r="Q946" s="764"/>
      <c r="R946" s="627"/>
      <c r="S946" s="622">
        <f>H946*R946</f>
        <v>0</v>
      </c>
      <c r="T946" s="583" t="s">
        <v>3211</v>
      </c>
      <c r="V946" s="328"/>
      <c r="W946" s="318"/>
      <c r="X946" s="328">
        <f t="shared" si="389"/>
        <v>0</v>
      </c>
      <c r="Y946" s="341"/>
      <c r="Z946" s="328">
        <f t="shared" si="390"/>
        <v>0</v>
      </c>
      <c r="AB946" s="348">
        <f t="shared" si="391"/>
        <v>-4.49</v>
      </c>
      <c r="AC946" s="348">
        <f t="shared" si="392"/>
        <v>0</v>
      </c>
    </row>
    <row r="947" spans="1:29" ht="15.6" thickTop="1" thickBot="1">
      <c r="A947" s="318"/>
      <c r="B947" s="319"/>
      <c r="C947" s="318"/>
      <c r="D947" s="318"/>
      <c r="E947" s="319"/>
      <c r="F947" s="336"/>
      <c r="G947" s="649" t="s">
        <v>2261</v>
      </c>
      <c r="H947" s="328">
        <v>4.49</v>
      </c>
      <c r="I947" s="318">
        <v>1</v>
      </c>
      <c r="J947" s="318">
        <v>1</v>
      </c>
      <c r="K947" s="328">
        <f t="shared" si="385"/>
        <v>4.49</v>
      </c>
      <c r="L947" s="350" t="s">
        <v>3159</v>
      </c>
      <c r="M947" s="318"/>
      <c r="N947" s="318">
        <v>1</v>
      </c>
      <c r="O947" s="621">
        <f t="shared" si="386"/>
        <v>4.49</v>
      </c>
      <c r="P947" s="755"/>
      <c r="Q947" s="764"/>
      <c r="R947" s="627"/>
      <c r="S947" s="622">
        <f>H947*R947</f>
        <v>0</v>
      </c>
      <c r="T947" s="583" t="s">
        <v>3211</v>
      </c>
      <c r="V947" s="328"/>
      <c r="W947" s="318"/>
      <c r="X947" s="328">
        <f t="shared" si="389"/>
        <v>0</v>
      </c>
      <c r="Y947" s="341"/>
      <c r="Z947" s="328">
        <f t="shared" si="390"/>
        <v>0</v>
      </c>
      <c r="AB947" s="348">
        <f t="shared" si="391"/>
        <v>-4.49</v>
      </c>
      <c r="AC947" s="348">
        <f t="shared" si="392"/>
        <v>0</v>
      </c>
    </row>
    <row r="948" spans="1:29" ht="15.6" thickTop="1" thickBot="1">
      <c r="A948" s="318"/>
      <c r="B948" s="319"/>
      <c r="C948" s="318"/>
      <c r="D948" s="318"/>
      <c r="E948" s="319"/>
      <c r="F948" s="336"/>
      <c r="G948" s="649" t="s">
        <v>2262</v>
      </c>
      <c r="H948" s="328">
        <v>4.49</v>
      </c>
      <c r="I948" s="318">
        <v>1</v>
      </c>
      <c r="J948" s="318">
        <v>1</v>
      </c>
      <c r="K948" s="328">
        <f t="shared" si="385"/>
        <v>4.49</v>
      </c>
      <c r="L948" s="350" t="s">
        <v>3159</v>
      </c>
      <c r="M948" s="318"/>
      <c r="N948" s="318">
        <v>1</v>
      </c>
      <c r="O948" s="621">
        <f t="shared" si="386"/>
        <v>4.49</v>
      </c>
      <c r="P948" s="633"/>
      <c r="Q948" s="762"/>
      <c r="R948" s="627"/>
      <c r="S948" s="622">
        <f>H948*R948</f>
        <v>0</v>
      </c>
      <c r="T948" s="583" t="s">
        <v>3211</v>
      </c>
      <c r="V948" s="328"/>
      <c r="W948" s="318"/>
      <c r="X948" s="328">
        <f t="shared" ref="X948:X967" si="395">V948*W948</f>
        <v>0</v>
      </c>
      <c r="Y948" s="318"/>
      <c r="Z948" s="328">
        <f t="shared" ref="Z948:Z967" si="396">V948*Y948</f>
        <v>0</v>
      </c>
      <c r="AB948" s="348">
        <f t="shared" ref="AB948:AB967" si="397">X948-O948</f>
        <v>-4.49</v>
      </c>
      <c r="AC948" s="348">
        <f t="shared" si="392"/>
        <v>0</v>
      </c>
    </row>
    <row r="949" spans="1:29" ht="15" thickTop="1">
      <c r="A949" s="318"/>
      <c r="B949" s="319"/>
      <c r="C949" s="318"/>
      <c r="D949" s="318"/>
      <c r="E949" s="319"/>
      <c r="F949" s="336"/>
      <c r="G949" s="318" t="s">
        <v>2263</v>
      </c>
      <c r="H949" s="328">
        <v>4.49</v>
      </c>
      <c r="I949" s="318">
        <v>1</v>
      </c>
      <c r="J949" s="318">
        <v>1</v>
      </c>
      <c r="K949" s="328">
        <f t="shared" si="385"/>
        <v>4.49</v>
      </c>
      <c r="L949" s="350" t="s">
        <v>3199</v>
      </c>
      <c r="M949" s="318"/>
      <c r="N949" s="318">
        <v>1</v>
      </c>
      <c r="O949" s="328">
        <f t="shared" si="386"/>
        <v>4.49</v>
      </c>
      <c r="P949" s="341">
        <v>1</v>
      </c>
      <c r="Q949" s="755">
        <f t="shared" ref="Q949:Q967" si="398">R949-P949</f>
        <v>0</v>
      </c>
      <c r="R949" s="341">
        <v>1</v>
      </c>
      <c r="S949" s="318">
        <f t="shared" ref="S949" si="399">H949*R949</f>
        <v>4.49</v>
      </c>
      <c r="T949" s="389"/>
      <c r="V949" s="328"/>
      <c r="W949" s="318"/>
      <c r="X949" s="328">
        <f t="shared" si="395"/>
        <v>0</v>
      </c>
      <c r="Y949" s="318"/>
      <c r="Z949" s="328">
        <f t="shared" si="396"/>
        <v>0</v>
      </c>
      <c r="AB949" s="348">
        <f t="shared" si="397"/>
        <v>-4.49</v>
      </c>
      <c r="AC949" s="348">
        <f t="shared" si="392"/>
        <v>-4.49</v>
      </c>
    </row>
    <row r="950" spans="1:29">
      <c r="A950" s="318"/>
      <c r="B950" s="319"/>
      <c r="C950" s="318"/>
      <c r="D950" s="318"/>
      <c r="E950" s="319"/>
      <c r="F950" s="336"/>
      <c r="G950" s="318" t="s">
        <v>2264</v>
      </c>
      <c r="H950" s="328">
        <v>4.49</v>
      </c>
      <c r="I950" s="318">
        <v>1</v>
      </c>
      <c r="J950" s="318">
        <v>1</v>
      </c>
      <c r="K950" s="328">
        <f t="shared" si="385"/>
        <v>4.49</v>
      </c>
      <c r="L950" s="350" t="s">
        <v>3199</v>
      </c>
      <c r="M950" s="318"/>
      <c r="N950" s="318">
        <v>1</v>
      </c>
      <c r="O950" s="328">
        <f t="shared" si="386"/>
        <v>4.49</v>
      </c>
      <c r="P950" s="341">
        <v>1</v>
      </c>
      <c r="Q950" s="755">
        <f t="shared" si="398"/>
        <v>0</v>
      </c>
      <c r="R950" s="341">
        <v>1</v>
      </c>
      <c r="S950" s="318">
        <f t="shared" ref="S950:S967" si="400">H950*R950</f>
        <v>4.49</v>
      </c>
      <c r="T950" s="389"/>
      <c r="V950" s="328"/>
      <c r="W950" s="318"/>
      <c r="X950" s="328">
        <f t="shared" si="395"/>
        <v>0</v>
      </c>
      <c r="Y950" s="341"/>
      <c r="Z950" s="328">
        <f t="shared" si="396"/>
        <v>0</v>
      </c>
      <c r="AB950" s="348">
        <f t="shared" si="397"/>
        <v>-4.49</v>
      </c>
      <c r="AC950" s="348">
        <f t="shared" si="392"/>
        <v>-4.49</v>
      </c>
    </row>
    <row r="951" spans="1:29">
      <c r="A951" s="318"/>
      <c r="B951" s="319"/>
      <c r="C951" s="318"/>
      <c r="D951" s="318"/>
      <c r="E951" s="319"/>
      <c r="F951" s="319"/>
      <c r="G951" s="318" t="s">
        <v>2265</v>
      </c>
      <c r="H951" s="328">
        <v>4.49</v>
      </c>
      <c r="I951" s="318">
        <v>1</v>
      </c>
      <c r="J951" s="318">
        <v>1</v>
      </c>
      <c r="K951" s="328">
        <f t="shared" si="385"/>
        <v>4.49</v>
      </c>
      <c r="L951" s="350" t="s">
        <v>3171</v>
      </c>
      <c r="M951" s="318"/>
      <c r="N951" s="318">
        <v>1</v>
      </c>
      <c r="O951" s="328">
        <f t="shared" si="386"/>
        <v>4.49</v>
      </c>
      <c r="P951" s="341">
        <v>1</v>
      </c>
      <c r="Q951" s="755">
        <f t="shared" si="398"/>
        <v>0</v>
      </c>
      <c r="R951" s="341">
        <v>1</v>
      </c>
      <c r="S951" s="318">
        <f t="shared" si="400"/>
        <v>4.49</v>
      </c>
      <c r="T951" s="389"/>
      <c r="V951" s="328"/>
      <c r="W951" s="318"/>
      <c r="X951" s="328">
        <f t="shared" si="395"/>
        <v>0</v>
      </c>
      <c r="Y951" s="341"/>
      <c r="Z951" s="328">
        <f t="shared" si="396"/>
        <v>0</v>
      </c>
      <c r="AB951" s="348">
        <f t="shared" si="397"/>
        <v>-4.49</v>
      </c>
      <c r="AC951" s="348">
        <f t="shared" si="392"/>
        <v>-4.49</v>
      </c>
    </row>
    <row r="952" spans="1:29">
      <c r="A952" s="318"/>
      <c r="B952" s="319"/>
      <c r="C952" s="318"/>
      <c r="D952" s="318"/>
      <c r="E952" s="319"/>
      <c r="F952" s="319"/>
      <c r="G952" s="318" t="s">
        <v>2266</v>
      </c>
      <c r="H952" s="328">
        <v>4.49</v>
      </c>
      <c r="I952" s="318">
        <v>1</v>
      </c>
      <c r="J952" s="318">
        <v>1</v>
      </c>
      <c r="K952" s="328">
        <f t="shared" si="385"/>
        <v>4.49</v>
      </c>
      <c r="L952" s="350" t="s">
        <v>3171</v>
      </c>
      <c r="M952" s="318"/>
      <c r="N952" s="318">
        <v>1</v>
      </c>
      <c r="O952" s="328">
        <f t="shared" si="386"/>
        <v>4.49</v>
      </c>
      <c r="P952" s="341">
        <v>1</v>
      </c>
      <c r="Q952" s="755">
        <f t="shared" si="398"/>
        <v>0</v>
      </c>
      <c r="R952" s="341">
        <v>1</v>
      </c>
      <c r="S952" s="318">
        <f t="shared" si="400"/>
        <v>4.49</v>
      </c>
      <c r="T952" s="389"/>
      <c r="V952" s="328"/>
      <c r="W952" s="318"/>
      <c r="X952" s="328">
        <f t="shared" si="395"/>
        <v>0</v>
      </c>
      <c r="Y952" s="341"/>
      <c r="Z952" s="328">
        <f t="shared" si="396"/>
        <v>0</v>
      </c>
      <c r="AB952" s="348">
        <f t="shared" si="397"/>
        <v>-4.49</v>
      </c>
      <c r="AC952" s="348">
        <f t="shared" si="392"/>
        <v>-4.49</v>
      </c>
    </row>
    <row r="953" spans="1:29">
      <c r="A953" s="318"/>
      <c r="B953" s="319"/>
      <c r="C953" s="318"/>
      <c r="D953" s="318"/>
      <c r="E953" s="319"/>
      <c r="F953" s="336"/>
      <c r="G953" s="318" t="s">
        <v>2267</v>
      </c>
      <c r="H953" s="328">
        <v>4.49</v>
      </c>
      <c r="I953" s="318">
        <v>1</v>
      </c>
      <c r="J953" s="318">
        <v>1</v>
      </c>
      <c r="K953" s="328">
        <f t="shared" si="385"/>
        <v>4.49</v>
      </c>
      <c r="L953" s="350" t="s">
        <v>3171</v>
      </c>
      <c r="M953" s="318"/>
      <c r="N953" s="318">
        <v>1</v>
      </c>
      <c r="O953" s="328">
        <f t="shared" si="386"/>
        <v>4.49</v>
      </c>
      <c r="P953" s="341">
        <v>1</v>
      </c>
      <c r="Q953" s="755">
        <f t="shared" si="398"/>
        <v>0</v>
      </c>
      <c r="R953" s="341">
        <v>1</v>
      </c>
      <c r="S953" s="318">
        <f t="shared" si="400"/>
        <v>4.49</v>
      </c>
      <c r="T953" s="389"/>
      <c r="V953" s="328"/>
      <c r="W953" s="318"/>
      <c r="X953" s="328">
        <f t="shared" si="395"/>
        <v>0</v>
      </c>
      <c r="Y953" s="341"/>
      <c r="Z953" s="328">
        <f t="shared" si="396"/>
        <v>0</v>
      </c>
      <c r="AB953" s="348">
        <f t="shared" si="397"/>
        <v>-4.49</v>
      </c>
      <c r="AC953" s="348">
        <f t="shared" si="392"/>
        <v>-4.49</v>
      </c>
    </row>
    <row r="954" spans="1:29" ht="14.4" customHeight="1">
      <c r="A954" s="318"/>
      <c r="B954" s="319"/>
      <c r="C954" s="318"/>
      <c r="D954" s="318"/>
      <c r="E954" s="319"/>
      <c r="F954" s="336"/>
      <c r="G954" s="318" t="s">
        <v>2268</v>
      </c>
      <c r="H954" s="328">
        <v>4.49</v>
      </c>
      <c r="I954" s="318">
        <v>1</v>
      </c>
      <c r="J954" s="318">
        <v>1</v>
      </c>
      <c r="K954" s="328">
        <f t="shared" si="385"/>
        <v>4.49</v>
      </c>
      <c r="L954" s="350" t="s">
        <v>3171</v>
      </c>
      <c r="M954" s="318"/>
      <c r="N954" s="318">
        <v>1</v>
      </c>
      <c r="O954" s="328">
        <f t="shared" si="386"/>
        <v>4.49</v>
      </c>
      <c r="P954" s="341">
        <v>1</v>
      </c>
      <c r="Q954" s="755">
        <f t="shared" si="398"/>
        <v>0</v>
      </c>
      <c r="R954" s="341">
        <v>1</v>
      </c>
      <c r="S954" s="318">
        <f t="shared" si="400"/>
        <v>4.49</v>
      </c>
      <c r="T954" s="388"/>
      <c r="V954" s="328"/>
      <c r="W954" s="318"/>
      <c r="X954" s="328">
        <f t="shared" si="395"/>
        <v>0</v>
      </c>
      <c r="Y954" s="341"/>
      <c r="Z954" s="328">
        <f t="shared" si="396"/>
        <v>0</v>
      </c>
      <c r="AB954" s="348">
        <f t="shared" si="397"/>
        <v>-4.49</v>
      </c>
      <c r="AC954" s="348">
        <f t="shared" si="392"/>
        <v>-4.49</v>
      </c>
    </row>
    <row r="955" spans="1:29">
      <c r="A955" s="318"/>
      <c r="B955" s="319"/>
      <c r="C955" s="318"/>
      <c r="D955" s="318"/>
      <c r="E955" s="319"/>
      <c r="F955" s="336"/>
      <c r="G955" s="318" t="s">
        <v>2269</v>
      </c>
      <c r="H955" s="328">
        <v>4.49</v>
      </c>
      <c r="I955" s="318">
        <v>1</v>
      </c>
      <c r="J955" s="318">
        <v>1</v>
      </c>
      <c r="K955" s="328">
        <f t="shared" si="385"/>
        <v>4.49</v>
      </c>
      <c r="L955" s="350" t="s">
        <v>3203</v>
      </c>
      <c r="M955" s="318"/>
      <c r="N955" s="318">
        <v>1</v>
      </c>
      <c r="O955" s="328">
        <f t="shared" si="386"/>
        <v>4.49</v>
      </c>
      <c r="P955" s="341">
        <v>1</v>
      </c>
      <c r="Q955" s="755">
        <f t="shared" si="398"/>
        <v>0</v>
      </c>
      <c r="R955" s="341">
        <v>1</v>
      </c>
      <c r="S955" s="318">
        <f t="shared" si="400"/>
        <v>4.49</v>
      </c>
      <c r="T955" s="388"/>
      <c r="V955" s="328"/>
      <c r="W955" s="318"/>
      <c r="X955" s="328">
        <f t="shared" si="395"/>
        <v>0</v>
      </c>
      <c r="Y955" s="341"/>
      <c r="Z955" s="328">
        <f t="shared" si="396"/>
        <v>0</v>
      </c>
      <c r="AB955" s="348">
        <f t="shared" si="397"/>
        <v>-4.49</v>
      </c>
      <c r="AC955" s="348">
        <f t="shared" si="392"/>
        <v>-4.49</v>
      </c>
    </row>
    <row r="956" spans="1:29">
      <c r="A956" s="318"/>
      <c r="B956" s="319"/>
      <c r="C956" s="318"/>
      <c r="D956" s="318"/>
      <c r="E956" s="319"/>
      <c r="F956" s="336"/>
      <c r="G956" s="318" t="s">
        <v>2270</v>
      </c>
      <c r="H956" s="328">
        <v>4.49</v>
      </c>
      <c r="I956" s="318">
        <v>1</v>
      </c>
      <c r="J956" s="318">
        <v>1</v>
      </c>
      <c r="K956" s="328">
        <f t="shared" si="385"/>
        <v>4.49</v>
      </c>
      <c r="L956" s="350" t="s">
        <v>3203</v>
      </c>
      <c r="M956" s="318"/>
      <c r="N956" s="318">
        <v>1</v>
      </c>
      <c r="O956" s="328">
        <f t="shared" si="386"/>
        <v>4.49</v>
      </c>
      <c r="P956" s="341">
        <v>1</v>
      </c>
      <c r="Q956" s="755">
        <f t="shared" si="398"/>
        <v>0</v>
      </c>
      <c r="R956" s="341">
        <v>1</v>
      </c>
      <c r="S956" s="318">
        <f t="shared" si="400"/>
        <v>4.49</v>
      </c>
      <c r="T956" s="388"/>
      <c r="V956" s="328"/>
      <c r="W956" s="318"/>
      <c r="X956" s="328">
        <f t="shared" si="395"/>
        <v>0</v>
      </c>
      <c r="Y956" s="341"/>
      <c r="Z956" s="328">
        <f t="shared" si="396"/>
        <v>0</v>
      </c>
      <c r="AB956" s="348">
        <f t="shared" si="397"/>
        <v>-4.49</v>
      </c>
      <c r="AC956" s="348">
        <f t="shared" si="392"/>
        <v>-4.49</v>
      </c>
    </row>
    <row r="957" spans="1:29">
      <c r="A957" s="318"/>
      <c r="B957" s="319"/>
      <c r="C957" s="318"/>
      <c r="D957" s="318"/>
      <c r="E957" s="319"/>
      <c r="F957" s="336"/>
      <c r="G957" s="318" t="s">
        <v>2271</v>
      </c>
      <c r="H957" s="328">
        <v>4.49</v>
      </c>
      <c r="I957" s="318">
        <v>1</v>
      </c>
      <c r="J957" s="318">
        <v>1</v>
      </c>
      <c r="K957" s="328">
        <f t="shared" si="385"/>
        <v>4.49</v>
      </c>
      <c r="L957" s="350" t="s">
        <v>3203</v>
      </c>
      <c r="M957" s="318"/>
      <c r="N957" s="318">
        <v>1</v>
      </c>
      <c r="O957" s="328">
        <f t="shared" si="386"/>
        <v>4.49</v>
      </c>
      <c r="P957" s="341">
        <v>1</v>
      </c>
      <c r="Q957" s="755">
        <f t="shared" si="398"/>
        <v>0</v>
      </c>
      <c r="R957" s="341">
        <v>1</v>
      </c>
      <c r="S957" s="318">
        <f t="shared" si="400"/>
        <v>4.49</v>
      </c>
      <c r="T957" s="388"/>
      <c r="V957" s="328"/>
      <c r="W957" s="318"/>
      <c r="X957" s="328">
        <f t="shared" si="395"/>
        <v>0</v>
      </c>
      <c r="Y957" s="318"/>
      <c r="Z957" s="328">
        <f t="shared" si="396"/>
        <v>0</v>
      </c>
      <c r="AB957" s="348">
        <f t="shared" si="397"/>
        <v>-4.49</v>
      </c>
      <c r="AC957" s="348">
        <f t="shared" si="392"/>
        <v>-4.49</v>
      </c>
    </row>
    <row r="958" spans="1:29">
      <c r="A958" s="318"/>
      <c r="B958" s="319"/>
      <c r="C958" s="318"/>
      <c r="D958" s="318"/>
      <c r="E958" s="319"/>
      <c r="F958" s="336"/>
      <c r="G958" s="318" t="s">
        <v>2272</v>
      </c>
      <c r="H958" s="328">
        <v>3.26</v>
      </c>
      <c r="I958" s="318">
        <v>1</v>
      </c>
      <c r="J958" s="318">
        <v>1</v>
      </c>
      <c r="K958" s="328">
        <f t="shared" si="385"/>
        <v>3.26</v>
      </c>
      <c r="L958" s="350" t="s">
        <v>3203</v>
      </c>
      <c r="M958" s="318"/>
      <c r="N958" s="318">
        <v>1</v>
      </c>
      <c r="O958" s="328">
        <f t="shared" si="386"/>
        <v>3.26</v>
      </c>
      <c r="P958" s="341">
        <v>1</v>
      </c>
      <c r="Q958" s="755">
        <f t="shared" si="398"/>
        <v>0</v>
      </c>
      <c r="R958" s="341">
        <v>1</v>
      </c>
      <c r="S958" s="318">
        <f t="shared" si="400"/>
        <v>3.26</v>
      </c>
      <c r="T958" s="388"/>
      <c r="V958" s="328"/>
      <c r="W958" s="318"/>
      <c r="X958" s="328">
        <f t="shared" si="395"/>
        <v>0</v>
      </c>
      <c r="Y958" s="341"/>
      <c r="Z958" s="328">
        <f t="shared" si="396"/>
        <v>0</v>
      </c>
      <c r="AB958" s="348">
        <f t="shared" si="397"/>
        <v>-3.26</v>
      </c>
      <c r="AC958" s="348">
        <f t="shared" si="392"/>
        <v>-3.26</v>
      </c>
    </row>
    <row r="959" spans="1:29">
      <c r="A959" s="318"/>
      <c r="B959" s="319"/>
      <c r="C959" s="318"/>
      <c r="D959" s="318"/>
      <c r="E959" s="319"/>
      <c r="F959" s="336"/>
      <c r="G959" s="318" t="s">
        <v>2273</v>
      </c>
      <c r="H959" s="328">
        <v>3.26</v>
      </c>
      <c r="I959" s="318">
        <v>1</v>
      </c>
      <c r="J959" s="318">
        <v>1</v>
      </c>
      <c r="K959" s="328">
        <f t="shared" si="385"/>
        <v>3.26</v>
      </c>
      <c r="L959" s="350" t="s">
        <v>3159</v>
      </c>
      <c r="M959" s="318"/>
      <c r="N959" s="318">
        <v>1</v>
      </c>
      <c r="O959" s="328">
        <f t="shared" si="386"/>
        <v>3.26</v>
      </c>
      <c r="P959" s="601">
        <v>1</v>
      </c>
      <c r="Q959" s="755">
        <f t="shared" si="398"/>
        <v>0</v>
      </c>
      <c r="R959" s="341">
        <v>1</v>
      </c>
      <c r="S959" s="318">
        <f t="shared" si="400"/>
        <v>3.26</v>
      </c>
      <c r="T959" s="388"/>
      <c r="V959" s="328"/>
      <c r="W959" s="318"/>
      <c r="X959" s="328">
        <f t="shared" si="395"/>
        <v>0</v>
      </c>
      <c r="Y959" s="318"/>
      <c r="Z959" s="328">
        <f t="shared" si="396"/>
        <v>0</v>
      </c>
      <c r="AB959" s="348">
        <f t="shared" si="397"/>
        <v>-3.26</v>
      </c>
      <c r="AC959" s="348">
        <f t="shared" si="392"/>
        <v>-3.26</v>
      </c>
    </row>
    <row r="960" spans="1:29">
      <c r="A960" s="318"/>
      <c r="B960" s="319"/>
      <c r="C960" s="318"/>
      <c r="D960" s="318"/>
      <c r="E960" s="319"/>
      <c r="F960" s="336"/>
      <c r="G960" s="318" t="s">
        <v>2274</v>
      </c>
      <c r="H960" s="328">
        <v>4.43</v>
      </c>
      <c r="I960" s="318">
        <v>1</v>
      </c>
      <c r="J960" s="318">
        <v>1</v>
      </c>
      <c r="K960" s="328">
        <f t="shared" si="385"/>
        <v>4.43</v>
      </c>
      <c r="L960" s="350" t="s">
        <v>3204</v>
      </c>
      <c r="M960" s="318"/>
      <c r="N960" s="318">
        <v>1</v>
      </c>
      <c r="O960" s="328">
        <f t="shared" si="386"/>
        <v>4.43</v>
      </c>
      <c r="P960" s="601">
        <v>1</v>
      </c>
      <c r="Q960" s="755">
        <f t="shared" si="398"/>
        <v>0</v>
      </c>
      <c r="R960" s="341">
        <v>1</v>
      </c>
      <c r="S960" s="318">
        <f t="shared" si="400"/>
        <v>4.43</v>
      </c>
      <c r="T960" s="388"/>
      <c r="V960" s="328"/>
      <c r="W960" s="318"/>
      <c r="X960" s="328">
        <f t="shared" si="395"/>
        <v>0</v>
      </c>
      <c r="Y960" s="318"/>
      <c r="Z960" s="328">
        <f t="shared" si="396"/>
        <v>0</v>
      </c>
      <c r="AB960" s="348">
        <f t="shared" si="397"/>
        <v>-4.43</v>
      </c>
      <c r="AC960" s="348">
        <f t="shared" si="392"/>
        <v>-4.43</v>
      </c>
    </row>
    <row r="961" spans="1:29">
      <c r="A961" s="318"/>
      <c r="B961" s="319"/>
      <c r="C961" s="318"/>
      <c r="D961" s="318"/>
      <c r="E961" s="319"/>
      <c r="F961" s="336"/>
      <c r="G961" s="318" t="s">
        <v>2275</v>
      </c>
      <c r="H961" s="328">
        <v>4.38</v>
      </c>
      <c r="I961" s="318">
        <v>1</v>
      </c>
      <c r="J961" s="318">
        <v>1</v>
      </c>
      <c r="K961" s="328">
        <f t="shared" si="385"/>
        <v>4.38</v>
      </c>
      <c r="L961" s="350" t="s">
        <v>3204</v>
      </c>
      <c r="M961" s="318"/>
      <c r="N961" s="318">
        <v>1</v>
      </c>
      <c r="O961" s="328">
        <f t="shared" si="386"/>
        <v>4.38</v>
      </c>
      <c r="P961" s="601">
        <v>1</v>
      </c>
      <c r="Q961" s="755">
        <f t="shared" si="398"/>
        <v>0</v>
      </c>
      <c r="R961" s="341">
        <v>1</v>
      </c>
      <c r="S961" s="318">
        <f t="shared" si="400"/>
        <v>4.38</v>
      </c>
      <c r="T961" s="388"/>
      <c r="V961" s="328"/>
      <c r="W961" s="318"/>
      <c r="X961" s="328">
        <f t="shared" si="395"/>
        <v>0</v>
      </c>
      <c r="Y961" s="318"/>
      <c r="Z961" s="328">
        <f t="shared" si="396"/>
        <v>0</v>
      </c>
      <c r="AB961" s="348">
        <f t="shared" si="397"/>
        <v>-4.38</v>
      </c>
      <c r="AC961" s="348">
        <f t="shared" si="392"/>
        <v>-4.38</v>
      </c>
    </row>
    <row r="962" spans="1:29">
      <c r="A962" s="318"/>
      <c r="B962" s="319"/>
      <c r="C962" s="318"/>
      <c r="D962" s="318"/>
      <c r="E962" s="319"/>
      <c r="F962" s="336"/>
      <c r="G962" s="318" t="s">
        <v>2276</v>
      </c>
      <c r="H962" s="328">
        <v>4.24</v>
      </c>
      <c r="I962" s="318">
        <v>1</v>
      </c>
      <c r="J962" s="318">
        <f>IF(N962&gt;0,1,0)</f>
        <v>1</v>
      </c>
      <c r="K962" s="328">
        <f t="shared" si="385"/>
        <v>4.24</v>
      </c>
      <c r="L962" s="318">
        <v>2396</v>
      </c>
      <c r="M962" s="318">
        <v>236</v>
      </c>
      <c r="N962" s="318">
        <v>1</v>
      </c>
      <c r="O962" s="328">
        <f t="shared" si="386"/>
        <v>4.24</v>
      </c>
      <c r="P962" s="341">
        <v>1</v>
      </c>
      <c r="Q962" s="755">
        <f t="shared" si="398"/>
        <v>0</v>
      </c>
      <c r="R962" s="341">
        <v>1</v>
      </c>
      <c r="S962" s="318">
        <f t="shared" si="400"/>
        <v>4.24</v>
      </c>
      <c r="T962" s="388"/>
      <c r="V962" s="328"/>
      <c r="W962" s="318"/>
      <c r="X962" s="328">
        <f t="shared" si="395"/>
        <v>0</v>
      </c>
      <c r="Y962" s="318"/>
      <c r="Z962" s="328">
        <f t="shared" si="396"/>
        <v>0</v>
      </c>
      <c r="AB962" s="348">
        <f t="shared" si="397"/>
        <v>-4.24</v>
      </c>
      <c r="AC962" s="348">
        <f t="shared" si="392"/>
        <v>-4.24</v>
      </c>
    </row>
    <row r="963" spans="1:29">
      <c r="A963" s="318"/>
      <c r="B963" s="319"/>
      <c r="C963" s="318"/>
      <c r="D963" s="318"/>
      <c r="E963" s="319"/>
      <c r="F963" s="336"/>
      <c r="G963" s="318" t="s">
        <v>2277</v>
      </c>
      <c r="H963" s="328">
        <v>4.24</v>
      </c>
      <c r="I963" s="318">
        <v>1</v>
      </c>
      <c r="J963" s="318">
        <f>IF(N963&gt;0,1,0)</f>
        <v>1</v>
      </c>
      <c r="K963" s="328">
        <f t="shared" si="385"/>
        <v>4.24</v>
      </c>
      <c r="L963" s="318">
        <v>2396</v>
      </c>
      <c r="M963" s="318">
        <v>236</v>
      </c>
      <c r="N963" s="318">
        <v>1</v>
      </c>
      <c r="O963" s="328">
        <f t="shared" si="386"/>
        <v>4.24</v>
      </c>
      <c r="P963" s="341">
        <v>1</v>
      </c>
      <c r="Q963" s="755">
        <f t="shared" si="398"/>
        <v>0</v>
      </c>
      <c r="R963" s="341">
        <v>1</v>
      </c>
      <c r="S963" s="318">
        <f t="shared" si="400"/>
        <v>4.24</v>
      </c>
      <c r="T963" s="388"/>
      <c r="V963" s="328"/>
      <c r="W963" s="318"/>
      <c r="X963" s="328">
        <f t="shared" si="395"/>
        <v>0</v>
      </c>
      <c r="Y963" s="318"/>
      <c r="Z963" s="328">
        <f t="shared" si="396"/>
        <v>0</v>
      </c>
      <c r="AB963" s="348">
        <f t="shared" si="397"/>
        <v>-4.24</v>
      </c>
      <c r="AC963" s="348">
        <f t="shared" si="392"/>
        <v>-4.24</v>
      </c>
    </row>
    <row r="964" spans="1:29">
      <c r="A964" s="318"/>
      <c r="B964" s="319"/>
      <c r="C964" s="318"/>
      <c r="D964" s="318"/>
      <c r="E964" s="319"/>
      <c r="F964" s="336"/>
      <c r="G964" s="318" t="s">
        <v>2278</v>
      </c>
      <c r="H964" s="328">
        <v>4.24</v>
      </c>
      <c r="I964" s="318">
        <v>1</v>
      </c>
      <c r="J964" s="318">
        <f>IF(N964&gt;0,1,0)</f>
        <v>1</v>
      </c>
      <c r="K964" s="328">
        <f t="shared" si="385"/>
        <v>4.24</v>
      </c>
      <c r="L964" s="318">
        <v>2396</v>
      </c>
      <c r="M964" s="318">
        <v>236</v>
      </c>
      <c r="N964" s="318">
        <v>1</v>
      </c>
      <c r="O964" s="328">
        <f t="shared" si="386"/>
        <v>4.24</v>
      </c>
      <c r="P964" s="341">
        <v>1</v>
      </c>
      <c r="Q964" s="755">
        <f t="shared" si="398"/>
        <v>0</v>
      </c>
      <c r="R964" s="341">
        <v>1</v>
      </c>
      <c r="S964" s="318">
        <f t="shared" si="400"/>
        <v>4.24</v>
      </c>
      <c r="T964" s="388"/>
      <c r="V964" s="328"/>
      <c r="W964" s="318"/>
      <c r="X964" s="328">
        <f t="shared" si="395"/>
        <v>0</v>
      </c>
      <c r="Y964" s="318"/>
      <c r="Z964" s="328">
        <f t="shared" si="396"/>
        <v>0</v>
      </c>
      <c r="AB964" s="348">
        <f t="shared" si="397"/>
        <v>-4.24</v>
      </c>
      <c r="AC964" s="348">
        <f t="shared" si="392"/>
        <v>-4.24</v>
      </c>
    </row>
    <row r="965" spans="1:29">
      <c r="A965" s="318"/>
      <c r="B965" s="319"/>
      <c r="C965" s="318"/>
      <c r="D965" s="318"/>
      <c r="E965" s="319"/>
      <c r="F965" s="336"/>
      <c r="G965" s="318" t="s">
        <v>2279</v>
      </c>
      <c r="H965" s="328">
        <v>4.24</v>
      </c>
      <c r="I965" s="318">
        <v>1</v>
      </c>
      <c r="J965" s="318">
        <f>IF(N965&gt;0,1,0)</f>
        <v>1</v>
      </c>
      <c r="K965" s="328">
        <f t="shared" si="385"/>
        <v>4.24</v>
      </c>
      <c r="L965" s="318">
        <v>2396</v>
      </c>
      <c r="M965" s="318">
        <v>236</v>
      </c>
      <c r="N965" s="318">
        <v>1</v>
      </c>
      <c r="O965" s="328">
        <f t="shared" si="386"/>
        <v>4.24</v>
      </c>
      <c r="P965" s="341">
        <v>1</v>
      </c>
      <c r="Q965" s="755">
        <f t="shared" si="398"/>
        <v>0</v>
      </c>
      <c r="R965" s="341">
        <v>1</v>
      </c>
      <c r="S965" s="318">
        <f t="shared" si="400"/>
        <v>4.24</v>
      </c>
      <c r="T965" s="388"/>
      <c r="V965" s="328"/>
      <c r="W965" s="318"/>
      <c r="X965" s="328">
        <f t="shared" si="395"/>
        <v>0</v>
      </c>
      <c r="Y965" s="341"/>
      <c r="Z965" s="328">
        <f t="shared" si="396"/>
        <v>0</v>
      </c>
      <c r="AB965" s="348">
        <f t="shared" si="397"/>
        <v>-4.24</v>
      </c>
      <c r="AC965" s="348">
        <f t="shared" si="392"/>
        <v>-4.24</v>
      </c>
    </row>
    <row r="966" spans="1:29">
      <c r="A966" s="318"/>
      <c r="B966" s="319"/>
      <c r="C966" s="318"/>
      <c r="D966" s="318"/>
      <c r="E966" s="319"/>
      <c r="F966" s="336"/>
      <c r="G966" s="318" t="s">
        <v>2280</v>
      </c>
      <c r="H966" s="328">
        <v>3.33</v>
      </c>
      <c r="I966" s="318">
        <v>1</v>
      </c>
      <c r="J966" s="318">
        <v>1</v>
      </c>
      <c r="K966" s="328">
        <f t="shared" si="385"/>
        <v>3.33</v>
      </c>
      <c r="L966" s="350" t="s">
        <v>3159</v>
      </c>
      <c r="M966" s="318"/>
      <c r="N966" s="318">
        <v>1</v>
      </c>
      <c r="O966" s="328">
        <f t="shared" si="386"/>
        <v>3.33</v>
      </c>
      <c r="P966" s="341">
        <v>1</v>
      </c>
      <c r="Q966" s="755">
        <f t="shared" si="398"/>
        <v>0</v>
      </c>
      <c r="R966" s="341">
        <v>1</v>
      </c>
      <c r="S966" s="318">
        <f t="shared" si="400"/>
        <v>3.33</v>
      </c>
      <c r="T966" s="389"/>
      <c r="V966" s="328"/>
      <c r="W966" s="318"/>
      <c r="X966" s="328">
        <f t="shared" si="395"/>
        <v>0</v>
      </c>
      <c r="Y966" s="341"/>
      <c r="Z966" s="328">
        <f t="shared" si="396"/>
        <v>0</v>
      </c>
      <c r="AB966" s="348">
        <f t="shared" si="397"/>
        <v>-3.33</v>
      </c>
      <c r="AC966" s="348">
        <f t="shared" si="392"/>
        <v>-3.33</v>
      </c>
    </row>
    <row r="967" spans="1:29">
      <c r="A967" s="318"/>
      <c r="B967" s="319"/>
      <c r="C967" s="318"/>
      <c r="D967" s="318"/>
      <c r="E967" s="319"/>
      <c r="F967" s="336"/>
      <c r="G967" s="318" t="s">
        <v>2281</v>
      </c>
      <c r="H967" s="328">
        <v>2.79</v>
      </c>
      <c r="I967" s="318">
        <v>1</v>
      </c>
      <c r="J967" s="318">
        <v>1</v>
      </c>
      <c r="K967" s="328">
        <f t="shared" si="385"/>
        <v>2.79</v>
      </c>
      <c r="L967" s="350" t="s">
        <v>3204</v>
      </c>
      <c r="M967" s="318"/>
      <c r="N967" s="318">
        <v>1</v>
      </c>
      <c r="O967" s="328">
        <f t="shared" si="386"/>
        <v>2.79</v>
      </c>
      <c r="P967" s="341">
        <v>1</v>
      </c>
      <c r="Q967" s="755">
        <f t="shared" si="398"/>
        <v>0</v>
      </c>
      <c r="R967" s="341">
        <v>1</v>
      </c>
      <c r="S967" s="318">
        <f t="shared" si="400"/>
        <v>2.79</v>
      </c>
      <c r="T967" s="389"/>
      <c r="V967" s="328"/>
      <c r="W967" s="318"/>
      <c r="X967" s="328">
        <f t="shared" si="395"/>
        <v>0</v>
      </c>
      <c r="Y967" s="341"/>
      <c r="Z967" s="328">
        <f t="shared" si="396"/>
        <v>0</v>
      </c>
      <c r="AB967" s="348">
        <f t="shared" si="397"/>
        <v>-2.79</v>
      </c>
      <c r="AC967" s="348">
        <f t="shared" si="392"/>
        <v>-2.79</v>
      </c>
    </row>
    <row r="968" spans="1:29">
      <c r="A968" s="318"/>
      <c r="B968" s="319"/>
      <c r="C968" s="318"/>
      <c r="D968" s="318"/>
      <c r="E968" s="319"/>
      <c r="F968" s="319"/>
      <c r="G968" s="318"/>
      <c r="H968" s="318"/>
      <c r="I968" s="318"/>
      <c r="J968" s="382" t="s">
        <v>389</v>
      </c>
      <c r="K968" s="338">
        <f>SUM(K916:K967)</f>
        <v>227.1100000000001</v>
      </c>
      <c r="L968" s="318"/>
      <c r="M968" s="318"/>
      <c r="N968" s="382" t="s">
        <v>389</v>
      </c>
      <c r="O968" s="338">
        <f>SUM(O916:O967)</f>
        <v>227.1100000000001</v>
      </c>
      <c r="P968" s="382" t="s">
        <v>389</v>
      </c>
      <c r="Q968" s="382"/>
      <c r="R968" s="382"/>
      <c r="S968" s="338">
        <f>SUM(S916:S967)</f>
        <v>204.66000000000005</v>
      </c>
      <c r="T968" s="323"/>
      <c r="V968" s="318"/>
      <c r="W968" s="382" t="s">
        <v>389</v>
      </c>
      <c r="X968" s="338">
        <f>SUM(X916:X967)</f>
        <v>0</v>
      </c>
      <c r="Y968" s="382" t="s">
        <v>389</v>
      </c>
      <c r="Z968" s="338">
        <f>SUM(Z916:Z967)</f>
        <v>0</v>
      </c>
      <c r="AB968" s="386"/>
      <c r="AC968" s="338"/>
    </row>
    <row r="969" spans="1:29" ht="6.75" customHeight="1">
      <c r="A969" s="316"/>
      <c r="B969" s="317"/>
      <c r="C969" s="316"/>
      <c r="D969" s="316"/>
      <c r="E969" s="317"/>
      <c r="F969" s="317"/>
      <c r="G969" s="316"/>
      <c r="H969" s="316"/>
      <c r="I969" s="316"/>
      <c r="J969" s="316"/>
      <c r="K969" s="316"/>
      <c r="L969" s="316"/>
      <c r="M969" s="316"/>
      <c r="N969" s="316"/>
      <c r="O969" s="316"/>
      <c r="P969" s="316"/>
      <c r="Q969" s="316"/>
      <c r="R969" s="316"/>
      <c r="S969" s="316"/>
      <c r="T969" s="317"/>
      <c r="V969" s="316"/>
      <c r="W969" s="316"/>
      <c r="X969" s="316"/>
      <c r="Y969" s="316"/>
      <c r="Z969" s="316"/>
      <c r="AB969" s="339"/>
      <c r="AC969" s="339"/>
    </row>
    <row r="970" spans="1:29">
      <c r="A970" s="325"/>
      <c r="T970" s="319"/>
    </row>
    <row r="971" spans="1:29" ht="27.6">
      <c r="A971" s="313"/>
      <c r="B971" s="313"/>
      <c r="C971" s="313"/>
      <c r="D971" s="314"/>
      <c r="E971" s="314"/>
      <c r="F971" s="314"/>
      <c r="G971" s="314" t="s">
        <v>2291</v>
      </c>
      <c r="H971" s="314" t="s">
        <v>60</v>
      </c>
      <c r="I971" s="315" t="s">
        <v>380</v>
      </c>
      <c r="J971" s="315"/>
      <c r="K971" s="315" t="s">
        <v>3139</v>
      </c>
      <c r="L971" s="315"/>
      <c r="M971" s="315"/>
      <c r="N971" s="315" t="s">
        <v>381</v>
      </c>
      <c r="O971" s="315" t="s">
        <v>2289</v>
      </c>
      <c r="P971" s="315" t="s">
        <v>382</v>
      </c>
      <c r="Q971" s="315"/>
      <c r="R971" s="315"/>
      <c r="S971" s="315" t="s">
        <v>2290</v>
      </c>
      <c r="T971" s="314"/>
      <c r="V971" s="314" t="s">
        <v>60</v>
      </c>
      <c r="W971" s="315" t="s">
        <v>381</v>
      </c>
      <c r="X971" s="315" t="s">
        <v>2289</v>
      </c>
      <c r="Y971" s="315" t="s">
        <v>382</v>
      </c>
      <c r="Z971" s="315" t="s">
        <v>2290</v>
      </c>
      <c r="AB971" s="463" t="s">
        <v>382</v>
      </c>
      <c r="AC971" s="463" t="s">
        <v>2290</v>
      </c>
    </row>
    <row r="972" spans="1:29" s="345" customFormat="1" ht="28.2" customHeight="1">
      <c r="A972" s="342"/>
      <c r="B972" s="343" t="s">
        <v>2311</v>
      </c>
      <c r="C972" s="343"/>
      <c r="D972" s="343"/>
      <c r="E972" s="343"/>
      <c r="F972" s="343"/>
      <c r="G972" s="342" t="s">
        <v>2288</v>
      </c>
      <c r="H972" s="344">
        <f>SUM(H6:H44)</f>
        <v>160.67999999999998</v>
      </c>
      <c r="I972" s="344">
        <f>SUM(I6:I44)</f>
        <v>38</v>
      </c>
      <c r="J972" s="344"/>
      <c r="K972" s="344">
        <f>SUM(K44)</f>
        <v>160.67999999999998</v>
      </c>
      <c r="L972" s="342"/>
      <c r="M972" s="342"/>
      <c r="N972" s="346">
        <f>O972/H972</f>
        <v>1</v>
      </c>
      <c r="O972" s="344">
        <f>SUM(O44)</f>
        <v>160.67999999999998</v>
      </c>
      <c r="P972" s="346">
        <f>S972/H972</f>
        <v>0.97205626089121244</v>
      </c>
      <c r="Q972" s="346"/>
      <c r="R972" s="346"/>
      <c r="S972" s="344">
        <f>SUM(S44)</f>
        <v>156.19</v>
      </c>
      <c r="T972" s="343"/>
      <c r="V972" s="344">
        <f>SUM(V6:V44)</f>
        <v>160.429</v>
      </c>
      <c r="W972" s="346">
        <f>X972/V972</f>
        <v>0.34677074178193062</v>
      </c>
      <c r="X972" s="344">
        <f>SUM(X44)</f>
        <v>55.632083333333348</v>
      </c>
      <c r="Y972" s="346">
        <f>Z972/V972</f>
        <v>0.26584969051730056</v>
      </c>
      <c r="Z972" s="344">
        <f>SUM(Z44)</f>
        <v>42.650000000000013</v>
      </c>
      <c r="AB972" s="465">
        <f>SUM(AB6:AB44)</f>
        <v>-105.04791666666667</v>
      </c>
      <c r="AC972" s="344">
        <f>SUM(AC6:AC44)</f>
        <v>-113.53999999999998</v>
      </c>
    </row>
    <row r="973" spans="1:29" s="345" customFormat="1" ht="28.2" customHeight="1">
      <c r="A973" s="342"/>
      <c r="B973" s="343" t="s">
        <v>2282</v>
      </c>
      <c r="C973" s="343"/>
      <c r="D973" s="343"/>
      <c r="E973" s="343"/>
      <c r="F973" s="343"/>
      <c r="G973" s="342" t="s">
        <v>2287</v>
      </c>
      <c r="H973" s="344">
        <f>SUM(H46:H968)</f>
        <v>3424.7069999999512</v>
      </c>
      <c r="I973" s="344">
        <f>SUM(I46:I968)</f>
        <v>812</v>
      </c>
      <c r="J973" s="344"/>
      <c r="K973" s="344">
        <f>SUM(K76,K116,K156,K189,K245,K299,K336,K390,K427,K481,K517,K545,K581,K609,K645,K674,K728,K767,K821,K860,K914,K968)</f>
        <v>3419.8470000000011</v>
      </c>
      <c r="L973" s="342"/>
      <c r="M973" s="342"/>
      <c r="N973" s="346">
        <f>O973/H973</f>
        <v>0.97145522230078296</v>
      </c>
      <c r="O973" s="344">
        <f>SUM(O76,O116,O156,O189,O245,O299,O336,O390,O427,O481,O517,O545,O581,O609,O645,O674,O728,O767,O821,O860,O914,O968)</f>
        <v>3326.9495000000002</v>
      </c>
      <c r="P973" s="346">
        <f>S973/H973</f>
        <v>0.91931864536149965</v>
      </c>
      <c r="Q973" s="346"/>
      <c r="R973" s="346"/>
      <c r="S973" s="344">
        <f>SUM(S76,S116,S156,S189,S245,S299,S336,S390,S427,S481,S517,S545,S581,S609,S645,S674,S728,S767,S821,S860,S914,S968)</f>
        <v>3148.3970000000004</v>
      </c>
      <c r="T973" s="343"/>
      <c r="V973" s="344">
        <f>SUM(V46:V968)</f>
        <v>3348.6389999999592</v>
      </c>
      <c r="W973" s="346">
        <f>X973/V973</f>
        <v>0.74380054105564397</v>
      </c>
      <c r="X973" s="344">
        <f>SUM(X76,X116,X156,X189,X245,X299,X336,X390,X427,X481,X517,X545,X581,X609,X645,X674,X728,X767,X821,X860,X914,X968)</f>
        <v>2490.7195000000002</v>
      </c>
      <c r="Y973" s="346">
        <f>Z973/V973</f>
        <v>0.62630877798413787</v>
      </c>
      <c r="Z973" s="344">
        <f>SUM(Z76,Z116,Z156,Z189,Z245,Z299,Z336,Z390,Z427,Z481,Z517,Z545,Z581,Z609,Z645,Z674,Z728,Z767,Z821,Z860,Z914,Z968)</f>
        <v>2097.2819999999997</v>
      </c>
      <c r="AA973" s="347"/>
      <c r="AB973" s="465">
        <f>SUM(AB46:AB968)</f>
        <v>-836.2300000000007</v>
      </c>
      <c r="AC973" s="344">
        <f>SUM(AC46:AC968)</f>
        <v>-1051.1150000000007</v>
      </c>
    </row>
    <row r="974" spans="1:29" ht="15" thickBot="1">
      <c r="A974" s="325"/>
      <c r="C974" s="800"/>
      <c r="D974" s="800"/>
      <c r="E974" s="800"/>
      <c r="F974" s="800"/>
      <c r="G974" s="800"/>
      <c r="H974" s="800"/>
      <c r="I974" s="799"/>
      <c r="J974" s="799"/>
      <c r="K974" s="799"/>
      <c r="L974" s="799"/>
      <c r="M974" s="799"/>
      <c r="N974" s="800"/>
      <c r="O974" s="800"/>
      <c r="P974" s="800"/>
      <c r="Q974" s="800"/>
      <c r="R974" s="800"/>
      <c r="S974" s="800"/>
      <c r="T974" s="800"/>
    </row>
    <row r="975" spans="1:29" ht="30" thickTop="1" thickBot="1">
      <c r="A975" s="740"/>
      <c r="B975" s="741"/>
      <c r="C975" s="742"/>
      <c r="D975" s="742"/>
      <c r="E975" s="741"/>
      <c r="F975" s="741"/>
      <c r="G975" s="767" t="s">
        <v>3512</v>
      </c>
      <c r="H975" s="756">
        <f>H29+H30+H31+H32+H33+H34+H35+H36+H37+H215+H216+H228+H229+H230+H231+H232+H233+H424+H466+H467+H468+H469+H470+H471+H502+H507+H676+H703+H704+H705+H706+H707+H708+H718+H719+H720+H721+H722+H723+H724+H725+H726+H727+H889+H890+H891+H892+H893+H894+H944+H945+H946+H947+H948</f>
        <v>234.50000000000014</v>
      </c>
      <c r="I975" s="739">
        <f>I29+I30+I31+I32+I33+I34+I35+I36+I37+I215+I216+I228+I229+I230+I231+I232+I233+I424+I466+I467+I468+I469+I470+I471+I502+I507+I676+I703+I704+I705+I706+I707+I708+I718+I719+I720+I721+I722+I723+I724+I725+I726+I727+I889+I890+I891+I892+I893+I894+I944+I945+I946+I947+I948</f>
        <v>54</v>
      </c>
      <c r="J975" s="739">
        <f>J29+J30+J31+J32+J33+J34+J35+J36+J37+J215+J216+J228+J229+J230+J231+J232+J233+J424+J466+J467+J468+J469+J470+J471+J502+J507+J676+J703+J704+J705+J706+J707+J708+J718+J719+J720+J721+J722+J723+J724+J725+J726+J727+J889+J890+J891+J892+J893+J894+J944+J945+J946+J947+J948</f>
        <v>54</v>
      </c>
      <c r="K975" s="739">
        <f>K29+K30+K31+K32+K33+K34+K35+K36+K37+K215+K216+K228+K229+K230+K231+K232+K233+K424+K466+K467+K468+K469+K470+K471+K502+K507+K676+K703+K704+K705+K706+K707+K708+K718+K719+K720+K721+K722+K723+K724+K725+K726+K727+K889+K890+K891+K892+K893+K894+K944+K945+K946+K947+K948</f>
        <v>234.50000000000014</v>
      </c>
      <c r="L975" s="739"/>
      <c r="M975" s="739"/>
      <c r="N975" s="739">
        <f>N29+N30+N31+N32+N33+N34+N35+N36+N37+N215+N216+N228+N229+N230+N231+N232+N233+N424+N466+N467+N468+N469+N470+N471+N502+N507+N676+N703+N704+N705+N706+N707+N708+N718+N719+N720+N721+N722+N723+N724+N725+N726+N727+N889+N890+N891+N892+N893+N894+N944+N945+N946+N947+N948</f>
        <v>32.5</v>
      </c>
      <c r="O975" s="739">
        <f>O29+O30+O31+O32+O33+O34+O35+O36+O37+O215+O216+O228+O229+O230+O231+O232+O233+O424+O466+O467+O468+O469+O470+O471+O502+O507+O676+O703+O704+O705+O706+O707+O708+O718+O719+O720+O721+O722+O723+O724+O725+O726+O727+O889+O890+O891+O892+O893+O894+O944+O945+O946+O947+O948</f>
        <v>138.48249999999999</v>
      </c>
      <c r="P975" s="745"/>
      <c r="Q975" s="745"/>
      <c r="R975" s="768">
        <f>S975/H975</f>
        <v>0.30204690831556497</v>
      </c>
      <c r="S975" s="739">
        <f>S29+S30+S31+S32+S33+S34+S35+S36+S37+S215+S216+S228+S229+S230+S231+S232+S233+S424+S466+S467+S468+S469+S470+S471+S502+S507+S676+S703+S704+S705+S706+S707+S708+S718+S719+S720+S721+S722+S723+S724+S725+S726+S727+S889+S890+S891+S892+S893+S894+S944+S945+S946+S947+S948</f>
        <v>70.830000000000027</v>
      </c>
      <c r="T975" s="743"/>
      <c r="AB975" s="306"/>
      <c r="AC975" s="306"/>
    </row>
    <row r="976" spans="1:29" ht="15" thickTop="1"/>
    <row r="977" spans="28:29">
      <c r="AB977" s="383" t="e">
        <f>#REF!*#REF!</f>
        <v>#REF!</v>
      </c>
      <c r="AC977" s="383" t="e">
        <f>#REF!*#REF!</f>
        <v>#REF!</v>
      </c>
    </row>
  </sheetData>
  <mergeCells count="24">
    <mergeCell ref="J3:K3"/>
    <mergeCell ref="T329:T332"/>
    <mergeCell ref="T376:T379"/>
    <mergeCell ref="T420:T423"/>
    <mergeCell ref="T503:T506"/>
    <mergeCell ref="L3:O3"/>
    <mergeCell ref="T69:T72"/>
    <mergeCell ref="T102:T105"/>
    <mergeCell ref="T142:T145"/>
    <mergeCell ref="T182:T185"/>
    <mergeCell ref="T285:T288"/>
    <mergeCell ref="P3:S3"/>
    <mergeCell ref="T797:T800"/>
    <mergeCell ref="W3:X3"/>
    <mergeCell ref="Y3:Z3"/>
    <mergeCell ref="T852:T855"/>
    <mergeCell ref="T567:T570"/>
    <mergeCell ref="T631:T634"/>
    <mergeCell ref="T538:T541"/>
    <mergeCell ref="V2:Z2"/>
    <mergeCell ref="AB3:AC3"/>
    <mergeCell ref="T602:T605"/>
    <mergeCell ref="T667:T670"/>
    <mergeCell ref="T759:T762"/>
  </mergeCells>
  <conditionalFormatting sqref="J46:J68 J73:J75 J78:J101 J106:J115 J118:J141 J146:J155 J158:J181 J186:J188 J191:J244 J247:J284 J289:J298 J301:J328 J333:J335 J338:J375 J380:J389 J392:J419 J424:J426 J429:J480 J483:J502 J507:J516 J519:J537 J542:J544 J547:J566 J571:J580 J583:J601 J606:J608 J611:J630 J635:J644 J647:J666 J671:J673 J676:J727 J730:J758 J763:J766 J769:J796 J801:J820 J823:J851 J856:J859 J862:J913 J916:J967">
    <cfRule type="cellIs" dxfId="1" priority="1" stopIfTrue="1" operator="lessThan">
      <formula>1</formula>
    </cfRule>
  </conditionalFormatting>
  <pageMargins left="0.1" right="0.1" top="0.1" bottom="0.1" header="0.3" footer="0.3"/>
  <pageSetup paperSize="9" scale="48" orientation="portrait" r:id="rId1"/>
  <colBreaks count="1" manualBreakCount="1">
    <brk id="20" max="978"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2:S120"/>
  <sheetViews>
    <sheetView showGridLines="0" view="pageBreakPreview" zoomScaleNormal="100" zoomScaleSheetLayoutView="100" workbookViewId="0">
      <selection activeCell="O131" sqref="O131"/>
    </sheetView>
  </sheetViews>
  <sheetFormatPr defaultColWidth="9.109375" defaultRowHeight="14.4" outlineLevelRow="1"/>
  <cols>
    <col min="1" max="1" width="6.88671875" style="306" customWidth="1"/>
    <col min="2" max="2" width="10.33203125" style="306" customWidth="1"/>
    <col min="3" max="5" width="7.88671875" style="306" customWidth="1"/>
    <col min="6" max="6" width="12.6640625" style="306" customWidth="1"/>
    <col min="7" max="7" width="11.109375" style="306" customWidth="1"/>
    <col min="8" max="8" width="8.6640625" style="306" customWidth="1"/>
    <col min="9" max="10" width="7.88671875" style="306" customWidth="1"/>
    <col min="11" max="11" width="13.6640625" style="306" customWidth="1"/>
    <col min="12" max="13" width="11.109375" style="306" customWidth="1"/>
    <col min="14" max="14" width="7.88671875" style="306" customWidth="1"/>
    <col min="15" max="15" width="13.6640625" style="306" customWidth="1"/>
    <col min="16" max="17" width="10.6640625" style="306" customWidth="1"/>
    <col min="18" max="19" width="15.6640625" style="306" customWidth="1"/>
    <col min="20" max="16384" width="9.109375" style="306"/>
  </cols>
  <sheetData>
    <row r="2" spans="1:19" ht="18">
      <c r="A2" s="305" t="s">
        <v>375</v>
      </c>
      <c r="G2" s="307"/>
      <c r="H2" s="307"/>
      <c r="I2" s="307"/>
      <c r="J2" s="307"/>
      <c r="K2" s="307"/>
      <c r="L2" s="307"/>
      <c r="M2" s="307"/>
      <c r="N2" s="1032"/>
      <c r="O2" s="1032"/>
      <c r="P2" s="1032"/>
      <c r="Q2" s="1032"/>
      <c r="R2" s="1032"/>
    </row>
    <row r="3" spans="1:19" ht="63.6" customHeight="1">
      <c r="A3" s="308" t="s">
        <v>376</v>
      </c>
      <c r="B3" s="309" t="s">
        <v>2285</v>
      </c>
      <c r="C3" s="308" t="s">
        <v>377</v>
      </c>
      <c r="D3" s="309" t="s">
        <v>378</v>
      </c>
      <c r="E3" s="309" t="s">
        <v>2286</v>
      </c>
      <c r="F3" s="310"/>
      <c r="G3" s="311"/>
      <c r="H3" s="312"/>
      <c r="I3" s="312"/>
      <c r="J3" s="1021" t="s">
        <v>2997</v>
      </c>
      <c r="K3" s="1022"/>
      <c r="L3" s="1021" t="s">
        <v>2998</v>
      </c>
      <c r="M3" s="1023"/>
      <c r="N3" s="1023"/>
      <c r="O3" s="1022"/>
      <c r="P3" s="1021" t="s">
        <v>2310</v>
      </c>
      <c r="Q3" s="1023"/>
      <c r="R3" s="1022"/>
      <c r="S3" s="309" t="s">
        <v>43</v>
      </c>
    </row>
    <row r="4" spans="1:19" ht="27.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3506</v>
      </c>
      <c r="S4" s="314"/>
    </row>
    <row r="5" spans="1:19" ht="6.75" hidden="1" customHeight="1" outlineLevel="1">
      <c r="A5" s="316"/>
      <c r="B5" s="317"/>
      <c r="C5" s="316"/>
      <c r="D5" s="316"/>
      <c r="E5" s="317"/>
      <c r="F5" s="317"/>
      <c r="G5" s="316"/>
      <c r="H5" s="316"/>
      <c r="I5" s="316"/>
      <c r="J5" s="316"/>
      <c r="K5" s="316"/>
      <c r="L5" s="316"/>
      <c r="M5" s="316"/>
      <c r="N5" s="316"/>
      <c r="O5" s="316"/>
      <c r="P5" s="316"/>
      <c r="Q5" s="316"/>
      <c r="R5" s="316"/>
      <c r="S5" s="317"/>
    </row>
    <row r="6" spans="1:19" hidden="1" outlineLevel="1">
      <c r="A6" s="318">
        <v>1</v>
      </c>
      <c r="B6" s="319" t="s">
        <v>383</v>
      </c>
      <c r="C6" s="318">
        <v>900</v>
      </c>
      <c r="D6" s="318">
        <v>7</v>
      </c>
      <c r="E6" s="319">
        <v>1</v>
      </c>
      <c r="F6" s="319" t="s">
        <v>384</v>
      </c>
      <c r="G6" s="318" t="s">
        <v>385</v>
      </c>
      <c r="H6" s="328">
        <v>4.49</v>
      </c>
      <c r="I6" s="318">
        <v>1</v>
      </c>
      <c r="J6" s="318"/>
      <c r="K6" s="318"/>
      <c r="L6" s="318"/>
      <c r="M6" s="318"/>
      <c r="N6" s="320"/>
      <c r="O6" s="320">
        <f>H6*N6</f>
        <v>0</v>
      </c>
      <c r="P6" s="320"/>
      <c r="Q6" s="320"/>
      <c r="R6" s="320">
        <f>N6*P6</f>
        <v>0</v>
      </c>
      <c r="S6" s="319"/>
    </row>
    <row r="7" spans="1:19" hidden="1" outlineLevel="1">
      <c r="A7" s="318"/>
      <c r="B7" s="319"/>
      <c r="C7" s="318"/>
      <c r="D7" s="318"/>
      <c r="E7" s="319"/>
      <c r="F7" s="319" t="s">
        <v>384</v>
      </c>
      <c r="G7" s="318" t="s">
        <v>386</v>
      </c>
      <c r="H7" s="328">
        <v>4.49</v>
      </c>
      <c r="I7" s="318">
        <v>1</v>
      </c>
      <c r="J7" s="318"/>
      <c r="K7" s="318"/>
      <c r="L7" s="318"/>
      <c r="M7" s="318"/>
      <c r="N7" s="320"/>
      <c r="O7" s="320">
        <f>H7*N7</f>
        <v>0</v>
      </c>
      <c r="P7" s="320"/>
      <c r="Q7" s="320"/>
      <c r="R7" s="320">
        <f>N7*P7</f>
        <v>0</v>
      </c>
      <c r="S7" s="319"/>
    </row>
    <row r="8" spans="1:19" hidden="1" outlineLevel="1">
      <c r="A8" s="318"/>
      <c r="B8" s="319"/>
      <c r="C8" s="318"/>
      <c r="D8" s="318"/>
      <c r="E8" s="319"/>
      <c r="F8" s="319" t="s">
        <v>384</v>
      </c>
      <c r="G8" s="318" t="s">
        <v>387</v>
      </c>
      <c r="H8" s="328">
        <v>4.49</v>
      </c>
      <c r="I8" s="318">
        <v>1</v>
      </c>
      <c r="J8" s="318"/>
      <c r="K8" s="318"/>
      <c r="L8" s="318"/>
      <c r="M8" s="318"/>
      <c r="N8" s="320"/>
      <c r="O8" s="320">
        <f>H8*N8</f>
        <v>0</v>
      </c>
      <c r="P8" s="320"/>
      <c r="Q8" s="320"/>
      <c r="R8" s="320">
        <f>N8*P8</f>
        <v>0</v>
      </c>
      <c r="S8" s="319"/>
    </row>
    <row r="9" spans="1:19" hidden="1" outlineLevel="1">
      <c r="A9" s="318"/>
      <c r="B9" s="319"/>
      <c r="C9" s="318"/>
      <c r="D9" s="318"/>
      <c r="E9" s="319"/>
      <c r="F9" s="319" t="s">
        <v>384</v>
      </c>
      <c r="G9" s="318" t="s">
        <v>388</v>
      </c>
      <c r="H9" s="328">
        <v>4.49</v>
      </c>
      <c r="I9" s="318">
        <v>1</v>
      </c>
      <c r="J9" s="318"/>
      <c r="K9" s="318"/>
      <c r="L9" s="318"/>
      <c r="M9" s="318"/>
      <c r="N9" s="320"/>
      <c r="O9" s="320">
        <f>H9*N9</f>
        <v>0</v>
      </c>
      <c r="P9" s="320"/>
      <c r="Q9" s="320"/>
      <c r="R9" s="320">
        <f>N9*P9</f>
        <v>0</v>
      </c>
      <c r="S9" s="319"/>
    </row>
    <row r="10" spans="1:19" hidden="1" outlineLevel="1">
      <c r="A10" s="318"/>
      <c r="B10" s="319"/>
      <c r="C10" s="318"/>
      <c r="D10" s="318"/>
      <c r="E10" s="319"/>
      <c r="F10" s="319"/>
      <c r="G10" s="318"/>
      <c r="H10" s="328"/>
      <c r="I10" s="318"/>
      <c r="J10" s="318"/>
      <c r="K10" s="318"/>
      <c r="L10" s="318"/>
      <c r="M10" s="318"/>
      <c r="N10" s="321" t="s">
        <v>389</v>
      </c>
      <c r="O10" s="321">
        <f>SUM(O6:O9)</f>
        <v>0</v>
      </c>
      <c r="P10" s="321" t="s">
        <v>389</v>
      </c>
      <c r="Q10" s="321"/>
      <c r="R10" s="321">
        <f>SUM(R6:R9)</f>
        <v>0</v>
      </c>
      <c r="S10" s="319"/>
    </row>
    <row r="11" spans="1:19" ht="6.75" hidden="1" customHeight="1" outlineLevel="1">
      <c r="A11" s="316"/>
      <c r="B11" s="317"/>
      <c r="C11" s="316"/>
      <c r="D11" s="316"/>
      <c r="E11" s="317"/>
      <c r="F11" s="317"/>
      <c r="G11" s="316"/>
      <c r="H11" s="332"/>
      <c r="I11" s="316"/>
      <c r="J11" s="316"/>
      <c r="K11" s="316"/>
      <c r="L11" s="316"/>
      <c r="M11" s="316"/>
      <c r="N11" s="316"/>
      <c r="O11" s="316"/>
      <c r="P11" s="316"/>
      <c r="Q11" s="316"/>
      <c r="R11" s="316"/>
      <c r="S11" s="317"/>
    </row>
    <row r="12" spans="1:19" hidden="1" outlineLevel="1">
      <c r="A12" s="318">
        <v>2</v>
      </c>
      <c r="B12" s="319" t="s">
        <v>383</v>
      </c>
      <c r="C12" s="318">
        <v>900</v>
      </c>
      <c r="D12" s="318">
        <v>8</v>
      </c>
      <c r="E12" s="319">
        <v>1</v>
      </c>
      <c r="F12" s="319" t="s">
        <v>384</v>
      </c>
      <c r="G12" s="318" t="s">
        <v>390</v>
      </c>
      <c r="H12" s="328">
        <v>4.49</v>
      </c>
      <c r="I12" s="318">
        <v>1</v>
      </c>
      <c r="J12" s="318">
        <f>IF(N12&gt;0,1,0)</f>
        <v>1</v>
      </c>
      <c r="K12" s="328">
        <f>H12*J12</f>
        <v>4.49</v>
      </c>
      <c r="L12" s="352" t="s">
        <v>3084</v>
      </c>
      <c r="M12" s="350" t="s">
        <v>2944</v>
      </c>
      <c r="N12" s="318">
        <v>1</v>
      </c>
      <c r="O12" s="318">
        <f>H12*N12</f>
        <v>4.49</v>
      </c>
      <c r="P12" s="337">
        <v>1</v>
      </c>
      <c r="Q12" s="337"/>
      <c r="R12" s="318">
        <f>H12*P12</f>
        <v>4.49</v>
      </c>
      <c r="S12" s="319" t="s">
        <v>3421</v>
      </c>
    </row>
    <row r="13" spans="1:19" hidden="1" outlineLevel="1">
      <c r="A13" s="318"/>
      <c r="B13" s="319"/>
      <c r="C13" s="318"/>
      <c r="D13" s="318"/>
      <c r="E13" s="319"/>
      <c r="F13" s="319" t="s">
        <v>384</v>
      </c>
      <c r="G13" s="318" t="s">
        <v>391</v>
      </c>
      <c r="H13" s="328">
        <v>4.49</v>
      </c>
      <c r="I13" s="318">
        <v>1</v>
      </c>
      <c r="J13" s="318">
        <f>IF(N13&gt;0,1,0)</f>
        <v>1</v>
      </c>
      <c r="K13" s="328">
        <f>H13*J13</f>
        <v>4.49</v>
      </c>
      <c r="L13" s="352" t="s">
        <v>3085</v>
      </c>
      <c r="M13" s="350" t="s">
        <v>2945</v>
      </c>
      <c r="N13" s="318">
        <v>1</v>
      </c>
      <c r="O13" s="318">
        <f>H13*N13</f>
        <v>4.49</v>
      </c>
      <c r="P13" s="337">
        <v>1</v>
      </c>
      <c r="Q13" s="337"/>
      <c r="R13" s="318">
        <f>H13*P13</f>
        <v>4.49</v>
      </c>
      <c r="S13" s="319" t="s">
        <v>3421</v>
      </c>
    </row>
    <row r="14" spans="1:19" hidden="1" outlineLevel="1">
      <c r="A14" s="318"/>
      <c r="B14" s="319"/>
      <c r="C14" s="318"/>
      <c r="D14" s="318"/>
      <c r="E14" s="319"/>
      <c r="F14" s="319" t="s">
        <v>384</v>
      </c>
      <c r="G14" s="318" t="s">
        <v>392</v>
      </c>
      <c r="H14" s="328">
        <v>4.49</v>
      </c>
      <c r="I14" s="318">
        <v>1</v>
      </c>
      <c r="J14" s="318">
        <f>IF(N14&gt;0,1,0)</f>
        <v>1</v>
      </c>
      <c r="K14" s="328">
        <f>H14*J14</f>
        <v>4.49</v>
      </c>
      <c r="L14" s="350" t="s">
        <v>3083</v>
      </c>
      <c r="M14" s="318"/>
      <c r="N14" s="318">
        <v>1</v>
      </c>
      <c r="O14" s="318">
        <f>H14*N14</f>
        <v>4.49</v>
      </c>
      <c r="P14" s="337">
        <v>1</v>
      </c>
      <c r="Q14" s="337"/>
      <c r="R14" s="318">
        <f>H14*P14</f>
        <v>4.49</v>
      </c>
      <c r="S14" s="319" t="s">
        <v>3421</v>
      </c>
    </row>
    <row r="15" spans="1:19" hidden="1" outlineLevel="1">
      <c r="A15" s="318"/>
      <c r="B15" s="319"/>
      <c r="C15" s="318"/>
      <c r="D15" s="318"/>
      <c r="E15" s="319"/>
      <c r="F15" s="319" t="s">
        <v>384</v>
      </c>
      <c r="G15" s="318" t="s">
        <v>393</v>
      </c>
      <c r="H15" s="328">
        <v>4.49</v>
      </c>
      <c r="I15" s="318">
        <v>1</v>
      </c>
      <c r="J15" s="318">
        <f>IF(N15&gt;0,1,0)</f>
        <v>1</v>
      </c>
      <c r="K15" s="328">
        <f>H15*J15</f>
        <v>4.49</v>
      </c>
      <c r="L15" s="350" t="s">
        <v>3083</v>
      </c>
      <c r="M15" s="318"/>
      <c r="N15" s="318">
        <v>1</v>
      </c>
      <c r="O15" s="318">
        <f>H15*N15</f>
        <v>4.49</v>
      </c>
      <c r="P15" s="337">
        <v>1</v>
      </c>
      <c r="Q15" s="337"/>
      <c r="R15" s="318">
        <f>H15*P15</f>
        <v>4.49</v>
      </c>
      <c r="S15" s="319" t="s">
        <v>3421</v>
      </c>
    </row>
    <row r="16" spans="1:19" hidden="1" outlineLevel="1">
      <c r="A16" s="318"/>
      <c r="B16" s="319"/>
      <c r="C16" s="318"/>
      <c r="D16" s="318"/>
      <c r="E16" s="319"/>
      <c r="F16" s="319"/>
      <c r="G16" s="318"/>
      <c r="H16" s="318"/>
      <c r="I16" s="318"/>
      <c r="J16" s="382" t="s">
        <v>389</v>
      </c>
      <c r="K16" s="321">
        <f>SUM(K12:K15)</f>
        <v>17.96</v>
      </c>
      <c r="L16" s="318"/>
      <c r="M16" s="318"/>
      <c r="N16" s="382" t="s">
        <v>389</v>
      </c>
      <c r="O16" s="321">
        <f>SUM(O12:O15)</f>
        <v>17.96</v>
      </c>
      <c r="P16" s="382" t="s">
        <v>389</v>
      </c>
      <c r="Q16" s="382"/>
      <c r="R16" s="321">
        <f>SUM(R12:R15)</f>
        <v>17.96</v>
      </c>
      <c r="S16" s="319"/>
    </row>
    <row r="17" spans="1:19" ht="6.75" hidden="1" customHeight="1" outlineLevel="1">
      <c r="A17" s="316"/>
      <c r="B17" s="317"/>
      <c r="C17" s="316"/>
      <c r="D17" s="316"/>
      <c r="E17" s="317"/>
      <c r="F17" s="317"/>
      <c r="G17" s="316"/>
      <c r="H17" s="316"/>
      <c r="I17" s="316"/>
      <c r="J17" s="316"/>
      <c r="K17" s="316"/>
      <c r="L17" s="316"/>
      <c r="M17" s="316"/>
      <c r="N17" s="316"/>
      <c r="O17" s="316"/>
      <c r="P17" s="316"/>
      <c r="Q17" s="316"/>
      <c r="R17" s="316"/>
      <c r="S17" s="317"/>
    </row>
    <row r="18" spans="1:19" hidden="1" outlineLevel="1">
      <c r="A18" s="318">
        <v>3</v>
      </c>
      <c r="B18" s="319" t="s">
        <v>383</v>
      </c>
      <c r="C18" s="318">
        <v>900</v>
      </c>
      <c r="D18" s="318">
        <v>9</v>
      </c>
      <c r="E18" s="319">
        <v>1</v>
      </c>
      <c r="F18" s="319" t="s">
        <v>384</v>
      </c>
      <c r="G18" s="318" t="s">
        <v>394</v>
      </c>
      <c r="H18" s="328">
        <v>4.49</v>
      </c>
      <c r="I18" s="318">
        <v>1</v>
      </c>
      <c r="J18" s="318">
        <f>IF(N18&gt;0,1,0)</f>
        <v>1</v>
      </c>
      <c r="K18" s="328">
        <f>H18*J18</f>
        <v>4.49</v>
      </c>
      <c r="L18" s="350" t="s">
        <v>2867</v>
      </c>
      <c r="M18" s="350" t="s">
        <v>2863</v>
      </c>
      <c r="N18" s="318">
        <v>1</v>
      </c>
      <c r="O18" s="318">
        <f>H18*N18</f>
        <v>4.49</v>
      </c>
      <c r="P18" s="337">
        <v>1</v>
      </c>
      <c r="Q18" s="337"/>
      <c r="R18" s="318">
        <f>H18*P18</f>
        <v>4.49</v>
      </c>
      <c r="S18" s="319" t="s">
        <v>3422</v>
      </c>
    </row>
    <row r="19" spans="1:19" hidden="1" outlineLevel="1">
      <c r="A19" s="318"/>
      <c r="B19" s="319"/>
      <c r="C19" s="318"/>
      <c r="D19" s="318"/>
      <c r="E19" s="319"/>
      <c r="F19" s="319" t="s">
        <v>384</v>
      </c>
      <c r="G19" s="318" t="s">
        <v>395</v>
      </c>
      <c r="H19" s="328">
        <v>4.49</v>
      </c>
      <c r="I19" s="318">
        <v>1</v>
      </c>
      <c r="J19" s="318">
        <f>IF(N19&gt;0,1,0)</f>
        <v>1</v>
      </c>
      <c r="K19" s="328">
        <f>H19*J19</f>
        <v>4.49</v>
      </c>
      <c r="L19" s="350" t="s">
        <v>2733</v>
      </c>
      <c r="M19" s="350" t="s">
        <v>2864</v>
      </c>
      <c r="N19" s="318">
        <v>1</v>
      </c>
      <c r="O19" s="318">
        <f>H19*N19</f>
        <v>4.49</v>
      </c>
      <c r="P19" s="337">
        <v>1</v>
      </c>
      <c r="Q19" s="337"/>
      <c r="R19" s="318">
        <f>H19*P19</f>
        <v>4.49</v>
      </c>
      <c r="S19" s="319" t="s">
        <v>3422</v>
      </c>
    </row>
    <row r="20" spans="1:19" hidden="1" outlineLevel="1">
      <c r="A20" s="318"/>
      <c r="B20" s="319"/>
      <c r="C20" s="318"/>
      <c r="D20" s="318"/>
      <c r="E20" s="319"/>
      <c r="F20" s="319" t="s">
        <v>384</v>
      </c>
      <c r="G20" s="318" t="s">
        <v>396</v>
      </c>
      <c r="H20" s="328">
        <v>4.49</v>
      </c>
      <c r="I20" s="318">
        <v>1</v>
      </c>
      <c r="J20" s="318">
        <f>IF(N20&gt;0,1,0)</f>
        <v>1</v>
      </c>
      <c r="K20" s="328">
        <f>H20*J20</f>
        <v>4.49</v>
      </c>
      <c r="L20" s="350" t="s">
        <v>2866</v>
      </c>
      <c r="M20" s="350" t="s">
        <v>2865</v>
      </c>
      <c r="N20" s="318">
        <v>1</v>
      </c>
      <c r="O20" s="318">
        <f>H20*N20</f>
        <v>4.49</v>
      </c>
      <c r="P20" s="337">
        <v>1</v>
      </c>
      <c r="Q20" s="337"/>
      <c r="R20" s="318">
        <f>H20*P20</f>
        <v>4.49</v>
      </c>
      <c r="S20" s="319" t="s">
        <v>3422</v>
      </c>
    </row>
    <row r="21" spans="1:19" hidden="1" outlineLevel="1">
      <c r="A21" s="318"/>
      <c r="B21" s="319"/>
      <c r="C21" s="318"/>
      <c r="D21" s="318"/>
      <c r="E21" s="319"/>
      <c r="F21" s="319" t="s">
        <v>384</v>
      </c>
      <c r="G21" s="318" t="s">
        <v>397</v>
      </c>
      <c r="H21" s="328">
        <v>4.49</v>
      </c>
      <c r="I21" s="318">
        <v>1</v>
      </c>
      <c r="J21" s="318">
        <f>IF(N21&gt;0,1,0)</f>
        <v>1</v>
      </c>
      <c r="K21" s="328">
        <f>H21*J21</f>
        <v>4.49</v>
      </c>
      <c r="L21" s="350" t="s">
        <v>2866</v>
      </c>
      <c r="M21" s="350" t="s">
        <v>2865</v>
      </c>
      <c r="N21" s="318">
        <v>1</v>
      </c>
      <c r="O21" s="318">
        <f>H21*N21</f>
        <v>4.49</v>
      </c>
      <c r="P21" s="337">
        <v>1</v>
      </c>
      <c r="Q21" s="337"/>
      <c r="R21" s="318">
        <f>H21*P21</f>
        <v>4.49</v>
      </c>
      <c r="S21" s="319" t="s">
        <v>3422</v>
      </c>
    </row>
    <row r="22" spans="1:19" hidden="1" outlineLevel="1">
      <c r="A22" s="318"/>
      <c r="B22" s="319"/>
      <c r="C22" s="318"/>
      <c r="D22" s="318"/>
      <c r="E22" s="319"/>
      <c r="F22" s="319"/>
      <c r="G22" s="318"/>
      <c r="H22" s="328"/>
      <c r="I22" s="318"/>
      <c r="J22" s="382" t="s">
        <v>389</v>
      </c>
      <c r="K22" s="321">
        <f>SUM(K18:K21)</f>
        <v>17.96</v>
      </c>
      <c r="L22" s="318"/>
      <c r="M22" s="318"/>
      <c r="N22" s="382" t="s">
        <v>389</v>
      </c>
      <c r="O22" s="321">
        <f>SUM(O18:O21)</f>
        <v>17.96</v>
      </c>
      <c r="P22" s="382" t="s">
        <v>389</v>
      </c>
      <c r="Q22" s="382"/>
      <c r="R22" s="321">
        <f>SUM(R18:R21)</f>
        <v>17.96</v>
      </c>
      <c r="S22" s="319"/>
    </row>
    <row r="23" spans="1:19" ht="6.75" hidden="1" customHeight="1" outlineLevel="1">
      <c r="A23" s="316"/>
      <c r="B23" s="317"/>
      <c r="C23" s="316"/>
      <c r="D23" s="316"/>
      <c r="E23" s="317"/>
      <c r="F23" s="317"/>
      <c r="G23" s="316"/>
      <c r="H23" s="316"/>
      <c r="I23" s="316"/>
      <c r="J23" s="316"/>
      <c r="K23" s="316"/>
      <c r="L23" s="316"/>
      <c r="M23" s="316"/>
      <c r="N23" s="316"/>
      <c r="O23" s="316"/>
      <c r="P23" s="316"/>
      <c r="Q23" s="316"/>
      <c r="R23" s="316"/>
      <c r="S23" s="317"/>
    </row>
    <row r="24" spans="1:19" hidden="1" outlineLevel="1">
      <c r="A24" s="318">
        <v>4</v>
      </c>
      <c r="B24" s="319" t="s">
        <v>383</v>
      </c>
      <c r="C24" s="318">
        <v>900</v>
      </c>
      <c r="D24" s="318">
        <v>10</v>
      </c>
      <c r="E24" s="319">
        <v>1</v>
      </c>
      <c r="F24" s="319" t="s">
        <v>384</v>
      </c>
      <c r="G24" s="318" t="s">
        <v>398</v>
      </c>
      <c r="H24" s="328">
        <v>4.49</v>
      </c>
      <c r="I24" s="318">
        <v>1</v>
      </c>
      <c r="J24" s="318">
        <f>IF(N24&gt;0,1,0)</f>
        <v>1</v>
      </c>
      <c r="K24" s="328">
        <f>H24*J24</f>
        <v>4.49</v>
      </c>
      <c r="L24" s="350" t="s">
        <v>2733</v>
      </c>
      <c r="M24" s="350" t="s">
        <v>2864</v>
      </c>
      <c r="N24" s="318">
        <v>1</v>
      </c>
      <c r="O24" s="318">
        <f>H24*N24</f>
        <v>4.49</v>
      </c>
      <c r="P24" s="337">
        <v>1</v>
      </c>
      <c r="Q24" s="337"/>
      <c r="R24" s="318">
        <f>H24*P24</f>
        <v>4.49</v>
      </c>
      <c r="S24" s="319" t="s">
        <v>3424</v>
      </c>
    </row>
    <row r="25" spans="1:19" hidden="1" outlineLevel="1">
      <c r="A25" s="318"/>
      <c r="B25" s="319"/>
      <c r="C25" s="318"/>
      <c r="D25" s="318"/>
      <c r="E25" s="319"/>
      <c r="F25" s="319" t="s">
        <v>384</v>
      </c>
      <c r="G25" s="318" t="s">
        <v>399</v>
      </c>
      <c r="H25" s="328">
        <v>4.49</v>
      </c>
      <c r="I25" s="318">
        <v>1</v>
      </c>
      <c r="J25" s="318">
        <f>IF(N25&gt;0,1,0)</f>
        <v>1</v>
      </c>
      <c r="K25" s="328">
        <f>H25*J25</f>
        <v>4.49</v>
      </c>
      <c r="L25" s="318">
        <v>2025</v>
      </c>
      <c r="M25" s="318">
        <v>186</v>
      </c>
      <c r="N25" s="318">
        <v>1</v>
      </c>
      <c r="O25" s="318">
        <f>H25*N25</f>
        <v>4.49</v>
      </c>
      <c r="P25" s="337">
        <v>1</v>
      </c>
      <c r="Q25" s="337"/>
      <c r="R25" s="318">
        <f>H25*P25</f>
        <v>4.49</v>
      </c>
      <c r="S25" s="319" t="s">
        <v>3424</v>
      </c>
    </row>
    <row r="26" spans="1:19" hidden="1" outlineLevel="1">
      <c r="A26" s="318"/>
      <c r="B26" s="319"/>
      <c r="C26" s="318"/>
      <c r="D26" s="318"/>
      <c r="E26" s="319"/>
      <c r="F26" s="319" t="s">
        <v>384</v>
      </c>
      <c r="G26" s="318" t="s">
        <v>400</v>
      </c>
      <c r="H26" s="328">
        <v>4.49</v>
      </c>
      <c r="I26" s="318">
        <v>1</v>
      </c>
      <c r="J26" s="318">
        <f>IF(N26&gt;0,1,0)</f>
        <v>1</v>
      </c>
      <c r="K26" s="328">
        <f>H26*J26</f>
        <v>4.49</v>
      </c>
      <c r="L26" s="318">
        <v>2035</v>
      </c>
      <c r="M26" s="318">
        <v>188</v>
      </c>
      <c r="N26" s="318">
        <v>1</v>
      </c>
      <c r="O26" s="318">
        <f>H26*N26</f>
        <v>4.49</v>
      </c>
      <c r="P26" s="337">
        <v>1</v>
      </c>
      <c r="Q26" s="337"/>
      <c r="R26" s="318">
        <f>H26*P26</f>
        <v>4.49</v>
      </c>
      <c r="S26" s="319" t="s">
        <v>3424</v>
      </c>
    </row>
    <row r="27" spans="1:19" hidden="1" outlineLevel="1">
      <c r="A27" s="318"/>
      <c r="B27" s="319"/>
      <c r="C27" s="318"/>
      <c r="D27" s="318"/>
      <c r="E27" s="319"/>
      <c r="F27" s="319" t="s">
        <v>384</v>
      </c>
      <c r="G27" s="318" t="s">
        <v>401</v>
      </c>
      <c r="H27" s="328">
        <v>4.49</v>
      </c>
      <c r="I27" s="318">
        <v>1</v>
      </c>
      <c r="J27" s="318">
        <f>IF(N27&gt;0,1,0)</f>
        <v>1</v>
      </c>
      <c r="K27" s="328">
        <f>H27*J27</f>
        <v>4.49</v>
      </c>
      <c r="L27" s="350" t="s">
        <v>2868</v>
      </c>
      <c r="M27" s="350" t="s">
        <v>2869</v>
      </c>
      <c r="N27" s="318">
        <v>1</v>
      </c>
      <c r="O27" s="318">
        <f>H27*N27</f>
        <v>4.49</v>
      </c>
      <c r="P27" s="337">
        <v>1</v>
      </c>
      <c r="Q27" s="337"/>
      <c r="R27" s="318">
        <f>H27*P27</f>
        <v>4.49</v>
      </c>
      <c r="S27" s="319" t="s">
        <v>3424</v>
      </c>
    </row>
    <row r="28" spans="1:19" hidden="1" outlineLevel="1">
      <c r="A28" s="318"/>
      <c r="B28" s="319"/>
      <c r="C28" s="318"/>
      <c r="D28" s="318"/>
      <c r="E28" s="319"/>
      <c r="F28" s="319"/>
      <c r="G28" s="318"/>
      <c r="H28" s="328"/>
      <c r="I28" s="318"/>
      <c r="J28" s="382" t="s">
        <v>389</v>
      </c>
      <c r="K28" s="321">
        <f>SUM(K24:K27)</f>
        <v>17.96</v>
      </c>
      <c r="L28" s="318"/>
      <c r="M28" s="318"/>
      <c r="N28" s="382" t="s">
        <v>389</v>
      </c>
      <c r="O28" s="321">
        <f>SUM(O24:O27)</f>
        <v>17.96</v>
      </c>
      <c r="P28" s="382" t="s">
        <v>389</v>
      </c>
      <c r="Q28" s="382"/>
      <c r="R28" s="321">
        <f>SUM(R24:R27)</f>
        <v>17.96</v>
      </c>
      <c r="S28" s="319"/>
    </row>
    <row r="29" spans="1:19" ht="6.75" hidden="1" customHeight="1" outlineLevel="1">
      <c r="A29" s="316"/>
      <c r="B29" s="317"/>
      <c r="C29" s="316"/>
      <c r="D29" s="316"/>
      <c r="E29" s="317"/>
      <c r="F29" s="317"/>
      <c r="G29" s="316"/>
      <c r="H29" s="332"/>
      <c r="I29" s="316"/>
      <c r="J29" s="316"/>
      <c r="K29" s="316"/>
      <c r="L29" s="316"/>
      <c r="M29" s="316"/>
      <c r="N29" s="316"/>
      <c r="O29" s="316"/>
      <c r="P29" s="316"/>
      <c r="Q29" s="316"/>
      <c r="R29" s="316"/>
      <c r="S29" s="317"/>
    </row>
    <row r="30" spans="1:19" hidden="1" outlineLevel="1">
      <c r="A30" s="318">
        <v>5</v>
      </c>
      <c r="B30" s="319" t="s">
        <v>383</v>
      </c>
      <c r="C30" s="318">
        <v>900</v>
      </c>
      <c r="D30" s="318">
        <v>11</v>
      </c>
      <c r="E30" s="319">
        <v>1</v>
      </c>
      <c r="F30" s="319" t="s">
        <v>384</v>
      </c>
      <c r="G30" s="318" t="s">
        <v>403</v>
      </c>
      <c r="H30" s="328">
        <v>4.49</v>
      </c>
      <c r="I30" s="318">
        <v>1</v>
      </c>
      <c r="J30" s="318">
        <f>IF(N30&gt;0,1,0)</f>
        <v>1</v>
      </c>
      <c r="K30" s="328">
        <f>H30*J30</f>
        <v>4.49</v>
      </c>
      <c r="L30" s="350" t="s">
        <v>3095</v>
      </c>
      <c r="M30" s="318">
        <v>237</v>
      </c>
      <c r="N30" s="318">
        <v>1</v>
      </c>
      <c r="O30" s="318">
        <f>H30*N30</f>
        <v>4.49</v>
      </c>
      <c r="P30" s="337">
        <v>1</v>
      </c>
      <c r="Q30" s="337"/>
      <c r="R30" s="318">
        <f>H30*P30</f>
        <v>4.49</v>
      </c>
      <c r="S30" s="639" t="s">
        <v>3425</v>
      </c>
    </row>
    <row r="31" spans="1:19" hidden="1" outlineLevel="1">
      <c r="A31" s="318"/>
      <c r="B31" s="319"/>
      <c r="C31" s="318"/>
      <c r="D31" s="318"/>
      <c r="E31" s="319"/>
      <c r="F31" s="319" t="s">
        <v>384</v>
      </c>
      <c r="G31" s="318" t="s">
        <v>404</v>
      </c>
      <c r="H31" s="328">
        <v>4.49</v>
      </c>
      <c r="I31" s="318">
        <v>1</v>
      </c>
      <c r="J31" s="318">
        <f>IF(N31&gt;0,1,0)</f>
        <v>1</v>
      </c>
      <c r="K31" s="328">
        <f>H31*J31</f>
        <v>4.49</v>
      </c>
      <c r="L31" s="350" t="s">
        <v>3095</v>
      </c>
      <c r="M31" s="318">
        <v>237</v>
      </c>
      <c r="N31" s="318">
        <v>1</v>
      </c>
      <c r="O31" s="318">
        <f>H31*N31</f>
        <v>4.49</v>
      </c>
      <c r="P31" s="337">
        <v>1</v>
      </c>
      <c r="Q31" s="337"/>
      <c r="R31" s="318">
        <f>H31*P31</f>
        <v>4.49</v>
      </c>
      <c r="S31" s="639" t="s">
        <v>3425</v>
      </c>
    </row>
    <row r="32" spans="1:19" hidden="1" outlineLevel="1">
      <c r="A32" s="318"/>
      <c r="B32" s="319"/>
      <c r="C32" s="318"/>
      <c r="D32" s="318"/>
      <c r="E32" s="319"/>
      <c r="F32" s="319" t="s">
        <v>384</v>
      </c>
      <c r="G32" s="318" t="s">
        <v>405</v>
      </c>
      <c r="H32" s="328">
        <v>4.49</v>
      </c>
      <c r="I32" s="318">
        <v>1</v>
      </c>
      <c r="J32" s="318">
        <f>IF(N32&gt;0,1,0)</f>
        <v>1</v>
      </c>
      <c r="K32" s="328">
        <f>H32*J32</f>
        <v>4.49</v>
      </c>
      <c r="L32" s="350" t="s">
        <v>3098</v>
      </c>
      <c r="M32" s="318">
        <v>237</v>
      </c>
      <c r="N32" s="318">
        <v>1</v>
      </c>
      <c r="O32" s="318">
        <f>H32*N32</f>
        <v>4.49</v>
      </c>
      <c r="P32" s="337">
        <v>1</v>
      </c>
      <c r="Q32" s="337"/>
      <c r="R32" s="318">
        <f>H32*P32</f>
        <v>4.49</v>
      </c>
      <c r="S32" s="639" t="s">
        <v>3425</v>
      </c>
    </row>
    <row r="33" spans="1:19" hidden="1" outlineLevel="1">
      <c r="A33" s="318"/>
      <c r="B33" s="319"/>
      <c r="C33" s="318"/>
      <c r="D33" s="318"/>
      <c r="E33" s="319"/>
      <c r="F33" s="319" t="s">
        <v>384</v>
      </c>
      <c r="G33" s="318" t="s">
        <v>1585</v>
      </c>
      <c r="H33" s="328">
        <v>4.49</v>
      </c>
      <c r="I33" s="318">
        <v>1</v>
      </c>
      <c r="J33" s="318">
        <f>IF(N33&gt;0,1,0)</f>
        <v>1</v>
      </c>
      <c r="K33" s="328">
        <f>H33*J33</f>
        <v>4.49</v>
      </c>
      <c r="L33" s="350" t="s">
        <v>3098</v>
      </c>
      <c r="M33" s="318">
        <v>237</v>
      </c>
      <c r="N33" s="318">
        <v>1</v>
      </c>
      <c r="O33" s="318">
        <f>H33*N33</f>
        <v>4.49</v>
      </c>
      <c r="P33" s="337">
        <v>1</v>
      </c>
      <c r="Q33" s="337"/>
      <c r="R33" s="318">
        <f>H33*P33</f>
        <v>4.49</v>
      </c>
      <c r="S33" s="639" t="s">
        <v>3425</v>
      </c>
    </row>
    <row r="34" spans="1:19" hidden="1" outlineLevel="1">
      <c r="A34" s="318"/>
      <c r="B34" s="319"/>
      <c r="C34" s="318"/>
      <c r="D34" s="318"/>
      <c r="E34" s="319"/>
      <c r="F34" s="319"/>
      <c r="G34" s="318"/>
      <c r="H34" s="318"/>
      <c r="I34" s="318"/>
      <c r="J34" s="382" t="s">
        <v>389</v>
      </c>
      <c r="K34" s="321">
        <f>SUM(K30:K33)</f>
        <v>17.96</v>
      </c>
      <c r="L34" s="318"/>
      <c r="M34" s="318"/>
      <c r="N34" s="382" t="s">
        <v>389</v>
      </c>
      <c r="O34" s="321">
        <f>SUM(O30:O33)</f>
        <v>17.96</v>
      </c>
      <c r="P34" s="382" t="s">
        <v>389</v>
      </c>
      <c r="Q34" s="382"/>
      <c r="R34" s="321">
        <f>SUM(R30:R33)</f>
        <v>17.96</v>
      </c>
      <c r="S34" s="319"/>
    </row>
    <row r="35" spans="1:19" ht="6.75" hidden="1" customHeight="1" outlineLevel="1">
      <c r="A35" s="316"/>
      <c r="B35" s="317"/>
      <c r="C35" s="316"/>
      <c r="D35" s="316"/>
      <c r="E35" s="317"/>
      <c r="F35" s="317"/>
      <c r="G35" s="316"/>
      <c r="H35" s="332"/>
      <c r="I35" s="316"/>
      <c r="J35" s="316"/>
      <c r="K35" s="316"/>
      <c r="L35" s="316"/>
      <c r="M35" s="316"/>
      <c r="N35" s="316"/>
      <c r="O35" s="316"/>
      <c r="P35" s="316"/>
      <c r="Q35" s="316"/>
      <c r="R35" s="316"/>
      <c r="S35" s="317"/>
    </row>
    <row r="36" spans="1:19" hidden="1" outlineLevel="1">
      <c r="A36" s="318">
        <v>6</v>
      </c>
      <c r="B36" s="319" t="s">
        <v>383</v>
      </c>
      <c r="C36" s="318">
        <v>900</v>
      </c>
      <c r="D36" s="318">
        <v>13</v>
      </c>
      <c r="E36" s="319">
        <v>1</v>
      </c>
      <c r="F36" s="319" t="s">
        <v>384</v>
      </c>
      <c r="G36" s="318" t="s">
        <v>406</v>
      </c>
      <c r="H36" s="328">
        <v>4.49</v>
      </c>
      <c r="I36" s="318">
        <v>1</v>
      </c>
      <c r="J36" s="318">
        <f>IF(N36&gt;0,1,0)</f>
        <v>1</v>
      </c>
      <c r="K36" s="328">
        <f>H36*J36</f>
        <v>4.49</v>
      </c>
      <c r="L36" s="350" t="s">
        <v>3111</v>
      </c>
      <c r="M36" s="350" t="s">
        <v>3146</v>
      </c>
      <c r="N36" s="318">
        <v>1</v>
      </c>
      <c r="O36" s="318">
        <f>H36*N36</f>
        <v>4.49</v>
      </c>
      <c r="P36" s="337">
        <v>1</v>
      </c>
      <c r="Q36" s="337"/>
      <c r="R36" s="318">
        <f>H36*P36</f>
        <v>4.49</v>
      </c>
      <c r="S36" s="389" t="s">
        <v>3428</v>
      </c>
    </row>
    <row r="37" spans="1:19" hidden="1" outlineLevel="1">
      <c r="A37" s="318"/>
      <c r="B37" s="319"/>
      <c r="C37" s="318"/>
      <c r="D37" s="318"/>
      <c r="E37" s="319"/>
      <c r="F37" s="319" t="s">
        <v>384</v>
      </c>
      <c r="G37" s="318" t="s">
        <v>407</v>
      </c>
      <c r="H37" s="328">
        <v>4.49</v>
      </c>
      <c r="I37" s="318">
        <v>1</v>
      </c>
      <c r="J37" s="318">
        <f>IF(N37&gt;0,1,0)</f>
        <v>1</v>
      </c>
      <c r="K37" s="328">
        <f>H37*J37</f>
        <v>4.49</v>
      </c>
      <c r="L37" s="350" t="s">
        <v>3105</v>
      </c>
      <c r="M37" s="318">
        <v>238</v>
      </c>
      <c r="N37" s="318">
        <v>1</v>
      </c>
      <c r="O37" s="318">
        <f>H37*N37</f>
        <v>4.49</v>
      </c>
      <c r="P37" s="337">
        <v>1</v>
      </c>
      <c r="Q37" s="337"/>
      <c r="R37" s="318">
        <f>H37*P37</f>
        <v>4.49</v>
      </c>
      <c r="S37" s="389" t="s">
        <v>3428</v>
      </c>
    </row>
    <row r="38" spans="1:19" hidden="1" outlineLevel="1">
      <c r="A38" s="318"/>
      <c r="B38" s="319"/>
      <c r="C38" s="318"/>
      <c r="D38" s="318"/>
      <c r="E38" s="319"/>
      <c r="F38" s="319" t="s">
        <v>384</v>
      </c>
      <c r="G38" s="318" t="s">
        <v>408</v>
      </c>
      <c r="H38" s="328">
        <v>4.49</v>
      </c>
      <c r="I38" s="318">
        <v>1</v>
      </c>
      <c r="J38" s="318">
        <f>IF(N38&gt;0,1,0)</f>
        <v>1</v>
      </c>
      <c r="K38" s="328">
        <f>H38*J38</f>
        <v>4.49</v>
      </c>
      <c r="L38" s="350" t="s">
        <v>3105</v>
      </c>
      <c r="M38" s="318">
        <v>238</v>
      </c>
      <c r="N38" s="318">
        <v>1</v>
      </c>
      <c r="O38" s="318">
        <f>H38*N38</f>
        <v>4.49</v>
      </c>
      <c r="P38" s="337">
        <v>1</v>
      </c>
      <c r="Q38" s="337"/>
      <c r="R38" s="318">
        <f>H38*P38</f>
        <v>4.49</v>
      </c>
      <c r="S38" s="389" t="s">
        <v>3428</v>
      </c>
    </row>
    <row r="39" spans="1:19" hidden="1" outlineLevel="1">
      <c r="A39" s="318"/>
      <c r="B39" s="319"/>
      <c r="C39" s="318"/>
      <c r="D39" s="318"/>
      <c r="E39" s="319"/>
      <c r="F39" s="319" t="s">
        <v>384</v>
      </c>
      <c r="G39" s="318" t="s">
        <v>409</v>
      </c>
      <c r="H39" s="328">
        <v>4.49</v>
      </c>
      <c r="I39" s="318">
        <v>1</v>
      </c>
      <c r="J39" s="318">
        <f>IF(N39&gt;0,1,0)</f>
        <v>1</v>
      </c>
      <c r="K39" s="328">
        <f>H39*J39</f>
        <v>4.49</v>
      </c>
      <c r="L39" s="350" t="s">
        <v>3105</v>
      </c>
      <c r="M39" s="318">
        <v>238</v>
      </c>
      <c r="N39" s="318">
        <v>1</v>
      </c>
      <c r="O39" s="318">
        <f>H39*N39</f>
        <v>4.49</v>
      </c>
      <c r="P39" s="337">
        <v>1</v>
      </c>
      <c r="Q39" s="337"/>
      <c r="R39" s="318">
        <f>H39*P39</f>
        <v>4.49</v>
      </c>
      <c r="S39" s="389" t="s">
        <v>3428</v>
      </c>
    </row>
    <row r="40" spans="1:19" hidden="1" outlineLevel="1">
      <c r="A40" s="318"/>
      <c r="B40" s="319"/>
      <c r="C40" s="318"/>
      <c r="D40" s="318"/>
      <c r="E40" s="319"/>
      <c r="F40" s="319"/>
      <c r="G40" s="318"/>
      <c r="H40" s="318"/>
      <c r="I40" s="318"/>
      <c r="J40" s="382" t="s">
        <v>389</v>
      </c>
      <c r="K40" s="321">
        <f>SUM(K36:K39)</f>
        <v>17.96</v>
      </c>
      <c r="L40" s="318"/>
      <c r="M40" s="318"/>
      <c r="N40" s="382" t="s">
        <v>389</v>
      </c>
      <c r="O40" s="321">
        <f>SUM(O36:O39)</f>
        <v>17.96</v>
      </c>
      <c r="P40" s="382" t="s">
        <v>389</v>
      </c>
      <c r="Q40" s="382"/>
      <c r="R40" s="321">
        <f>SUM(R36:R39)</f>
        <v>17.96</v>
      </c>
      <c r="S40" s="319"/>
    </row>
    <row r="41" spans="1:19" ht="6.75" hidden="1" customHeight="1" outlineLevel="1">
      <c r="A41" s="316"/>
      <c r="B41" s="317"/>
      <c r="C41" s="316"/>
      <c r="D41" s="316"/>
      <c r="E41" s="317"/>
      <c r="F41" s="317"/>
      <c r="G41" s="316"/>
      <c r="H41" s="332"/>
      <c r="I41" s="316"/>
      <c r="J41" s="316"/>
      <c r="K41" s="316"/>
      <c r="L41" s="316"/>
      <c r="M41" s="316"/>
      <c r="N41" s="316"/>
      <c r="O41" s="316"/>
      <c r="P41" s="316"/>
      <c r="Q41" s="316"/>
      <c r="R41" s="316"/>
      <c r="S41" s="317"/>
    </row>
    <row r="42" spans="1:19" hidden="1" outlineLevel="1">
      <c r="A42" s="318">
        <v>7</v>
      </c>
      <c r="B42" s="319" t="s">
        <v>383</v>
      </c>
      <c r="C42" s="318">
        <v>900</v>
      </c>
      <c r="D42" s="318">
        <v>14</v>
      </c>
      <c r="E42" s="319">
        <v>1</v>
      </c>
      <c r="F42" s="319" t="s">
        <v>384</v>
      </c>
      <c r="G42" s="318" t="s">
        <v>410</v>
      </c>
      <c r="H42" s="328">
        <f>4.49</f>
        <v>4.49</v>
      </c>
      <c r="I42" s="318">
        <v>1</v>
      </c>
      <c r="J42" s="318">
        <f>IF(N42&gt;0,1,0)</f>
        <v>1</v>
      </c>
      <c r="K42" s="328">
        <f>H42*J42</f>
        <v>4.49</v>
      </c>
      <c r="L42" s="318">
        <v>2442</v>
      </c>
      <c r="M42" s="318">
        <v>240</v>
      </c>
      <c r="N42" s="318">
        <v>1</v>
      </c>
      <c r="O42" s="318">
        <f>H42*N42</f>
        <v>4.49</v>
      </c>
      <c r="P42" s="341">
        <v>1</v>
      </c>
      <c r="Q42" s="341"/>
      <c r="R42" s="318">
        <f>H42*P42</f>
        <v>4.49</v>
      </c>
      <c r="S42" s="389" t="s">
        <v>3431</v>
      </c>
    </row>
    <row r="43" spans="1:19" hidden="1" outlineLevel="1">
      <c r="A43" s="318"/>
      <c r="B43" s="319"/>
      <c r="C43" s="318"/>
      <c r="D43" s="318"/>
      <c r="E43" s="319"/>
      <c r="F43" s="319" t="s">
        <v>384</v>
      </c>
      <c r="G43" s="318" t="s">
        <v>411</v>
      </c>
      <c r="H43" s="328">
        <f>4.49</f>
        <v>4.49</v>
      </c>
      <c r="I43" s="318">
        <v>1</v>
      </c>
      <c r="J43" s="318">
        <f>IF(N43&gt;0,1,0)</f>
        <v>1</v>
      </c>
      <c r="K43" s="328">
        <f>H43*J43</f>
        <v>4.49</v>
      </c>
      <c r="L43" s="318">
        <v>2442</v>
      </c>
      <c r="M43" s="318">
        <v>240</v>
      </c>
      <c r="N43" s="318">
        <v>1</v>
      </c>
      <c r="O43" s="318">
        <f>H43*N43</f>
        <v>4.49</v>
      </c>
      <c r="P43" s="341">
        <v>1</v>
      </c>
      <c r="Q43" s="341"/>
      <c r="R43" s="318">
        <f>H43*P43</f>
        <v>4.49</v>
      </c>
      <c r="S43" s="389" t="s">
        <v>3431</v>
      </c>
    </row>
    <row r="44" spans="1:19" hidden="1" outlineLevel="1">
      <c r="A44" s="318"/>
      <c r="B44" s="319"/>
      <c r="C44" s="318"/>
      <c r="D44" s="318"/>
      <c r="E44" s="319"/>
      <c r="F44" s="319" t="s">
        <v>384</v>
      </c>
      <c r="G44" s="318" t="s">
        <v>412</v>
      </c>
      <c r="H44" s="328">
        <f>4.49</f>
        <v>4.49</v>
      </c>
      <c r="I44" s="318">
        <v>1</v>
      </c>
      <c r="J44" s="318">
        <f>IF(N44&gt;0,1,0)</f>
        <v>1</v>
      </c>
      <c r="K44" s="328">
        <f>H44*J44</f>
        <v>4.49</v>
      </c>
      <c r="L44" s="318">
        <v>2445</v>
      </c>
      <c r="M44" s="318">
        <v>240</v>
      </c>
      <c r="N44" s="318">
        <v>1</v>
      </c>
      <c r="O44" s="318">
        <f>H44*N44</f>
        <v>4.49</v>
      </c>
      <c r="P44" s="341">
        <v>1</v>
      </c>
      <c r="Q44" s="341"/>
      <c r="R44" s="318">
        <f>H44*P44</f>
        <v>4.49</v>
      </c>
      <c r="S44" s="389" t="s">
        <v>3431</v>
      </c>
    </row>
    <row r="45" spans="1:19" hidden="1" outlineLevel="1">
      <c r="A45" s="318"/>
      <c r="B45" s="319"/>
      <c r="C45" s="318"/>
      <c r="D45" s="318"/>
      <c r="E45" s="319"/>
      <c r="F45" s="319" t="s">
        <v>384</v>
      </c>
      <c r="G45" s="318" t="s">
        <v>413</v>
      </c>
      <c r="H45" s="328">
        <f>4.49</f>
        <v>4.49</v>
      </c>
      <c r="I45" s="318">
        <v>1</v>
      </c>
      <c r="J45" s="318">
        <f>IF(N45&gt;0,1,0)</f>
        <v>1</v>
      </c>
      <c r="K45" s="328">
        <f>H45*J45</f>
        <v>4.49</v>
      </c>
      <c r="L45" s="318">
        <v>2445</v>
      </c>
      <c r="M45" s="318">
        <v>240</v>
      </c>
      <c r="N45" s="318">
        <v>1</v>
      </c>
      <c r="O45" s="318">
        <f>H45*N45</f>
        <v>4.49</v>
      </c>
      <c r="P45" s="341">
        <v>1</v>
      </c>
      <c r="Q45" s="341"/>
      <c r="R45" s="318">
        <f>H45*P45</f>
        <v>4.49</v>
      </c>
      <c r="S45" s="389" t="s">
        <v>3431</v>
      </c>
    </row>
    <row r="46" spans="1:19" hidden="1" outlineLevel="1">
      <c r="A46" s="318"/>
      <c r="B46" s="319"/>
      <c r="C46" s="318"/>
      <c r="D46" s="318"/>
      <c r="E46" s="319"/>
      <c r="F46" s="319"/>
      <c r="G46" s="318"/>
      <c r="H46" s="318"/>
      <c r="I46" s="318"/>
      <c r="J46" s="382" t="s">
        <v>389</v>
      </c>
      <c r="K46" s="321">
        <f>SUM(K42:K45)</f>
        <v>17.96</v>
      </c>
      <c r="L46" s="318"/>
      <c r="M46" s="318"/>
      <c r="N46" s="382" t="s">
        <v>389</v>
      </c>
      <c r="O46" s="321">
        <f>SUM(O42:O45)</f>
        <v>17.96</v>
      </c>
      <c r="P46" s="382" t="s">
        <v>389</v>
      </c>
      <c r="Q46" s="382"/>
      <c r="R46" s="321">
        <f>SUM(R42:R45)</f>
        <v>17.96</v>
      </c>
      <c r="S46" s="319"/>
    </row>
    <row r="47" spans="1:19" ht="6.75" hidden="1" customHeight="1" outlineLevel="1">
      <c r="A47" s="316"/>
      <c r="B47" s="317"/>
      <c r="C47" s="316"/>
      <c r="D47" s="316"/>
      <c r="E47" s="317"/>
      <c r="F47" s="317"/>
      <c r="G47" s="316"/>
      <c r="H47" s="332"/>
      <c r="I47" s="316"/>
      <c r="J47" s="316"/>
      <c r="K47" s="316"/>
      <c r="L47" s="316"/>
      <c r="M47" s="316"/>
      <c r="N47" s="316"/>
      <c r="O47" s="316"/>
      <c r="P47" s="316"/>
      <c r="Q47" s="316"/>
      <c r="R47" s="316"/>
      <c r="S47" s="317"/>
    </row>
    <row r="48" spans="1:19" hidden="1" outlineLevel="1">
      <c r="A48" s="318">
        <v>8</v>
      </c>
      <c r="B48" s="319" t="s">
        <v>383</v>
      </c>
      <c r="C48" s="318">
        <v>900</v>
      </c>
      <c r="D48" s="318">
        <v>15</v>
      </c>
      <c r="E48" s="319">
        <v>1</v>
      </c>
      <c r="F48" s="319" t="s">
        <v>384</v>
      </c>
      <c r="G48" s="318" t="s">
        <v>414</v>
      </c>
      <c r="H48" s="328">
        <f>4.49</f>
        <v>4.49</v>
      </c>
      <c r="I48" s="318">
        <v>1</v>
      </c>
      <c r="J48" s="318">
        <f>IF(N48&gt;0,1,0)</f>
        <v>1</v>
      </c>
      <c r="K48" s="328">
        <f>H48*J48</f>
        <v>4.49</v>
      </c>
      <c r="L48" s="481" t="s">
        <v>3194</v>
      </c>
      <c r="M48" s="318">
        <v>240</v>
      </c>
      <c r="N48" s="318">
        <v>1</v>
      </c>
      <c r="O48" s="318">
        <f>H48*N48</f>
        <v>4.49</v>
      </c>
      <c r="P48" s="341">
        <v>1</v>
      </c>
      <c r="Q48" s="341"/>
      <c r="R48" s="318">
        <f>H48*P48</f>
        <v>4.49</v>
      </c>
      <c r="S48" s="389" t="s">
        <v>3434</v>
      </c>
    </row>
    <row r="49" spans="1:19" hidden="1" outlineLevel="1">
      <c r="A49" s="318"/>
      <c r="B49" s="319"/>
      <c r="C49" s="318"/>
      <c r="D49" s="318"/>
      <c r="E49" s="319"/>
      <c r="F49" s="319" t="s">
        <v>384</v>
      </c>
      <c r="G49" s="318" t="s">
        <v>415</v>
      </c>
      <c r="H49" s="328">
        <f>4.49</f>
        <v>4.49</v>
      </c>
      <c r="I49" s="318">
        <v>1</v>
      </c>
      <c r="J49" s="318">
        <f>IF(N49&gt;0,1,0)</f>
        <v>1</v>
      </c>
      <c r="K49" s="328">
        <f>H49*J49</f>
        <v>4.49</v>
      </c>
      <c r="L49" s="318">
        <v>2448</v>
      </c>
      <c r="M49" s="318">
        <v>240</v>
      </c>
      <c r="N49" s="318">
        <v>1</v>
      </c>
      <c r="O49" s="318">
        <f>H49*N49</f>
        <v>4.49</v>
      </c>
      <c r="P49" s="341">
        <v>1</v>
      </c>
      <c r="Q49" s="341"/>
      <c r="R49" s="318">
        <f>H49*P49</f>
        <v>4.49</v>
      </c>
      <c r="S49" s="389" t="s">
        <v>3434</v>
      </c>
    </row>
    <row r="50" spans="1:19" hidden="1" outlineLevel="1">
      <c r="A50" s="318"/>
      <c r="B50" s="319"/>
      <c r="C50" s="318"/>
      <c r="D50" s="318"/>
      <c r="E50" s="319"/>
      <c r="F50" s="319" t="s">
        <v>384</v>
      </c>
      <c r="G50" s="318" t="s">
        <v>416</v>
      </c>
      <c r="H50" s="328">
        <f>4.49</f>
        <v>4.49</v>
      </c>
      <c r="I50" s="318">
        <v>1</v>
      </c>
      <c r="J50" s="318">
        <f>IF(N50&gt;0,1,0)</f>
        <v>1</v>
      </c>
      <c r="K50" s="328">
        <f>H50*J50</f>
        <v>4.49</v>
      </c>
      <c r="L50" s="318">
        <v>2448</v>
      </c>
      <c r="M50" s="318">
        <v>240</v>
      </c>
      <c r="N50" s="318">
        <v>1</v>
      </c>
      <c r="O50" s="318">
        <f>H50*N50</f>
        <v>4.49</v>
      </c>
      <c r="P50" s="341">
        <v>1</v>
      </c>
      <c r="Q50" s="341"/>
      <c r="R50" s="318">
        <f>H50*P50</f>
        <v>4.49</v>
      </c>
      <c r="S50" s="389" t="s">
        <v>3434</v>
      </c>
    </row>
    <row r="51" spans="1:19" hidden="1" outlineLevel="1">
      <c r="A51" s="318"/>
      <c r="B51" s="319"/>
      <c r="C51" s="318"/>
      <c r="D51" s="318"/>
      <c r="E51" s="319"/>
      <c r="F51" s="319" t="s">
        <v>384</v>
      </c>
      <c r="G51" s="318" t="s">
        <v>417</v>
      </c>
      <c r="H51" s="328">
        <f>4.49</f>
        <v>4.49</v>
      </c>
      <c r="I51" s="318">
        <v>1</v>
      </c>
      <c r="J51" s="318">
        <f>IF(N51&gt;0,1,0)</f>
        <v>1</v>
      </c>
      <c r="K51" s="328">
        <f>H51*J51</f>
        <v>4.49</v>
      </c>
      <c r="L51" s="350" t="s">
        <v>3196</v>
      </c>
      <c r="M51" s="318">
        <v>241</v>
      </c>
      <c r="N51" s="318">
        <v>1</v>
      </c>
      <c r="O51" s="318">
        <f>H51*N51</f>
        <v>4.49</v>
      </c>
      <c r="P51" s="341">
        <v>1</v>
      </c>
      <c r="Q51" s="341"/>
      <c r="R51" s="318">
        <f>H51*P51</f>
        <v>4.49</v>
      </c>
      <c r="S51" s="389" t="s">
        <v>3434</v>
      </c>
    </row>
    <row r="52" spans="1:19" hidden="1" outlineLevel="1">
      <c r="A52" s="318"/>
      <c r="B52" s="319"/>
      <c r="C52" s="318"/>
      <c r="D52" s="318"/>
      <c r="E52" s="319"/>
      <c r="F52" s="319"/>
      <c r="G52" s="318"/>
      <c r="H52" s="318"/>
      <c r="I52" s="318"/>
      <c r="J52" s="382" t="s">
        <v>389</v>
      </c>
      <c r="K52" s="321">
        <f>SUM(K48:K51)</f>
        <v>17.96</v>
      </c>
      <c r="L52" s="318"/>
      <c r="M52" s="318"/>
      <c r="N52" s="382" t="s">
        <v>389</v>
      </c>
      <c r="O52" s="321">
        <f>SUM(O48:O51)</f>
        <v>17.96</v>
      </c>
      <c r="P52" s="382" t="s">
        <v>389</v>
      </c>
      <c r="Q52" s="382"/>
      <c r="R52" s="321">
        <f>SUM(R48:R51)</f>
        <v>17.96</v>
      </c>
      <c r="S52" s="319"/>
    </row>
    <row r="53" spans="1:19" ht="6.75" hidden="1" customHeight="1" outlineLevel="1">
      <c r="A53" s="316"/>
      <c r="B53" s="317"/>
      <c r="C53" s="316"/>
      <c r="D53" s="316"/>
      <c r="E53" s="317"/>
      <c r="F53" s="317"/>
      <c r="G53" s="316"/>
      <c r="H53" s="332"/>
      <c r="I53" s="316"/>
      <c r="J53" s="316"/>
      <c r="K53" s="316"/>
      <c r="L53" s="316"/>
      <c r="M53" s="316"/>
      <c r="N53" s="316"/>
      <c r="O53" s="316"/>
      <c r="P53" s="316"/>
      <c r="Q53" s="316"/>
      <c r="R53" s="316"/>
      <c r="S53" s="317"/>
    </row>
    <row r="54" spans="1:19" hidden="1" outlineLevel="1">
      <c r="A54" s="318">
        <v>9</v>
      </c>
      <c r="B54" s="319" t="s">
        <v>383</v>
      </c>
      <c r="C54" s="318">
        <v>900</v>
      </c>
      <c r="D54" s="318">
        <v>16</v>
      </c>
      <c r="E54" s="319">
        <v>1</v>
      </c>
      <c r="F54" s="319" t="s">
        <v>384</v>
      </c>
      <c r="G54" s="318" t="s">
        <v>418</v>
      </c>
      <c r="H54" s="328">
        <f>4.49</f>
        <v>4.49</v>
      </c>
      <c r="I54" s="318">
        <v>1</v>
      </c>
      <c r="J54" s="318">
        <f>IF(N54&gt;0,1,0)</f>
        <v>1</v>
      </c>
      <c r="K54" s="328">
        <f>H54*J54</f>
        <v>4.49</v>
      </c>
      <c r="L54" s="350" t="s">
        <v>3195</v>
      </c>
      <c r="M54" s="350" t="s">
        <v>3215</v>
      </c>
      <c r="N54" s="318">
        <v>1</v>
      </c>
      <c r="O54" s="318">
        <f>H54*N54</f>
        <v>4.49</v>
      </c>
      <c r="P54" s="341">
        <v>1</v>
      </c>
      <c r="Q54" s="341"/>
      <c r="R54" s="318">
        <f>H54*P54</f>
        <v>4.49</v>
      </c>
      <c r="S54" s="389" t="s">
        <v>3437</v>
      </c>
    </row>
    <row r="55" spans="1:19" hidden="1" outlineLevel="1">
      <c r="A55" s="318"/>
      <c r="B55" s="319"/>
      <c r="C55" s="318"/>
      <c r="D55" s="318"/>
      <c r="E55" s="319"/>
      <c r="F55" s="319" t="s">
        <v>384</v>
      </c>
      <c r="G55" s="318" t="s">
        <v>419</v>
      </c>
      <c r="H55" s="328">
        <f>4.49</f>
        <v>4.49</v>
      </c>
      <c r="I55" s="318">
        <v>1</v>
      </c>
      <c r="J55" s="318">
        <f>IF(N55&gt;0,1,0)</f>
        <v>1</v>
      </c>
      <c r="K55" s="328">
        <f>H55*J55</f>
        <v>4.49</v>
      </c>
      <c r="L55" s="350" t="s">
        <v>3166</v>
      </c>
      <c r="M55" s="350" t="s">
        <v>3029</v>
      </c>
      <c r="N55" s="318">
        <v>1</v>
      </c>
      <c r="O55" s="318">
        <f>H55*N55</f>
        <v>4.49</v>
      </c>
      <c r="P55" s="341">
        <v>1</v>
      </c>
      <c r="Q55" s="341"/>
      <c r="R55" s="318">
        <f>H55*P55</f>
        <v>4.49</v>
      </c>
      <c r="S55" s="389" t="s">
        <v>3437</v>
      </c>
    </row>
    <row r="56" spans="1:19" hidden="1" outlineLevel="1">
      <c r="A56" s="318"/>
      <c r="B56" s="319"/>
      <c r="C56" s="318"/>
      <c r="D56" s="318"/>
      <c r="E56" s="319"/>
      <c r="F56" s="319" t="s">
        <v>384</v>
      </c>
      <c r="G56" s="318" t="s">
        <v>420</v>
      </c>
      <c r="H56" s="328">
        <f>4.49</f>
        <v>4.49</v>
      </c>
      <c r="I56" s="318">
        <v>1</v>
      </c>
      <c r="J56" s="318">
        <f>IF(N56&gt;0,1,0)</f>
        <v>1</v>
      </c>
      <c r="K56" s="328">
        <f>H56*J56</f>
        <v>4.49</v>
      </c>
      <c r="L56" s="350" t="s">
        <v>3165</v>
      </c>
      <c r="M56" s="350" t="s">
        <v>3215</v>
      </c>
      <c r="N56" s="318">
        <v>1</v>
      </c>
      <c r="O56" s="318">
        <f>H56*N56</f>
        <v>4.49</v>
      </c>
      <c r="P56" s="341">
        <v>1</v>
      </c>
      <c r="Q56" s="341"/>
      <c r="R56" s="318">
        <f>H56*P56</f>
        <v>4.49</v>
      </c>
      <c r="S56" s="389" t="s">
        <v>3437</v>
      </c>
    </row>
    <row r="57" spans="1:19" hidden="1" outlineLevel="1">
      <c r="A57" s="318"/>
      <c r="B57" s="319"/>
      <c r="C57" s="318"/>
      <c r="D57" s="318"/>
      <c r="E57" s="319"/>
      <c r="F57" s="319" t="s">
        <v>384</v>
      </c>
      <c r="G57" s="318" t="s">
        <v>421</v>
      </c>
      <c r="H57" s="328">
        <f>4.49</f>
        <v>4.49</v>
      </c>
      <c r="I57" s="318">
        <v>1</v>
      </c>
      <c r="J57" s="318">
        <f>IF(N57&gt;0,1,0)</f>
        <v>1</v>
      </c>
      <c r="K57" s="328">
        <f>H57*J57</f>
        <v>4.49</v>
      </c>
      <c r="L57" s="350" t="s">
        <v>3165</v>
      </c>
      <c r="M57" s="350" t="s">
        <v>3215</v>
      </c>
      <c r="N57" s="318">
        <v>1</v>
      </c>
      <c r="O57" s="318">
        <f>H57*N57</f>
        <v>4.49</v>
      </c>
      <c r="P57" s="341">
        <v>1</v>
      </c>
      <c r="Q57" s="341"/>
      <c r="R57" s="318">
        <f>H57*P57</f>
        <v>4.49</v>
      </c>
      <c r="S57" s="389" t="s">
        <v>3437</v>
      </c>
    </row>
    <row r="58" spans="1:19" hidden="1" outlineLevel="1">
      <c r="A58" s="318"/>
      <c r="B58" s="319"/>
      <c r="C58" s="318"/>
      <c r="D58" s="318"/>
      <c r="E58" s="319"/>
      <c r="F58" s="319"/>
      <c r="G58" s="318"/>
      <c r="H58" s="318"/>
      <c r="I58" s="318"/>
      <c r="J58" s="382" t="s">
        <v>389</v>
      </c>
      <c r="K58" s="321">
        <f>SUM(K54:K57)</f>
        <v>17.96</v>
      </c>
      <c r="L58" s="318"/>
      <c r="M58" s="318"/>
      <c r="N58" s="321" t="s">
        <v>389</v>
      </c>
      <c r="O58" s="321">
        <f>SUM(O54:O57)</f>
        <v>17.96</v>
      </c>
      <c r="P58" s="382" t="s">
        <v>389</v>
      </c>
      <c r="Q58" s="382"/>
      <c r="R58" s="321">
        <f>SUM(R54:R57)</f>
        <v>17.96</v>
      </c>
      <c r="S58" s="319"/>
    </row>
    <row r="59" spans="1:19" ht="6.75" hidden="1" customHeight="1" outlineLevel="1">
      <c r="A59" s="316"/>
      <c r="B59" s="317"/>
      <c r="C59" s="316"/>
      <c r="D59" s="316"/>
      <c r="E59" s="317"/>
      <c r="F59" s="317"/>
      <c r="G59" s="316"/>
      <c r="H59" s="332"/>
      <c r="I59" s="316"/>
      <c r="J59" s="316"/>
      <c r="K59" s="316"/>
      <c r="L59" s="316"/>
      <c r="M59" s="316"/>
      <c r="N59" s="316"/>
      <c r="O59" s="316"/>
      <c r="P59" s="316"/>
      <c r="Q59" s="316"/>
      <c r="R59" s="316"/>
      <c r="S59" s="317"/>
    </row>
    <row r="60" spans="1:19" hidden="1" outlineLevel="1">
      <c r="A60" s="318">
        <v>10</v>
      </c>
      <c r="B60" s="319" t="s">
        <v>383</v>
      </c>
      <c r="C60" s="318">
        <v>900</v>
      </c>
      <c r="D60" s="318">
        <v>18</v>
      </c>
      <c r="E60" s="319">
        <v>1</v>
      </c>
      <c r="F60" s="319" t="s">
        <v>384</v>
      </c>
      <c r="G60" s="318" t="s">
        <v>422</v>
      </c>
      <c r="H60" s="328">
        <f>4.49</f>
        <v>4.49</v>
      </c>
      <c r="I60" s="318">
        <v>1</v>
      </c>
      <c r="J60" s="318">
        <v>1</v>
      </c>
      <c r="K60" s="328">
        <f>H60*J60</f>
        <v>4.49</v>
      </c>
      <c r="L60" s="350" t="s">
        <v>3175</v>
      </c>
      <c r="M60" s="318"/>
      <c r="N60" s="318">
        <v>1</v>
      </c>
      <c r="O60" s="318">
        <f>H60*N60</f>
        <v>4.49</v>
      </c>
      <c r="P60" s="337">
        <v>1</v>
      </c>
      <c r="Q60" s="337"/>
      <c r="R60" s="318">
        <f>H60*P60</f>
        <v>4.49</v>
      </c>
      <c r="S60" s="319"/>
    </row>
    <row r="61" spans="1:19" hidden="1" outlineLevel="1">
      <c r="A61" s="318"/>
      <c r="B61" s="319"/>
      <c r="C61" s="318"/>
      <c r="D61" s="318"/>
      <c r="E61" s="319"/>
      <c r="F61" s="319" t="s">
        <v>384</v>
      </c>
      <c r="G61" s="318" t="s">
        <v>423</v>
      </c>
      <c r="H61" s="328">
        <f>4.49</f>
        <v>4.49</v>
      </c>
      <c r="I61" s="318">
        <v>1</v>
      </c>
      <c r="J61" s="318">
        <v>1</v>
      </c>
      <c r="K61" s="328">
        <f>H61*J61</f>
        <v>4.49</v>
      </c>
      <c r="L61" s="350" t="s">
        <v>3175</v>
      </c>
      <c r="M61" s="318"/>
      <c r="N61" s="318">
        <v>1</v>
      </c>
      <c r="O61" s="318">
        <f>H61*N61</f>
        <v>4.49</v>
      </c>
      <c r="P61" s="337">
        <v>1</v>
      </c>
      <c r="Q61" s="337"/>
      <c r="R61" s="318">
        <f>H61*P61</f>
        <v>4.49</v>
      </c>
      <c r="S61" s="319"/>
    </row>
    <row r="62" spans="1:19" ht="15" hidden="1" outlineLevel="1" thickBot="1">
      <c r="A62" s="318"/>
      <c r="B62" s="319"/>
      <c r="C62" s="318"/>
      <c r="D62" s="318"/>
      <c r="E62" s="319"/>
      <c r="F62" s="319" t="s">
        <v>384</v>
      </c>
      <c r="G62" s="318" t="s">
        <v>424</v>
      </c>
      <c r="H62" s="328">
        <f>4.49</f>
        <v>4.49</v>
      </c>
      <c r="I62" s="318">
        <v>1</v>
      </c>
      <c r="J62" s="318">
        <v>1</v>
      </c>
      <c r="K62" s="328">
        <f>H62*J62</f>
        <v>4.49</v>
      </c>
      <c r="L62" s="350" t="s">
        <v>3175</v>
      </c>
      <c r="M62" s="318"/>
      <c r="N62" s="318">
        <v>1</v>
      </c>
      <c r="O62" s="318">
        <f>H62*N62</f>
        <v>4.49</v>
      </c>
      <c r="P62" s="592">
        <v>1</v>
      </c>
      <c r="Q62" s="592"/>
      <c r="R62" s="318">
        <f>H62*P62</f>
        <v>4.49</v>
      </c>
      <c r="S62" s="319"/>
    </row>
    <row r="63" spans="1:19" ht="15.6" hidden="1" outlineLevel="1" thickTop="1" thickBot="1">
      <c r="A63" s="318"/>
      <c r="B63" s="319"/>
      <c r="C63" s="318"/>
      <c r="D63" s="318"/>
      <c r="E63" s="319"/>
      <c r="F63" s="319" t="s">
        <v>384</v>
      </c>
      <c r="G63" s="318" t="s">
        <v>425</v>
      </c>
      <c r="H63" s="328">
        <f>4.49</f>
        <v>4.49</v>
      </c>
      <c r="I63" s="318">
        <v>1</v>
      </c>
      <c r="J63" s="318">
        <v>1</v>
      </c>
      <c r="K63" s="328">
        <f>H63*J63</f>
        <v>4.49</v>
      </c>
      <c r="L63" s="352" t="s">
        <v>3279</v>
      </c>
      <c r="M63" s="350" t="s">
        <v>3302</v>
      </c>
      <c r="N63" s="318">
        <v>1</v>
      </c>
      <c r="O63" s="619">
        <f>H63*N63</f>
        <v>4.49</v>
      </c>
      <c r="P63" s="627">
        <v>1</v>
      </c>
      <c r="Q63" s="757"/>
      <c r="R63" s="620">
        <f>H63*P63</f>
        <v>4.49</v>
      </c>
      <c r="S63" s="319"/>
    </row>
    <row r="64" spans="1:19" ht="15" hidden="1" outlineLevel="1" thickTop="1">
      <c r="A64" s="318"/>
      <c r="B64" s="319"/>
      <c r="C64" s="318"/>
      <c r="D64" s="318"/>
      <c r="E64" s="319"/>
      <c r="F64" s="319"/>
      <c r="G64" s="318"/>
      <c r="H64" s="318"/>
      <c r="I64" s="318"/>
      <c r="J64" s="382" t="s">
        <v>389</v>
      </c>
      <c r="K64" s="321">
        <f>SUM(K60:K63)</f>
        <v>17.96</v>
      </c>
      <c r="L64" s="318"/>
      <c r="M64" s="318"/>
      <c r="N64" s="382" t="s">
        <v>389</v>
      </c>
      <c r="O64" s="321">
        <f>SUM(O60:O63)</f>
        <v>17.96</v>
      </c>
      <c r="P64" s="382" t="s">
        <v>389</v>
      </c>
      <c r="Q64" s="382"/>
      <c r="R64" s="321">
        <f>SUM(R60:R63)</f>
        <v>17.96</v>
      </c>
      <c r="S64" s="319"/>
    </row>
    <row r="65" spans="1:19" ht="6.75" hidden="1" customHeight="1" outlineLevel="1">
      <c r="A65" s="316"/>
      <c r="B65" s="317"/>
      <c r="C65" s="316"/>
      <c r="D65" s="316"/>
      <c r="E65" s="317"/>
      <c r="F65" s="317"/>
      <c r="G65" s="316"/>
      <c r="H65" s="332"/>
      <c r="I65" s="316"/>
      <c r="J65" s="316"/>
      <c r="K65" s="316"/>
      <c r="L65" s="316"/>
      <c r="M65" s="316"/>
      <c r="N65" s="316"/>
      <c r="O65" s="316"/>
      <c r="P65" s="316"/>
      <c r="Q65" s="316"/>
      <c r="R65" s="316"/>
      <c r="S65" s="317"/>
    </row>
    <row r="66" spans="1:19" hidden="1" outlineLevel="1">
      <c r="A66" s="318">
        <v>11</v>
      </c>
      <c r="B66" s="319" t="s">
        <v>383</v>
      </c>
      <c r="C66" s="318">
        <v>900</v>
      </c>
      <c r="D66" s="318">
        <v>19</v>
      </c>
      <c r="E66" s="319">
        <v>1</v>
      </c>
      <c r="F66" s="319" t="s">
        <v>384</v>
      </c>
      <c r="G66" s="318" t="s">
        <v>426</v>
      </c>
      <c r="H66" s="328">
        <f>4.49</f>
        <v>4.49</v>
      </c>
      <c r="I66" s="318">
        <v>1</v>
      </c>
      <c r="J66" s="318">
        <v>1</v>
      </c>
      <c r="K66" s="328">
        <f>H66*J66</f>
        <v>4.49</v>
      </c>
      <c r="L66" s="350" t="s">
        <v>3180</v>
      </c>
      <c r="M66" s="318"/>
      <c r="N66" s="318">
        <v>1</v>
      </c>
      <c r="O66" s="318">
        <f>H66*N66</f>
        <v>4.49</v>
      </c>
      <c r="P66" s="341">
        <v>1</v>
      </c>
      <c r="Q66" s="341"/>
      <c r="R66" s="318">
        <f>H66*P66</f>
        <v>4.49</v>
      </c>
      <c r="S66" s="319" t="s">
        <v>3393</v>
      </c>
    </row>
    <row r="67" spans="1:19" hidden="1" outlineLevel="1">
      <c r="A67" s="318"/>
      <c r="B67" s="319"/>
      <c r="C67" s="318"/>
      <c r="D67" s="318"/>
      <c r="E67" s="319"/>
      <c r="F67" s="319" t="s">
        <v>384</v>
      </c>
      <c r="G67" s="318" t="s">
        <v>427</v>
      </c>
      <c r="H67" s="328">
        <f>4.49</f>
        <v>4.49</v>
      </c>
      <c r="I67" s="318">
        <v>1</v>
      </c>
      <c r="J67" s="318">
        <v>1</v>
      </c>
      <c r="K67" s="328">
        <f>H67*J67</f>
        <v>4.49</v>
      </c>
      <c r="L67" s="350" t="s">
        <v>3180</v>
      </c>
      <c r="M67" s="318"/>
      <c r="N67" s="318">
        <v>1</v>
      </c>
      <c r="O67" s="318">
        <f>H67*N67</f>
        <v>4.49</v>
      </c>
      <c r="P67" s="341">
        <v>1</v>
      </c>
      <c r="Q67" s="341"/>
      <c r="R67" s="318">
        <f>H67*P67</f>
        <v>4.49</v>
      </c>
      <c r="S67" s="319" t="s">
        <v>3393</v>
      </c>
    </row>
    <row r="68" spans="1:19" hidden="1" outlineLevel="1">
      <c r="A68" s="318"/>
      <c r="B68" s="319"/>
      <c r="C68" s="318"/>
      <c r="D68" s="318"/>
      <c r="E68" s="319"/>
      <c r="F68" s="319" t="s">
        <v>384</v>
      </c>
      <c r="G68" s="318" t="s">
        <v>428</v>
      </c>
      <c r="H68" s="328">
        <f>4.49</f>
        <v>4.49</v>
      </c>
      <c r="I68" s="318">
        <v>1</v>
      </c>
      <c r="J68" s="318">
        <v>1</v>
      </c>
      <c r="K68" s="328">
        <f>H68*J68</f>
        <v>4.49</v>
      </c>
      <c r="L68" s="350" t="s">
        <v>3179</v>
      </c>
      <c r="M68" s="318"/>
      <c r="N68" s="318">
        <v>1</v>
      </c>
      <c r="O68" s="318">
        <f>H68*N68</f>
        <v>4.49</v>
      </c>
      <c r="P68" s="341">
        <v>1</v>
      </c>
      <c r="Q68" s="341"/>
      <c r="R68" s="318">
        <f>H68*P68</f>
        <v>4.49</v>
      </c>
      <c r="S68" s="319" t="s">
        <v>3393</v>
      </c>
    </row>
    <row r="69" spans="1:19" hidden="1" outlineLevel="1">
      <c r="A69" s="318"/>
      <c r="B69" s="319"/>
      <c r="C69" s="318"/>
      <c r="D69" s="318"/>
      <c r="E69" s="319"/>
      <c r="F69" s="319" t="s">
        <v>384</v>
      </c>
      <c r="G69" s="318" t="s">
        <v>429</v>
      </c>
      <c r="H69" s="328">
        <f>4.49</f>
        <v>4.49</v>
      </c>
      <c r="I69" s="318">
        <v>1</v>
      </c>
      <c r="J69" s="318">
        <v>1</v>
      </c>
      <c r="K69" s="328">
        <f>H69*J69</f>
        <v>4.49</v>
      </c>
      <c r="L69" s="350" t="s">
        <v>3181</v>
      </c>
      <c r="M69" s="318"/>
      <c r="N69" s="318">
        <v>1</v>
      </c>
      <c r="O69" s="318">
        <f>H69*N69</f>
        <v>4.49</v>
      </c>
      <c r="P69" s="341">
        <v>1</v>
      </c>
      <c r="Q69" s="341"/>
      <c r="R69" s="318">
        <f>H69*P69</f>
        <v>4.49</v>
      </c>
      <c r="S69" s="319" t="s">
        <v>3393</v>
      </c>
    </row>
    <row r="70" spans="1:19" hidden="1" outlineLevel="1">
      <c r="A70" s="318"/>
      <c r="B70" s="319"/>
      <c r="C70" s="318"/>
      <c r="D70" s="318"/>
      <c r="E70" s="319"/>
      <c r="F70" s="319"/>
      <c r="G70" s="318"/>
      <c r="H70" s="318"/>
      <c r="I70" s="318"/>
      <c r="J70" s="382" t="s">
        <v>389</v>
      </c>
      <c r="K70" s="321">
        <f>SUM(K66:K69)</f>
        <v>17.96</v>
      </c>
      <c r="L70" s="318"/>
      <c r="M70" s="318"/>
      <c r="N70" s="382" t="s">
        <v>389</v>
      </c>
      <c r="O70" s="321">
        <f>SUM(O66:O69)</f>
        <v>17.96</v>
      </c>
      <c r="P70" s="382" t="s">
        <v>389</v>
      </c>
      <c r="Q70" s="382"/>
      <c r="R70" s="321">
        <f>SUM(R66:R69)</f>
        <v>17.96</v>
      </c>
      <c r="S70" s="319"/>
    </row>
    <row r="71" spans="1:19" ht="6.75" hidden="1" customHeight="1" outlineLevel="1">
      <c r="A71" s="316"/>
      <c r="B71" s="317"/>
      <c r="C71" s="316"/>
      <c r="D71" s="316"/>
      <c r="E71" s="317"/>
      <c r="F71" s="317"/>
      <c r="G71" s="316"/>
      <c r="H71" s="332"/>
      <c r="I71" s="316"/>
      <c r="J71" s="316"/>
      <c r="K71" s="316"/>
      <c r="L71" s="316"/>
      <c r="M71" s="316"/>
      <c r="N71" s="316"/>
      <c r="O71" s="316"/>
      <c r="P71" s="316"/>
      <c r="Q71" s="316"/>
      <c r="R71" s="316"/>
      <c r="S71" s="317"/>
    </row>
    <row r="72" spans="1:19" hidden="1" outlineLevel="1">
      <c r="A72" s="318">
        <v>12</v>
      </c>
      <c r="B72" s="319" t="s">
        <v>383</v>
      </c>
      <c r="C72" s="318">
        <v>900</v>
      </c>
      <c r="D72" s="318">
        <v>20</v>
      </c>
      <c r="E72" s="319">
        <v>1</v>
      </c>
      <c r="F72" s="319" t="s">
        <v>384</v>
      </c>
      <c r="G72" s="318" t="s">
        <v>430</v>
      </c>
      <c r="H72" s="328">
        <f>4.49</f>
        <v>4.49</v>
      </c>
      <c r="I72" s="318">
        <v>1</v>
      </c>
      <c r="J72" s="318">
        <v>1</v>
      </c>
      <c r="K72" s="328">
        <f>H72*J72</f>
        <v>4.49</v>
      </c>
      <c r="L72" s="350" t="s">
        <v>3184</v>
      </c>
      <c r="M72" s="318"/>
      <c r="N72" s="318">
        <v>1</v>
      </c>
      <c r="O72" s="318">
        <f>H72*N72</f>
        <v>4.49</v>
      </c>
      <c r="P72" s="341">
        <v>1</v>
      </c>
      <c r="Q72" s="341"/>
      <c r="R72" s="318">
        <f>H72*P72</f>
        <v>4.49</v>
      </c>
      <c r="S72" s="319" t="s">
        <v>3450</v>
      </c>
    </row>
    <row r="73" spans="1:19" hidden="1" outlineLevel="1">
      <c r="A73" s="318"/>
      <c r="B73" s="319"/>
      <c r="C73" s="318"/>
      <c r="D73" s="318"/>
      <c r="E73" s="319"/>
      <c r="F73" s="319" t="s">
        <v>384</v>
      </c>
      <c r="G73" s="318" t="s">
        <v>431</v>
      </c>
      <c r="H73" s="328">
        <f>4.49</f>
        <v>4.49</v>
      </c>
      <c r="I73" s="318">
        <v>1</v>
      </c>
      <c r="J73" s="318">
        <v>1</v>
      </c>
      <c r="K73" s="328">
        <f>H73*J73</f>
        <v>4.49</v>
      </c>
      <c r="L73" s="350" t="s">
        <v>3184</v>
      </c>
      <c r="M73" s="318"/>
      <c r="N73" s="318">
        <v>1</v>
      </c>
      <c r="O73" s="318">
        <f>H73*N73</f>
        <v>4.49</v>
      </c>
      <c r="P73" s="341">
        <v>1</v>
      </c>
      <c r="Q73" s="341"/>
      <c r="R73" s="318">
        <f>H73*P73</f>
        <v>4.49</v>
      </c>
      <c r="S73" s="319" t="s">
        <v>3450</v>
      </c>
    </row>
    <row r="74" spans="1:19" hidden="1" outlineLevel="1">
      <c r="A74" s="318"/>
      <c r="B74" s="319"/>
      <c r="C74" s="318"/>
      <c r="D74" s="318"/>
      <c r="E74" s="319"/>
      <c r="F74" s="319" t="s">
        <v>384</v>
      </c>
      <c r="G74" s="318" t="s">
        <v>432</v>
      </c>
      <c r="H74" s="328">
        <f>4.49</f>
        <v>4.49</v>
      </c>
      <c r="I74" s="318">
        <v>1</v>
      </c>
      <c r="J74" s="318">
        <v>1</v>
      </c>
      <c r="K74" s="328">
        <f>H74*J74</f>
        <v>4.49</v>
      </c>
      <c r="L74" s="350" t="s">
        <v>3184</v>
      </c>
      <c r="M74" s="318"/>
      <c r="N74" s="318">
        <v>1</v>
      </c>
      <c r="O74" s="318">
        <f>H74*N74</f>
        <v>4.49</v>
      </c>
      <c r="P74" s="341">
        <v>1</v>
      </c>
      <c r="Q74" s="341"/>
      <c r="R74" s="318">
        <f>H74*P74</f>
        <v>4.49</v>
      </c>
      <c r="S74" s="319" t="s">
        <v>3450</v>
      </c>
    </row>
    <row r="75" spans="1:19" hidden="1" outlineLevel="1">
      <c r="A75" s="318"/>
      <c r="B75" s="319"/>
      <c r="C75" s="318"/>
      <c r="D75" s="318"/>
      <c r="E75" s="319"/>
      <c r="F75" s="319" t="s">
        <v>384</v>
      </c>
      <c r="G75" s="318" t="s">
        <v>433</v>
      </c>
      <c r="H75" s="328">
        <f>4.49</f>
        <v>4.49</v>
      </c>
      <c r="I75" s="318">
        <v>1</v>
      </c>
      <c r="J75" s="318">
        <v>1</v>
      </c>
      <c r="K75" s="328">
        <f>H75*J75</f>
        <v>4.49</v>
      </c>
      <c r="L75" s="350" t="s">
        <v>3187</v>
      </c>
      <c r="M75" s="318"/>
      <c r="N75" s="318">
        <v>1</v>
      </c>
      <c r="O75" s="318">
        <f>H75*N75</f>
        <v>4.49</v>
      </c>
      <c r="P75" s="341">
        <v>1</v>
      </c>
      <c r="Q75" s="341"/>
      <c r="R75" s="318">
        <f>H75*P75</f>
        <v>4.49</v>
      </c>
      <c r="S75" s="319" t="s">
        <v>3450</v>
      </c>
    </row>
    <row r="76" spans="1:19" hidden="1" outlineLevel="1">
      <c r="A76" s="318"/>
      <c r="B76" s="319"/>
      <c r="C76" s="318"/>
      <c r="D76" s="318"/>
      <c r="E76" s="319"/>
      <c r="F76" s="319"/>
      <c r="G76" s="318"/>
      <c r="H76" s="318"/>
      <c r="I76" s="318"/>
      <c r="J76" s="382" t="s">
        <v>389</v>
      </c>
      <c r="K76" s="321">
        <f>SUM(K72:K75)</f>
        <v>17.96</v>
      </c>
      <c r="L76" s="318"/>
      <c r="M76" s="318"/>
      <c r="N76" s="382" t="s">
        <v>389</v>
      </c>
      <c r="O76" s="321">
        <f>SUM(O72:O75)</f>
        <v>17.96</v>
      </c>
      <c r="P76" s="382" t="s">
        <v>389</v>
      </c>
      <c r="Q76" s="382"/>
      <c r="R76" s="321">
        <f>SUM(R72:R75)</f>
        <v>17.96</v>
      </c>
      <c r="S76" s="319"/>
    </row>
    <row r="77" spans="1:19" ht="6.75" hidden="1" customHeight="1" outlineLevel="1">
      <c r="A77" s="316"/>
      <c r="B77" s="317"/>
      <c r="C77" s="316"/>
      <c r="D77" s="316"/>
      <c r="E77" s="317"/>
      <c r="F77" s="317"/>
      <c r="G77" s="316"/>
      <c r="H77" s="316"/>
      <c r="I77" s="316"/>
      <c r="J77" s="316"/>
      <c r="K77" s="316"/>
      <c r="L77" s="316"/>
      <c r="M77" s="316"/>
      <c r="N77" s="316"/>
      <c r="O77" s="316"/>
      <c r="P77" s="316"/>
      <c r="Q77" s="316"/>
      <c r="R77" s="316"/>
      <c r="S77" s="317"/>
    </row>
    <row r="78" spans="1:19" hidden="1" outlineLevel="1">
      <c r="A78" s="318">
        <v>13</v>
      </c>
      <c r="B78" s="319" t="s">
        <v>383</v>
      </c>
      <c r="C78" s="318">
        <v>900</v>
      </c>
      <c r="D78" s="318">
        <v>21</v>
      </c>
      <c r="E78" s="319">
        <v>1</v>
      </c>
      <c r="F78" s="319" t="s">
        <v>384</v>
      </c>
      <c r="G78" s="318" t="s">
        <v>434</v>
      </c>
      <c r="H78" s="328">
        <f>4.49</f>
        <v>4.49</v>
      </c>
      <c r="I78" s="318">
        <v>1</v>
      </c>
      <c r="J78" s="318">
        <v>1</v>
      </c>
      <c r="K78" s="328">
        <f>H78*J78</f>
        <v>4.49</v>
      </c>
      <c r="L78" s="350" t="s">
        <v>3185</v>
      </c>
      <c r="M78" s="318"/>
      <c r="N78" s="318">
        <v>1</v>
      </c>
      <c r="O78" s="318">
        <f>H78*N78</f>
        <v>4.49</v>
      </c>
      <c r="P78" s="341">
        <v>1</v>
      </c>
      <c r="Q78" s="341"/>
      <c r="R78" s="318">
        <f>H78*P78</f>
        <v>4.49</v>
      </c>
      <c r="S78" s="389" t="s">
        <v>3452</v>
      </c>
    </row>
    <row r="79" spans="1:19" hidden="1" outlineLevel="1">
      <c r="A79" s="318"/>
      <c r="B79" s="319"/>
      <c r="C79" s="318"/>
      <c r="D79" s="318"/>
      <c r="E79" s="319"/>
      <c r="F79" s="319" t="s">
        <v>384</v>
      </c>
      <c r="G79" s="318" t="s">
        <v>435</v>
      </c>
      <c r="H79" s="328">
        <f>4.49</f>
        <v>4.49</v>
      </c>
      <c r="I79" s="318">
        <v>1</v>
      </c>
      <c r="J79" s="318">
        <v>1</v>
      </c>
      <c r="K79" s="328">
        <f>H79*J79</f>
        <v>4.49</v>
      </c>
      <c r="L79" s="350" t="s">
        <v>3185</v>
      </c>
      <c r="M79" s="318"/>
      <c r="N79" s="318">
        <v>1</v>
      </c>
      <c r="O79" s="318">
        <f>H79*N79</f>
        <v>4.49</v>
      </c>
      <c r="P79" s="341">
        <v>1</v>
      </c>
      <c r="Q79" s="341"/>
      <c r="R79" s="318">
        <f>H79*P79</f>
        <v>4.49</v>
      </c>
      <c r="S79" s="389" t="s">
        <v>3452</v>
      </c>
    </row>
    <row r="80" spans="1:19" hidden="1" outlineLevel="1">
      <c r="A80" s="318"/>
      <c r="B80" s="319"/>
      <c r="C80" s="318"/>
      <c r="D80" s="318"/>
      <c r="E80" s="319"/>
      <c r="F80" s="319" t="s">
        <v>384</v>
      </c>
      <c r="G80" s="318" t="s">
        <v>436</v>
      </c>
      <c r="H80" s="328">
        <f>4.49</f>
        <v>4.49</v>
      </c>
      <c r="I80" s="318">
        <v>1</v>
      </c>
      <c r="J80" s="318">
        <v>1</v>
      </c>
      <c r="K80" s="328">
        <f>H80*J80</f>
        <v>4.49</v>
      </c>
      <c r="L80" s="350" t="s">
        <v>3185</v>
      </c>
      <c r="M80" s="318"/>
      <c r="N80" s="318">
        <v>1</v>
      </c>
      <c r="O80" s="318">
        <f>H80*N80</f>
        <v>4.49</v>
      </c>
      <c r="P80" s="341">
        <v>1</v>
      </c>
      <c r="Q80" s="341"/>
      <c r="R80" s="318">
        <f>H80*P80</f>
        <v>4.49</v>
      </c>
      <c r="S80" s="389" t="s">
        <v>3452</v>
      </c>
    </row>
    <row r="81" spans="1:19" hidden="1" outlineLevel="1">
      <c r="A81" s="318"/>
      <c r="B81" s="319"/>
      <c r="C81" s="318"/>
      <c r="D81" s="318"/>
      <c r="E81" s="319"/>
      <c r="F81" s="319" t="s">
        <v>384</v>
      </c>
      <c r="G81" s="318" t="s">
        <v>437</v>
      </c>
      <c r="H81" s="328">
        <f>4.49</f>
        <v>4.49</v>
      </c>
      <c r="I81" s="318">
        <v>1</v>
      </c>
      <c r="J81" s="318">
        <v>1</v>
      </c>
      <c r="K81" s="328">
        <f>H81*J81</f>
        <v>4.49</v>
      </c>
      <c r="L81" s="350" t="s">
        <v>3187</v>
      </c>
      <c r="M81" s="318"/>
      <c r="N81" s="318">
        <v>1</v>
      </c>
      <c r="O81" s="318">
        <f>H81*N81</f>
        <v>4.49</v>
      </c>
      <c r="P81" s="341">
        <v>1</v>
      </c>
      <c r="Q81" s="341"/>
      <c r="R81" s="318">
        <f>H81*P81</f>
        <v>4.49</v>
      </c>
      <c r="S81" s="389" t="s">
        <v>3452</v>
      </c>
    </row>
    <row r="82" spans="1:19" hidden="1" outlineLevel="1">
      <c r="A82" s="318"/>
      <c r="B82" s="319"/>
      <c r="C82" s="318"/>
      <c r="D82" s="318"/>
      <c r="E82" s="319"/>
      <c r="F82" s="319"/>
      <c r="G82" s="318"/>
      <c r="H82" s="318"/>
      <c r="I82" s="318"/>
      <c r="J82" s="382" t="s">
        <v>389</v>
      </c>
      <c r="K82" s="321">
        <f>SUM(K78:K81)</f>
        <v>17.96</v>
      </c>
      <c r="L82" s="318"/>
      <c r="M82" s="318"/>
      <c r="N82" s="382" t="s">
        <v>389</v>
      </c>
      <c r="O82" s="321">
        <f>SUM(O78:O81)</f>
        <v>17.96</v>
      </c>
      <c r="P82" s="382" t="s">
        <v>389</v>
      </c>
      <c r="Q82" s="382"/>
      <c r="R82" s="321">
        <f>SUM(R78:R81)</f>
        <v>17.96</v>
      </c>
      <c r="S82" s="319"/>
    </row>
    <row r="83" spans="1:19" ht="6.75" hidden="1" customHeight="1" outlineLevel="1">
      <c r="A83" s="316"/>
      <c r="B83" s="317"/>
      <c r="C83" s="316"/>
      <c r="D83" s="316"/>
      <c r="E83" s="317"/>
      <c r="F83" s="317"/>
      <c r="G83" s="316"/>
      <c r="H83" s="332"/>
      <c r="I83" s="316"/>
      <c r="J83" s="316"/>
      <c r="K83" s="316"/>
      <c r="L83" s="316"/>
      <c r="M83" s="316"/>
      <c r="N83" s="316"/>
      <c r="O83" s="316"/>
      <c r="P83" s="316"/>
      <c r="Q83" s="316"/>
      <c r="R83" s="316"/>
      <c r="S83" s="317"/>
    </row>
    <row r="84" spans="1:19" hidden="1" outlineLevel="1">
      <c r="A84" s="318">
        <v>14</v>
      </c>
      <c r="B84" s="319" t="s">
        <v>383</v>
      </c>
      <c r="C84" s="318">
        <v>900</v>
      </c>
      <c r="D84" s="318">
        <v>22</v>
      </c>
      <c r="E84" s="319">
        <v>1</v>
      </c>
      <c r="F84" s="319" t="s">
        <v>384</v>
      </c>
      <c r="G84" s="318" t="s">
        <v>438</v>
      </c>
      <c r="H84" s="328">
        <f>4.49</f>
        <v>4.49</v>
      </c>
      <c r="I84" s="318">
        <v>1</v>
      </c>
      <c r="J84" s="318">
        <v>1</v>
      </c>
      <c r="K84" s="328">
        <f>H84*J84</f>
        <v>4.49</v>
      </c>
      <c r="L84" s="350" t="s">
        <v>3191</v>
      </c>
      <c r="M84" s="318"/>
      <c r="N84" s="318">
        <v>1</v>
      </c>
      <c r="O84" s="318">
        <f>H84*N84</f>
        <v>4.49</v>
      </c>
      <c r="P84" s="341">
        <v>1</v>
      </c>
      <c r="Q84" s="341"/>
      <c r="R84" s="318">
        <f>H84*P84</f>
        <v>4.49</v>
      </c>
      <c r="S84" s="389" t="s">
        <v>3455</v>
      </c>
    </row>
    <row r="85" spans="1:19" hidden="1" outlineLevel="1">
      <c r="A85" s="318"/>
      <c r="B85" s="319"/>
      <c r="C85" s="318"/>
      <c r="D85" s="318"/>
      <c r="E85" s="319"/>
      <c r="F85" s="319" t="s">
        <v>384</v>
      </c>
      <c r="G85" s="318" t="s">
        <v>439</v>
      </c>
      <c r="H85" s="328">
        <f>4.49</f>
        <v>4.49</v>
      </c>
      <c r="I85" s="318">
        <v>1</v>
      </c>
      <c r="J85" s="318">
        <v>1</v>
      </c>
      <c r="K85" s="328">
        <f>H85*J85</f>
        <v>4.49</v>
      </c>
      <c r="L85" s="350" t="s">
        <v>3191</v>
      </c>
      <c r="M85" s="318"/>
      <c r="N85" s="318">
        <v>1</v>
      </c>
      <c r="O85" s="318">
        <f>H85*N85</f>
        <v>4.49</v>
      </c>
      <c r="P85" s="341">
        <v>1</v>
      </c>
      <c r="Q85" s="341"/>
      <c r="R85" s="318">
        <f>H85*P85</f>
        <v>4.49</v>
      </c>
      <c r="S85" s="389" t="s">
        <v>3455</v>
      </c>
    </row>
    <row r="86" spans="1:19" hidden="1" outlineLevel="1">
      <c r="A86" s="318"/>
      <c r="B86" s="319"/>
      <c r="C86" s="318"/>
      <c r="D86" s="318"/>
      <c r="E86" s="319"/>
      <c r="F86" s="319" t="s">
        <v>384</v>
      </c>
      <c r="G86" s="318" t="s">
        <v>440</v>
      </c>
      <c r="H86" s="328">
        <f>4.49</f>
        <v>4.49</v>
      </c>
      <c r="I86" s="318">
        <v>1</v>
      </c>
      <c r="J86" s="318">
        <v>1</v>
      </c>
      <c r="K86" s="328">
        <f>H86*J86</f>
        <v>4.49</v>
      </c>
      <c r="L86" s="350" t="s">
        <v>3183</v>
      </c>
      <c r="M86" s="318"/>
      <c r="N86" s="318">
        <v>1</v>
      </c>
      <c r="O86" s="318">
        <f>H86*N86</f>
        <v>4.49</v>
      </c>
      <c r="P86" s="341">
        <v>1</v>
      </c>
      <c r="Q86" s="341"/>
      <c r="R86" s="318">
        <f>H86*P86</f>
        <v>4.49</v>
      </c>
      <c r="S86" s="389" t="s">
        <v>3455</v>
      </c>
    </row>
    <row r="87" spans="1:19" hidden="1" outlineLevel="1">
      <c r="A87" s="318"/>
      <c r="B87" s="319"/>
      <c r="C87" s="318"/>
      <c r="D87" s="318"/>
      <c r="E87" s="319"/>
      <c r="F87" s="319" t="s">
        <v>384</v>
      </c>
      <c r="G87" s="318" t="s">
        <v>441</v>
      </c>
      <c r="H87" s="328">
        <f>4.49</f>
        <v>4.49</v>
      </c>
      <c r="I87" s="318">
        <v>1</v>
      </c>
      <c r="J87" s="318">
        <v>1</v>
      </c>
      <c r="K87" s="328">
        <f>H87*J87</f>
        <v>4.49</v>
      </c>
      <c r="L87" s="350" t="s">
        <v>3183</v>
      </c>
      <c r="M87" s="318"/>
      <c r="N87" s="318">
        <v>1</v>
      </c>
      <c r="O87" s="318">
        <f>H87*N87</f>
        <v>4.49</v>
      </c>
      <c r="P87" s="341">
        <v>1</v>
      </c>
      <c r="Q87" s="341"/>
      <c r="R87" s="318">
        <f>H87*P87</f>
        <v>4.49</v>
      </c>
      <c r="S87" s="389" t="s">
        <v>3455</v>
      </c>
    </row>
    <row r="88" spans="1:19" hidden="1" outlineLevel="1">
      <c r="A88" s="318"/>
      <c r="B88" s="319"/>
      <c r="C88" s="318"/>
      <c r="D88" s="318"/>
      <c r="E88" s="319"/>
      <c r="F88" s="319"/>
      <c r="G88" s="318"/>
      <c r="H88" s="318"/>
      <c r="I88" s="318"/>
      <c r="J88" s="382" t="s">
        <v>389</v>
      </c>
      <c r="K88" s="321">
        <f>SUM(K84:K87)</f>
        <v>17.96</v>
      </c>
      <c r="L88" s="318"/>
      <c r="M88" s="318"/>
      <c r="N88" s="382" t="s">
        <v>389</v>
      </c>
      <c r="O88" s="321">
        <f>SUM(O84:O87)</f>
        <v>17.96</v>
      </c>
      <c r="P88" s="382" t="s">
        <v>389</v>
      </c>
      <c r="Q88" s="382"/>
      <c r="R88" s="321">
        <f>SUM(R84:R87)</f>
        <v>17.96</v>
      </c>
      <c r="S88" s="319"/>
    </row>
    <row r="89" spans="1:19" ht="6.75" hidden="1" customHeight="1" outlineLevel="1">
      <c r="A89" s="316"/>
      <c r="B89" s="317"/>
      <c r="C89" s="316"/>
      <c r="D89" s="316"/>
      <c r="E89" s="317"/>
      <c r="F89" s="317"/>
      <c r="G89" s="316"/>
      <c r="H89" s="332"/>
      <c r="I89" s="316"/>
      <c r="J89" s="316"/>
      <c r="K89" s="316"/>
      <c r="L89" s="316"/>
      <c r="M89" s="316"/>
      <c r="N89" s="316"/>
      <c r="O89" s="316"/>
      <c r="P89" s="316"/>
      <c r="Q89" s="316"/>
      <c r="R89" s="316"/>
      <c r="S89" s="317"/>
    </row>
    <row r="90" spans="1:19" hidden="1" outlineLevel="1">
      <c r="A90" s="318">
        <v>15</v>
      </c>
      <c r="B90" s="319" t="s">
        <v>383</v>
      </c>
      <c r="C90" s="318">
        <v>900</v>
      </c>
      <c r="D90" s="318">
        <v>23</v>
      </c>
      <c r="E90" s="319">
        <v>1</v>
      </c>
      <c r="F90" s="319" t="s">
        <v>384</v>
      </c>
      <c r="G90" s="318" t="s">
        <v>442</v>
      </c>
      <c r="H90" s="328">
        <f>4.49</f>
        <v>4.49</v>
      </c>
      <c r="I90" s="318">
        <v>1</v>
      </c>
      <c r="J90" s="318">
        <v>1</v>
      </c>
      <c r="K90" s="328">
        <f>H90*J90</f>
        <v>4.49</v>
      </c>
      <c r="L90" s="350" t="s">
        <v>3188</v>
      </c>
      <c r="M90" s="318"/>
      <c r="N90" s="318">
        <v>1</v>
      </c>
      <c r="O90" s="318">
        <f>H90*N90</f>
        <v>4.49</v>
      </c>
      <c r="P90" s="341">
        <v>1</v>
      </c>
      <c r="Q90" s="341"/>
      <c r="R90" s="318">
        <f>H90*P90</f>
        <v>4.49</v>
      </c>
      <c r="S90" s="319" t="s">
        <v>3457</v>
      </c>
    </row>
    <row r="91" spans="1:19" hidden="1" outlineLevel="1">
      <c r="A91" s="318"/>
      <c r="B91" s="319"/>
      <c r="C91" s="318"/>
      <c r="D91" s="318"/>
      <c r="E91" s="319"/>
      <c r="F91" s="319" t="s">
        <v>384</v>
      </c>
      <c r="G91" s="318" t="s">
        <v>443</v>
      </c>
      <c r="H91" s="328">
        <f>4.49</f>
        <v>4.49</v>
      </c>
      <c r="I91" s="318">
        <v>1</v>
      </c>
      <c r="J91" s="318">
        <v>1</v>
      </c>
      <c r="K91" s="328">
        <f>H91*J91</f>
        <v>4.49</v>
      </c>
      <c r="L91" s="350" t="s">
        <v>3188</v>
      </c>
      <c r="M91" s="318"/>
      <c r="N91" s="318">
        <v>1</v>
      </c>
      <c r="O91" s="318">
        <f>H91*N91</f>
        <v>4.49</v>
      </c>
      <c r="P91" s="341">
        <v>1</v>
      </c>
      <c r="Q91" s="341"/>
      <c r="R91" s="318">
        <f>H91*P91</f>
        <v>4.49</v>
      </c>
      <c r="S91" s="319" t="s">
        <v>3457</v>
      </c>
    </row>
    <row r="92" spans="1:19" hidden="1" outlineLevel="1">
      <c r="A92" s="318"/>
      <c r="B92" s="319"/>
      <c r="C92" s="318"/>
      <c r="D92" s="318"/>
      <c r="E92" s="319"/>
      <c r="F92" s="319" t="s">
        <v>384</v>
      </c>
      <c r="G92" s="318" t="s">
        <v>444</v>
      </c>
      <c r="H92" s="328">
        <f>4.49</f>
        <v>4.49</v>
      </c>
      <c r="I92" s="318">
        <v>1</v>
      </c>
      <c r="J92" s="318">
        <v>1</v>
      </c>
      <c r="K92" s="328">
        <f>H92*J92</f>
        <v>4.49</v>
      </c>
      <c r="L92" s="318">
        <v>2505</v>
      </c>
      <c r="M92" s="318"/>
      <c r="N92" s="318">
        <v>1</v>
      </c>
      <c r="O92" s="318">
        <f>H92*N92</f>
        <v>4.49</v>
      </c>
      <c r="P92" s="341">
        <v>1</v>
      </c>
      <c r="Q92" s="341"/>
      <c r="R92" s="318">
        <f>H92*P92</f>
        <v>4.49</v>
      </c>
      <c r="S92" s="319" t="s">
        <v>3457</v>
      </c>
    </row>
    <row r="93" spans="1:19" hidden="1" outlineLevel="1">
      <c r="A93" s="318"/>
      <c r="B93" s="319"/>
      <c r="C93" s="318"/>
      <c r="D93" s="318"/>
      <c r="E93" s="319"/>
      <c r="F93" s="319" t="s">
        <v>384</v>
      </c>
      <c r="G93" s="318" t="s">
        <v>445</v>
      </c>
      <c r="H93" s="328">
        <f>4.49</f>
        <v>4.49</v>
      </c>
      <c r="I93" s="318">
        <v>1</v>
      </c>
      <c r="J93" s="318">
        <v>1</v>
      </c>
      <c r="K93" s="328">
        <f>H93*J93</f>
        <v>4.49</v>
      </c>
      <c r="L93" s="318">
        <v>2505</v>
      </c>
      <c r="M93" s="318"/>
      <c r="N93" s="318">
        <v>1</v>
      </c>
      <c r="O93" s="318">
        <f>H93*N93</f>
        <v>4.49</v>
      </c>
      <c r="P93" s="341">
        <v>1</v>
      </c>
      <c r="Q93" s="341"/>
      <c r="R93" s="318">
        <f>H93*P93</f>
        <v>4.49</v>
      </c>
      <c r="S93" s="319" t="s">
        <v>3457</v>
      </c>
    </row>
    <row r="94" spans="1:19" hidden="1" outlineLevel="1">
      <c r="A94" s="318"/>
      <c r="B94" s="319"/>
      <c r="C94" s="318"/>
      <c r="D94" s="318"/>
      <c r="E94" s="319"/>
      <c r="F94" s="319"/>
      <c r="G94" s="318"/>
      <c r="H94" s="318"/>
      <c r="I94" s="318"/>
      <c r="J94" s="382" t="s">
        <v>389</v>
      </c>
      <c r="K94" s="321">
        <f>SUM(K90:K93)</f>
        <v>17.96</v>
      </c>
      <c r="L94" s="318"/>
      <c r="M94" s="318"/>
      <c r="N94" s="382" t="s">
        <v>389</v>
      </c>
      <c r="O94" s="321">
        <f>SUM(O90:O93)</f>
        <v>17.96</v>
      </c>
      <c r="P94" s="382" t="s">
        <v>389</v>
      </c>
      <c r="Q94" s="382"/>
      <c r="R94" s="321">
        <f>SUM(R90:R93)</f>
        <v>17.96</v>
      </c>
      <c r="S94" s="319"/>
    </row>
    <row r="95" spans="1:19" ht="6.75" hidden="1" customHeight="1" outlineLevel="1">
      <c r="A95" s="316"/>
      <c r="B95" s="317"/>
      <c r="C95" s="316"/>
      <c r="D95" s="316"/>
      <c r="E95" s="317"/>
      <c r="F95" s="317"/>
      <c r="G95" s="316"/>
      <c r="H95" s="332"/>
      <c r="I95" s="316"/>
      <c r="J95" s="316"/>
      <c r="K95" s="316"/>
      <c r="L95" s="316"/>
      <c r="M95" s="316"/>
      <c r="N95" s="316"/>
      <c r="O95" s="316"/>
      <c r="P95" s="316"/>
      <c r="Q95" s="316"/>
      <c r="R95" s="316"/>
      <c r="S95" s="317"/>
    </row>
    <row r="96" spans="1:19" hidden="1" outlineLevel="1">
      <c r="A96" s="318">
        <v>16</v>
      </c>
      <c r="B96" s="319" t="s">
        <v>383</v>
      </c>
      <c r="C96" s="318">
        <v>900</v>
      </c>
      <c r="D96" s="318">
        <v>25</v>
      </c>
      <c r="E96" s="319">
        <v>1</v>
      </c>
      <c r="F96" s="319" t="s">
        <v>384</v>
      </c>
      <c r="G96" s="318" t="s">
        <v>446</v>
      </c>
      <c r="H96" s="328">
        <f>4.49</f>
        <v>4.49</v>
      </c>
      <c r="I96" s="318">
        <v>1</v>
      </c>
      <c r="J96" s="318">
        <v>1</v>
      </c>
      <c r="K96" s="328">
        <f>H96*J96</f>
        <v>4.49</v>
      </c>
      <c r="L96" s="350" t="s">
        <v>3206</v>
      </c>
      <c r="M96" s="318"/>
      <c r="N96" s="318">
        <v>1</v>
      </c>
      <c r="O96" s="318">
        <f>H96*N96</f>
        <v>4.49</v>
      </c>
      <c r="P96" s="341">
        <v>1</v>
      </c>
      <c r="Q96" s="341"/>
      <c r="R96" s="318">
        <f>H96*P96</f>
        <v>4.49</v>
      </c>
      <c r="S96" s="609" t="s">
        <v>3461</v>
      </c>
    </row>
    <row r="97" spans="1:19" hidden="1" outlineLevel="1">
      <c r="A97" s="318"/>
      <c r="B97" s="319"/>
      <c r="C97" s="318"/>
      <c r="D97" s="318"/>
      <c r="E97" s="319"/>
      <c r="F97" s="319" t="s">
        <v>384</v>
      </c>
      <c r="G97" s="318" t="s">
        <v>447</v>
      </c>
      <c r="H97" s="328">
        <f>4.49</f>
        <v>4.49</v>
      </c>
      <c r="I97" s="318">
        <v>1</v>
      </c>
      <c r="J97" s="318">
        <v>1</v>
      </c>
      <c r="K97" s="328">
        <f>H97*J97</f>
        <v>4.49</v>
      </c>
      <c r="L97" s="350" t="s">
        <v>3206</v>
      </c>
      <c r="M97" s="318"/>
      <c r="N97" s="318">
        <v>1</v>
      </c>
      <c r="O97" s="318">
        <f>H97*N97</f>
        <v>4.49</v>
      </c>
      <c r="P97" s="341">
        <v>1</v>
      </c>
      <c r="Q97" s="341"/>
      <c r="R97" s="318">
        <f>H97*P97</f>
        <v>4.49</v>
      </c>
      <c r="S97" s="609" t="s">
        <v>3461</v>
      </c>
    </row>
    <row r="98" spans="1:19" hidden="1" outlineLevel="1">
      <c r="A98" s="318"/>
      <c r="B98" s="319"/>
      <c r="C98" s="318"/>
      <c r="D98" s="318"/>
      <c r="E98" s="319"/>
      <c r="F98" s="319" t="s">
        <v>384</v>
      </c>
      <c r="G98" s="318" t="s">
        <v>448</v>
      </c>
      <c r="H98" s="328">
        <f>4.49</f>
        <v>4.49</v>
      </c>
      <c r="I98" s="318">
        <v>1</v>
      </c>
      <c r="J98" s="318">
        <v>1</v>
      </c>
      <c r="K98" s="328">
        <f>H98*J98</f>
        <v>4.49</v>
      </c>
      <c r="L98" s="318">
        <v>2532</v>
      </c>
      <c r="M98" s="350" t="s">
        <v>3237</v>
      </c>
      <c r="N98" s="318">
        <v>1</v>
      </c>
      <c r="O98" s="318">
        <f>H98*N98</f>
        <v>4.49</v>
      </c>
      <c r="P98" s="341">
        <v>1</v>
      </c>
      <c r="Q98" s="341"/>
      <c r="R98" s="318">
        <f>H98*P98</f>
        <v>4.49</v>
      </c>
      <c r="S98" s="609" t="s">
        <v>3461</v>
      </c>
    </row>
    <row r="99" spans="1:19" hidden="1" outlineLevel="1">
      <c r="A99" s="318"/>
      <c r="B99" s="319"/>
      <c r="C99" s="318"/>
      <c r="D99" s="318"/>
      <c r="E99" s="319"/>
      <c r="F99" s="319" t="s">
        <v>384</v>
      </c>
      <c r="G99" s="318" t="s">
        <v>449</v>
      </c>
      <c r="H99" s="328">
        <f>4.49</f>
        <v>4.49</v>
      </c>
      <c r="I99" s="318">
        <v>1</v>
      </c>
      <c r="J99" s="318">
        <v>1</v>
      </c>
      <c r="K99" s="328">
        <f>H99*J99</f>
        <v>4.49</v>
      </c>
      <c r="L99" s="318">
        <v>2532</v>
      </c>
      <c r="M99" s="350" t="s">
        <v>3237</v>
      </c>
      <c r="N99" s="318">
        <v>1</v>
      </c>
      <c r="O99" s="318">
        <f>H99*N99</f>
        <v>4.49</v>
      </c>
      <c r="P99" s="341">
        <v>1</v>
      </c>
      <c r="Q99" s="341"/>
      <c r="R99" s="318">
        <f>H99*P99</f>
        <v>4.49</v>
      </c>
      <c r="S99" s="609" t="s">
        <v>3461</v>
      </c>
    </row>
    <row r="100" spans="1:19" hidden="1" outlineLevel="1">
      <c r="A100" s="318"/>
      <c r="B100" s="319"/>
      <c r="C100" s="318"/>
      <c r="D100" s="318"/>
      <c r="E100" s="319"/>
      <c r="F100" s="319"/>
      <c r="G100" s="318"/>
      <c r="H100" s="318"/>
      <c r="I100" s="318"/>
      <c r="J100" s="382" t="s">
        <v>389</v>
      </c>
      <c r="K100" s="321">
        <f>SUM(K96:K99)</f>
        <v>17.96</v>
      </c>
      <c r="L100" s="318"/>
      <c r="M100" s="318"/>
      <c r="N100" s="382" t="s">
        <v>389</v>
      </c>
      <c r="O100" s="321">
        <f>SUM(O96:O99)</f>
        <v>17.96</v>
      </c>
      <c r="P100" s="382" t="s">
        <v>389</v>
      </c>
      <c r="Q100" s="382"/>
      <c r="R100" s="321">
        <f>SUM(R96:R99)</f>
        <v>17.96</v>
      </c>
      <c r="S100" s="319"/>
    </row>
    <row r="101" spans="1:19" ht="6.75" hidden="1" customHeight="1" outlineLevel="1">
      <c r="A101" s="316"/>
      <c r="B101" s="317"/>
      <c r="C101" s="316"/>
      <c r="D101" s="316"/>
      <c r="E101" s="317"/>
      <c r="F101" s="317"/>
      <c r="G101" s="316"/>
      <c r="H101" s="332"/>
      <c r="I101" s="316"/>
      <c r="J101" s="316"/>
      <c r="K101" s="316"/>
      <c r="L101" s="316"/>
      <c r="M101" s="316"/>
      <c r="N101" s="316"/>
      <c r="O101" s="316"/>
      <c r="P101" s="316"/>
      <c r="Q101" s="316"/>
      <c r="R101" s="316"/>
      <c r="S101" s="317"/>
    </row>
    <row r="102" spans="1:19" hidden="1" outlineLevel="1">
      <c r="A102" s="318">
        <v>17</v>
      </c>
      <c r="B102" s="319" t="s">
        <v>383</v>
      </c>
      <c r="C102" s="318">
        <v>900</v>
      </c>
      <c r="D102" s="318">
        <v>26</v>
      </c>
      <c r="E102" s="319">
        <v>1</v>
      </c>
      <c r="F102" s="319" t="s">
        <v>384</v>
      </c>
      <c r="G102" s="318" t="s">
        <v>450</v>
      </c>
      <c r="H102" s="328">
        <f>4.49</f>
        <v>4.49</v>
      </c>
      <c r="I102" s="318">
        <v>1</v>
      </c>
      <c r="J102" s="318">
        <v>1</v>
      </c>
      <c r="K102" s="328">
        <f>H102*J102</f>
        <v>4.49</v>
      </c>
      <c r="L102" s="350" t="s">
        <v>3283</v>
      </c>
      <c r="M102" s="318"/>
      <c r="N102" s="318">
        <v>1</v>
      </c>
      <c r="O102" s="318">
        <f>H102*N102</f>
        <v>4.49</v>
      </c>
      <c r="P102" s="337">
        <v>1</v>
      </c>
      <c r="Q102" s="337"/>
      <c r="R102" s="318">
        <f>H102*P102</f>
        <v>4.49</v>
      </c>
      <c r="S102" s="609" t="s">
        <v>3462</v>
      </c>
    </row>
    <row r="103" spans="1:19" hidden="1" outlineLevel="1">
      <c r="A103" s="318"/>
      <c r="B103" s="319"/>
      <c r="C103" s="318"/>
      <c r="D103" s="318"/>
      <c r="E103" s="319"/>
      <c r="F103" s="319" t="s">
        <v>384</v>
      </c>
      <c r="G103" s="318" t="s">
        <v>451</v>
      </c>
      <c r="H103" s="328">
        <f>4.49</f>
        <v>4.49</v>
      </c>
      <c r="I103" s="318">
        <v>1</v>
      </c>
      <c r="J103" s="318">
        <v>1</v>
      </c>
      <c r="K103" s="328">
        <f>H103*J103</f>
        <v>4.49</v>
      </c>
      <c r="L103" s="318"/>
      <c r="M103" s="318"/>
      <c r="N103" s="318">
        <v>1</v>
      </c>
      <c r="O103" s="318">
        <f>H103*N103</f>
        <v>4.49</v>
      </c>
      <c r="P103" s="337">
        <v>1</v>
      </c>
      <c r="Q103" s="337"/>
      <c r="R103" s="318">
        <f>H103*P103</f>
        <v>4.49</v>
      </c>
      <c r="S103" s="609" t="s">
        <v>3462</v>
      </c>
    </row>
    <row r="104" spans="1:19" hidden="1" outlineLevel="1">
      <c r="A104" s="318"/>
      <c r="B104" s="319"/>
      <c r="C104" s="318"/>
      <c r="D104" s="318"/>
      <c r="E104" s="319"/>
      <c r="F104" s="319" t="s">
        <v>384</v>
      </c>
      <c r="G104" s="318" t="s">
        <v>452</v>
      </c>
      <c r="H104" s="328">
        <f>4.49</f>
        <v>4.49</v>
      </c>
      <c r="I104" s="318">
        <v>1</v>
      </c>
      <c r="J104" s="318">
        <v>1</v>
      </c>
      <c r="K104" s="328">
        <f>H104*J104</f>
        <v>4.49</v>
      </c>
      <c r="L104" s="350" t="s">
        <v>3219</v>
      </c>
      <c r="M104" s="318"/>
      <c r="N104" s="318">
        <v>1</v>
      </c>
      <c r="O104" s="318">
        <f>H104*N104</f>
        <v>4.49</v>
      </c>
      <c r="P104" s="337">
        <v>1</v>
      </c>
      <c r="Q104" s="337"/>
      <c r="R104" s="318">
        <f>H104*P104</f>
        <v>4.49</v>
      </c>
      <c r="S104" s="609" t="s">
        <v>3462</v>
      </c>
    </row>
    <row r="105" spans="1:19" hidden="1" outlineLevel="1">
      <c r="A105" s="318"/>
      <c r="B105" s="319"/>
      <c r="C105" s="318"/>
      <c r="D105" s="318"/>
      <c r="E105" s="319"/>
      <c r="F105" s="319" t="s">
        <v>384</v>
      </c>
      <c r="G105" s="318" t="s">
        <v>453</v>
      </c>
      <c r="H105" s="328">
        <f>4.49</f>
        <v>4.49</v>
      </c>
      <c r="I105" s="318">
        <v>1</v>
      </c>
      <c r="J105" s="318">
        <v>1</v>
      </c>
      <c r="K105" s="328">
        <f>H105*J105</f>
        <v>4.49</v>
      </c>
      <c r="L105" s="350" t="s">
        <v>3219</v>
      </c>
      <c r="M105" s="318"/>
      <c r="N105" s="318">
        <v>1</v>
      </c>
      <c r="O105" s="318">
        <f>H105*N105</f>
        <v>4.49</v>
      </c>
      <c r="P105" s="337">
        <v>1</v>
      </c>
      <c r="Q105" s="337"/>
      <c r="R105" s="318">
        <f>H105*P105</f>
        <v>4.49</v>
      </c>
      <c r="S105" s="609" t="s">
        <v>3462</v>
      </c>
    </row>
    <row r="106" spans="1:19" hidden="1" outlineLevel="1">
      <c r="A106" s="318"/>
      <c r="B106" s="319"/>
      <c r="C106" s="318"/>
      <c r="D106" s="318"/>
      <c r="E106" s="319"/>
      <c r="F106" s="319"/>
      <c r="G106" s="318"/>
      <c r="H106" s="318"/>
      <c r="I106" s="318"/>
      <c r="J106" s="382" t="s">
        <v>389</v>
      </c>
      <c r="K106" s="321">
        <f>SUM(K102:K105)</f>
        <v>17.96</v>
      </c>
      <c r="L106" s="318"/>
      <c r="M106" s="318"/>
      <c r="N106" s="382" t="s">
        <v>389</v>
      </c>
      <c r="O106" s="321">
        <f>SUM(O102:O105)</f>
        <v>17.96</v>
      </c>
      <c r="P106" s="382" t="s">
        <v>389</v>
      </c>
      <c r="Q106" s="382"/>
      <c r="R106" s="321">
        <f>SUM(R102:R105)</f>
        <v>17.96</v>
      </c>
      <c r="S106" s="319"/>
    </row>
    <row r="107" spans="1:19" ht="6.75" hidden="1" customHeight="1" outlineLevel="1">
      <c r="A107" s="316"/>
      <c r="B107" s="317"/>
      <c r="C107" s="316"/>
      <c r="D107" s="316"/>
      <c r="E107" s="317"/>
      <c r="F107" s="317"/>
      <c r="G107" s="316"/>
      <c r="H107" s="332"/>
      <c r="I107" s="316"/>
      <c r="J107" s="316"/>
      <c r="K107" s="316"/>
      <c r="L107" s="316"/>
      <c r="M107" s="316"/>
      <c r="N107" s="316"/>
      <c r="O107" s="316"/>
      <c r="P107" s="316"/>
      <c r="Q107" s="316"/>
      <c r="R107" s="316"/>
      <c r="S107" s="317"/>
    </row>
    <row r="108" spans="1:19" hidden="1" outlineLevel="1">
      <c r="A108" s="318">
        <v>18</v>
      </c>
      <c r="B108" s="319" t="s">
        <v>383</v>
      </c>
      <c r="C108" s="318">
        <v>900</v>
      </c>
      <c r="D108" s="318">
        <v>27</v>
      </c>
      <c r="E108" s="319">
        <v>1</v>
      </c>
      <c r="F108" s="319" t="s">
        <v>384</v>
      </c>
      <c r="G108" s="318" t="s">
        <v>454</v>
      </c>
      <c r="H108" s="328">
        <f>4.49</f>
        <v>4.49</v>
      </c>
      <c r="I108" s="318">
        <v>1</v>
      </c>
      <c r="J108" s="318">
        <v>1</v>
      </c>
      <c r="K108" s="328">
        <f>H108*J108</f>
        <v>4.49</v>
      </c>
      <c r="L108" s="350" t="s">
        <v>3225</v>
      </c>
      <c r="M108" s="350" t="s">
        <v>3237</v>
      </c>
      <c r="N108" s="318">
        <v>1</v>
      </c>
      <c r="O108" s="318">
        <f>H108*N108</f>
        <v>4.49</v>
      </c>
      <c r="P108" s="337">
        <v>1</v>
      </c>
      <c r="Q108" s="337"/>
      <c r="R108" s="318">
        <f>H108*P108</f>
        <v>4.49</v>
      </c>
      <c r="S108" s="609" t="s">
        <v>3464</v>
      </c>
    </row>
    <row r="109" spans="1:19" hidden="1" outlineLevel="1">
      <c r="A109" s="318"/>
      <c r="B109" s="319"/>
      <c r="C109" s="318"/>
      <c r="D109" s="318"/>
      <c r="E109" s="319"/>
      <c r="F109" s="319" t="s">
        <v>384</v>
      </c>
      <c r="G109" s="318" t="s">
        <v>455</v>
      </c>
      <c r="H109" s="328">
        <f>4.49</f>
        <v>4.49</v>
      </c>
      <c r="I109" s="318">
        <v>1</v>
      </c>
      <c r="J109" s="318">
        <v>1</v>
      </c>
      <c r="K109" s="328">
        <f>H109*J109</f>
        <v>4.49</v>
      </c>
      <c r="L109" s="350" t="s">
        <v>3225</v>
      </c>
      <c r="M109" s="350" t="s">
        <v>3237</v>
      </c>
      <c r="N109" s="318">
        <v>1</v>
      </c>
      <c r="O109" s="318">
        <f>H109*N109</f>
        <v>4.49</v>
      </c>
      <c r="P109" s="337">
        <v>1</v>
      </c>
      <c r="Q109" s="337"/>
      <c r="R109" s="318">
        <f>H109*P109</f>
        <v>4.49</v>
      </c>
      <c r="S109" s="609" t="s">
        <v>3464</v>
      </c>
    </row>
    <row r="110" spans="1:19" hidden="1" outlineLevel="1">
      <c r="A110" s="318"/>
      <c r="B110" s="319"/>
      <c r="C110" s="318"/>
      <c r="D110" s="318"/>
      <c r="E110" s="319"/>
      <c r="F110" s="319" t="s">
        <v>384</v>
      </c>
      <c r="G110" s="318" t="s">
        <v>456</v>
      </c>
      <c r="H110" s="328">
        <f>4.49</f>
        <v>4.49</v>
      </c>
      <c r="I110" s="318">
        <v>1</v>
      </c>
      <c r="J110" s="318">
        <v>1</v>
      </c>
      <c r="K110" s="328">
        <f>H110*J110</f>
        <v>4.49</v>
      </c>
      <c r="L110" s="350" t="s">
        <v>3225</v>
      </c>
      <c r="M110" s="350" t="s">
        <v>3237</v>
      </c>
      <c r="N110" s="318">
        <v>1</v>
      </c>
      <c r="O110" s="318">
        <f>H110*N110</f>
        <v>4.49</v>
      </c>
      <c r="P110" s="337">
        <v>1</v>
      </c>
      <c r="Q110" s="337"/>
      <c r="R110" s="318">
        <f>H110*P110</f>
        <v>4.49</v>
      </c>
      <c r="S110" s="609" t="s">
        <v>3464</v>
      </c>
    </row>
    <row r="111" spans="1:19" hidden="1" outlineLevel="1">
      <c r="A111" s="318"/>
      <c r="B111" s="319"/>
      <c r="C111" s="318"/>
      <c r="D111" s="318"/>
      <c r="E111" s="319"/>
      <c r="F111" s="319" t="s">
        <v>384</v>
      </c>
      <c r="G111" s="318" t="s">
        <v>457</v>
      </c>
      <c r="H111" s="328">
        <f>4.49</f>
        <v>4.49</v>
      </c>
      <c r="I111" s="318">
        <v>1</v>
      </c>
      <c r="J111" s="318">
        <v>1</v>
      </c>
      <c r="K111" s="328">
        <f>H111*J111</f>
        <v>4.49</v>
      </c>
      <c r="L111" s="318"/>
      <c r="M111" s="318"/>
      <c r="N111" s="318">
        <v>1</v>
      </c>
      <c r="O111" s="318">
        <f>H111*N111</f>
        <v>4.49</v>
      </c>
      <c r="P111" s="337">
        <v>1</v>
      </c>
      <c r="Q111" s="337"/>
      <c r="R111" s="318">
        <f>H111*P111</f>
        <v>4.49</v>
      </c>
      <c r="S111" s="609" t="s">
        <v>3464</v>
      </c>
    </row>
    <row r="112" spans="1:19" collapsed="1">
      <c r="A112" s="318"/>
      <c r="B112" s="319"/>
      <c r="C112" s="318"/>
      <c r="D112" s="318"/>
      <c r="E112" s="319"/>
      <c r="F112" s="319"/>
      <c r="G112" s="318"/>
      <c r="H112" s="328"/>
      <c r="I112" s="318"/>
      <c r="J112" s="318"/>
      <c r="K112" s="328"/>
      <c r="L112" s="318"/>
      <c r="M112" s="318"/>
      <c r="N112" s="318"/>
      <c r="O112" s="318"/>
      <c r="P112" s="337"/>
      <c r="Q112" s="337"/>
      <c r="R112" s="318"/>
      <c r="S112" s="609"/>
    </row>
    <row r="113" spans="1:19" hidden="1" outlineLevel="1">
      <c r="A113" s="322"/>
      <c r="B113" s="323"/>
      <c r="C113" s="322"/>
      <c r="D113" s="322"/>
      <c r="E113" s="323"/>
      <c r="F113" s="323"/>
      <c r="G113" s="322"/>
      <c r="H113" s="322"/>
      <c r="I113" s="322"/>
      <c r="J113" s="385" t="s">
        <v>389</v>
      </c>
      <c r="K113" s="324">
        <f>SUM(K108:K111)</f>
        <v>17.96</v>
      </c>
      <c r="L113" s="322"/>
      <c r="M113" s="322"/>
      <c r="N113" s="385" t="s">
        <v>389</v>
      </c>
      <c r="O113" s="324">
        <f>SUM(O108:O111)</f>
        <v>17.96</v>
      </c>
      <c r="P113" s="385" t="s">
        <v>389</v>
      </c>
      <c r="Q113" s="385"/>
      <c r="R113" s="324">
        <f>SUM(R108:R111)</f>
        <v>17.96</v>
      </c>
      <c r="S113" s="323"/>
    </row>
    <row r="114" spans="1:19" hidden="1" outlineLevel="1">
      <c r="A114" s="325"/>
      <c r="S114" s="319"/>
    </row>
    <row r="115" spans="1:19" ht="27.6" hidden="1" outlineLevel="1">
      <c r="A115" s="313"/>
      <c r="B115" s="313"/>
      <c r="C115" s="313"/>
      <c r="D115" s="314"/>
      <c r="E115" s="314"/>
      <c r="F115" s="314"/>
      <c r="G115" s="314" t="s">
        <v>2291</v>
      </c>
      <c r="H115" s="314" t="s">
        <v>60</v>
      </c>
      <c r="I115" s="315" t="s">
        <v>380</v>
      </c>
      <c r="J115" s="315"/>
      <c r="K115" s="315" t="s">
        <v>3139</v>
      </c>
      <c r="L115" s="315"/>
      <c r="M115" s="315"/>
      <c r="N115" s="315" t="s">
        <v>381</v>
      </c>
      <c r="O115" s="315" t="s">
        <v>2289</v>
      </c>
      <c r="P115" s="315" t="s">
        <v>382</v>
      </c>
      <c r="Q115" s="315"/>
      <c r="R115" s="315" t="s">
        <v>2290</v>
      </c>
      <c r="S115" s="314"/>
    </row>
    <row r="116" spans="1:19" s="345" customFormat="1" ht="28.2" hidden="1" customHeight="1" outlineLevel="1">
      <c r="A116" s="342"/>
      <c r="B116" s="343"/>
      <c r="C116" s="343"/>
      <c r="D116" s="343"/>
      <c r="E116" s="343"/>
      <c r="F116" s="343"/>
      <c r="G116" s="342" t="s">
        <v>2288</v>
      </c>
      <c r="H116" s="344">
        <f>SUM(H6:H10)</f>
        <v>17.96</v>
      </c>
      <c r="I116" s="343"/>
      <c r="J116" s="343"/>
      <c r="K116" s="343"/>
      <c r="L116" s="343"/>
      <c r="M116" s="343"/>
      <c r="N116" s="346">
        <f>O116/H116</f>
        <v>0</v>
      </c>
      <c r="O116" s="344">
        <f>SUM(O10)</f>
        <v>0</v>
      </c>
      <c r="P116" s="346">
        <f>R116/H116</f>
        <v>0</v>
      </c>
      <c r="Q116" s="346"/>
      <c r="R116" s="344">
        <f>SUM(R10)</f>
        <v>0</v>
      </c>
      <c r="S116" s="343"/>
    </row>
    <row r="117" spans="1:19" s="345" customFormat="1" ht="28.2" hidden="1" customHeight="1" outlineLevel="1">
      <c r="A117" s="342"/>
      <c r="B117" s="343" t="s">
        <v>2312</v>
      </c>
      <c r="C117" s="343"/>
      <c r="D117" s="343"/>
      <c r="E117" s="343"/>
      <c r="F117" s="342" t="s">
        <v>384</v>
      </c>
      <c r="G117" s="342" t="s">
        <v>2287</v>
      </c>
      <c r="H117" s="344">
        <f>SUM(H12:H113)</f>
        <v>305.32000000000028</v>
      </c>
      <c r="I117" s="343"/>
      <c r="J117" s="343"/>
      <c r="K117" s="344">
        <f>SUM(K16,K22,K28,K34,K40,K46,K52,K58,K64,K70,K76,K82,K88,K94,K100,K106,K113)</f>
        <v>305.32000000000005</v>
      </c>
      <c r="L117" s="343"/>
      <c r="M117" s="343"/>
      <c r="N117" s="346">
        <f>O117/H117</f>
        <v>0.99999999999999922</v>
      </c>
      <c r="O117" s="344">
        <f>SUM(O16,O22,O28,O34,O40,O46,O52,O58,O64,O70,O76,O82,O88,O94,O100,O106,O113)</f>
        <v>305.32000000000005</v>
      </c>
      <c r="P117" s="346">
        <f>R117/H117</f>
        <v>0.99999999999999922</v>
      </c>
      <c r="Q117" s="346"/>
      <c r="R117" s="344">
        <f>SUM(R16,R22,R28,R34,R40,R46,R52,R58,R64,R70,R76,R82,R88,R94,R100,R106,R113)</f>
        <v>305.32000000000005</v>
      </c>
      <c r="S117" s="343"/>
    </row>
    <row r="118" spans="1:19" s="327" customFormat="1" ht="15" collapsed="1" thickBot="1">
      <c r="A118" s="326"/>
    </row>
    <row r="119" spans="1:19" ht="15.6" thickTop="1" thickBot="1">
      <c r="A119" s="740"/>
      <c r="B119" s="741"/>
      <c r="C119" s="742"/>
      <c r="D119" s="742"/>
      <c r="E119" s="741"/>
      <c r="F119" s="741"/>
      <c r="G119" s="739" t="s">
        <v>389</v>
      </c>
      <c r="H119" s="756">
        <f>H112</f>
        <v>0</v>
      </c>
      <c r="I119" s="739">
        <f>I112</f>
        <v>0</v>
      </c>
      <c r="J119" s="739">
        <f>J112</f>
        <v>0</v>
      </c>
      <c r="K119" s="739">
        <f>K112</f>
        <v>0</v>
      </c>
      <c r="L119" s="739"/>
      <c r="M119" s="739"/>
      <c r="N119" s="739">
        <f>N112</f>
        <v>0</v>
      </c>
      <c r="O119" s="739">
        <f>O112</f>
        <v>0</v>
      </c>
      <c r="P119" s="745"/>
      <c r="Q119" s="745" t="e">
        <f>R119/H119</f>
        <v>#DIV/0!</v>
      </c>
      <c r="R119" s="739">
        <f>R112</f>
        <v>0</v>
      </c>
      <c r="S119" s="743"/>
    </row>
    <row r="120" spans="1:19" ht="15" thickTop="1"/>
  </sheetData>
  <mergeCells count="5">
    <mergeCell ref="J3:K3"/>
    <mergeCell ref="N2:O2"/>
    <mergeCell ref="P2:R2"/>
    <mergeCell ref="P3:R3"/>
    <mergeCell ref="L3:O3"/>
  </mergeCells>
  <conditionalFormatting sqref="J12:J15 J18:J21 J24:J27 J30:J33 J36:J39 J42:J45 J48:J51 J54:J57 J60:J63 J66:J69 J72:J75 J78:J81 J84:J87 J90:J93 J96:J99 J102:J105 J108:J111">
    <cfRule type="cellIs" dxfId="0" priority="1" stopIfTrue="1" operator="lessThan">
      <formula>1</formula>
    </cfRule>
  </conditionalFormatting>
  <pageMargins left="0.1" right="0.1" top="0.1" bottom="0.1" header="0.3" footer="0.3"/>
  <pageSetup paperSize="9" scale="52"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V412"/>
  <sheetViews>
    <sheetView showGridLines="0" view="pageBreakPreview" topLeftCell="A354" zoomScale="115" zoomScaleNormal="130" zoomScaleSheetLayoutView="115" workbookViewId="0">
      <selection activeCell="G14" sqref="G14"/>
    </sheetView>
  </sheetViews>
  <sheetFormatPr defaultRowHeight="13.2"/>
  <cols>
    <col min="1" max="1" width="4.44140625" customWidth="1"/>
    <col min="2" max="2" width="36.33203125" customWidth="1"/>
    <col min="3" max="3" width="9.109375" style="164" customWidth="1"/>
    <col min="5" max="5" width="0.5546875" customWidth="1"/>
    <col min="6" max="6" width="6.6640625" customWidth="1"/>
    <col min="7" max="7" width="6.6640625" style="164" customWidth="1"/>
    <col min="8" max="22" width="5.6640625" customWidth="1"/>
  </cols>
  <sheetData>
    <row r="1" spans="1:22" s="4" customFormat="1" ht="15.6">
      <c r="A1" s="46" t="s">
        <v>142</v>
      </c>
      <c r="C1" s="47"/>
      <c r="D1" s="47"/>
      <c r="E1" s="47"/>
      <c r="F1" s="47"/>
      <c r="G1" s="45"/>
      <c r="H1" s="47"/>
      <c r="I1" s="47"/>
      <c r="J1" s="47"/>
      <c r="K1" s="47"/>
      <c r="L1" s="47"/>
      <c r="M1" s="47"/>
      <c r="N1" s="47"/>
      <c r="O1" s="47"/>
      <c r="P1" s="47"/>
      <c r="Q1" s="47"/>
      <c r="R1" s="47"/>
      <c r="S1" s="47"/>
      <c r="T1" s="47"/>
      <c r="U1" s="47"/>
      <c r="V1" s="47"/>
    </row>
    <row r="2" spans="1:22" s="4" customFormat="1" ht="15.6">
      <c r="A2" s="1044" t="s">
        <v>143</v>
      </c>
      <c r="B2" s="1044"/>
      <c r="C2" s="1045"/>
      <c r="D2" s="1045"/>
      <c r="G2" s="26"/>
    </row>
    <row r="3" spans="1:22" s="4" customFormat="1" ht="15.6">
      <c r="A3" s="1046" t="s">
        <v>144</v>
      </c>
      <c r="B3" s="1047"/>
      <c r="C3" s="1045"/>
      <c r="D3" s="1045"/>
      <c r="G3" s="26"/>
    </row>
    <row r="4" spans="1:22" s="4" customFormat="1" ht="15.6">
      <c r="A4" s="48" t="s">
        <v>176</v>
      </c>
      <c r="C4" s="47"/>
      <c r="D4" s="45"/>
      <c r="E4" s="47"/>
      <c r="F4" s="47"/>
      <c r="G4" s="45"/>
      <c r="H4" s="47"/>
      <c r="I4" s="47"/>
      <c r="J4" s="47"/>
      <c r="K4" s="47"/>
      <c r="L4" s="47"/>
      <c r="M4" s="47"/>
      <c r="N4" s="47"/>
      <c r="O4" s="47"/>
      <c r="P4" s="47"/>
      <c r="Q4" s="47"/>
      <c r="R4" s="47"/>
      <c r="S4" s="47"/>
      <c r="T4" s="47"/>
      <c r="U4" s="47"/>
      <c r="V4" s="47"/>
    </row>
    <row r="5" spans="1:22" ht="13.8" thickBot="1"/>
    <row r="6" spans="1:22" s="26" customFormat="1" ht="38.25" customHeight="1">
      <c r="A6" s="1048"/>
      <c r="B6" s="1050" t="s">
        <v>2320</v>
      </c>
      <c r="C6" s="1050" t="s">
        <v>92</v>
      </c>
      <c r="D6" s="1038" t="s">
        <v>41</v>
      </c>
      <c r="F6" s="1040" t="s">
        <v>327</v>
      </c>
      <c r="G6" s="1040" t="s">
        <v>30</v>
      </c>
      <c r="H6" s="1042">
        <v>1</v>
      </c>
      <c r="I6" s="1036">
        <v>2</v>
      </c>
      <c r="J6" s="1036">
        <v>3</v>
      </c>
      <c r="K6" s="1036">
        <v>4</v>
      </c>
      <c r="L6" s="1036">
        <v>5</v>
      </c>
      <c r="M6" s="1036">
        <v>6</v>
      </c>
      <c r="N6" s="1036">
        <v>7</v>
      </c>
      <c r="O6" s="1036">
        <v>8</v>
      </c>
      <c r="P6" s="1036">
        <v>9</v>
      </c>
      <c r="Q6" s="1036">
        <v>10</v>
      </c>
      <c r="R6" s="1036">
        <v>11</v>
      </c>
      <c r="S6" s="1036">
        <v>12</v>
      </c>
      <c r="T6" s="1036">
        <v>13</v>
      </c>
      <c r="U6" s="1036">
        <v>14</v>
      </c>
      <c r="V6" s="1038">
        <v>15</v>
      </c>
    </row>
    <row r="7" spans="1:22" s="26" customFormat="1" ht="13.8" thickBot="1">
      <c r="A7" s="1049"/>
      <c r="B7" s="1051"/>
      <c r="C7" s="1051"/>
      <c r="D7" s="1039"/>
      <c r="F7" s="1041"/>
      <c r="G7" s="1041"/>
      <c r="H7" s="1043"/>
      <c r="I7" s="1037"/>
      <c r="J7" s="1037"/>
      <c r="K7" s="1037"/>
      <c r="L7" s="1037"/>
      <c r="M7" s="1037"/>
      <c r="N7" s="1037"/>
      <c r="O7" s="1037"/>
      <c r="P7" s="1037"/>
      <c r="Q7" s="1037"/>
      <c r="R7" s="1037"/>
      <c r="S7" s="1037"/>
      <c r="T7" s="1037"/>
      <c r="U7" s="1037"/>
      <c r="V7" s="1039"/>
    </row>
    <row r="8" spans="1:22" ht="13.8" thickTop="1">
      <c r="A8" s="172"/>
      <c r="B8" s="167"/>
      <c r="C8" s="168"/>
      <c r="D8" s="173"/>
      <c r="F8" s="169"/>
      <c r="G8" s="292"/>
      <c r="H8" s="172"/>
      <c r="I8" s="167"/>
      <c r="J8" s="167"/>
      <c r="K8" s="167"/>
      <c r="L8" s="167"/>
      <c r="M8" s="167"/>
      <c r="N8" s="167"/>
      <c r="O8" s="167"/>
      <c r="P8" s="167"/>
      <c r="Q8" s="448"/>
      <c r="R8" s="448"/>
      <c r="S8" s="448"/>
      <c r="T8" s="448"/>
      <c r="U8" s="448"/>
      <c r="V8" s="173"/>
    </row>
    <row r="9" spans="1:22" s="162" customFormat="1">
      <c r="A9" s="267"/>
      <c r="B9" s="268" t="s">
        <v>323</v>
      </c>
      <c r="C9" s="269"/>
      <c r="D9" s="270" t="s">
        <v>325</v>
      </c>
      <c r="E9" s="271"/>
      <c r="F9" s="272">
        <f>F15+F183+F191</f>
        <v>4</v>
      </c>
      <c r="G9" s="293"/>
      <c r="H9" s="449"/>
      <c r="I9" s="450"/>
      <c r="J9" s="450"/>
      <c r="K9" s="450"/>
      <c r="L9" s="450"/>
      <c r="M9" s="450"/>
      <c r="N9" s="450"/>
      <c r="O9" s="450"/>
      <c r="P9" s="450"/>
      <c r="Q9" s="451"/>
      <c r="R9" s="451"/>
      <c r="S9" s="451"/>
      <c r="T9" s="451"/>
      <c r="U9" s="451"/>
      <c r="V9" s="452"/>
    </row>
    <row r="10" spans="1:22" s="162" customFormat="1">
      <c r="A10" s="267"/>
      <c r="B10" s="274" t="s">
        <v>3134</v>
      </c>
      <c r="C10" s="269"/>
      <c r="D10" s="270"/>
      <c r="E10" s="271"/>
      <c r="F10" s="278">
        <f>F16+F184+F192</f>
        <v>3</v>
      </c>
      <c r="G10" s="294">
        <f>F10/F9</f>
        <v>0.75</v>
      </c>
      <c r="H10" s="449"/>
      <c r="I10" s="450"/>
      <c r="J10" s="450"/>
      <c r="K10" s="450"/>
      <c r="L10" s="450"/>
      <c r="M10" s="450"/>
      <c r="N10" s="450"/>
      <c r="O10" s="450"/>
      <c r="P10" s="450"/>
      <c r="Q10" s="451"/>
      <c r="R10" s="451"/>
      <c r="S10" s="451"/>
      <c r="T10" s="451"/>
      <c r="U10" s="451"/>
      <c r="V10" s="452"/>
    </row>
    <row r="11" spans="1:22" s="263" customFormat="1">
      <c r="A11" s="273"/>
      <c r="B11" s="274" t="s">
        <v>175</v>
      </c>
      <c r="C11" s="275"/>
      <c r="D11" s="276"/>
      <c r="E11" s="277"/>
      <c r="F11" s="278">
        <f>F17+F185+F193</f>
        <v>3</v>
      </c>
      <c r="G11" s="294">
        <f>F11/F9</f>
        <v>0.75</v>
      </c>
      <c r="H11" s="264"/>
      <c r="I11" s="265"/>
      <c r="J11" s="265"/>
      <c r="K11" s="265"/>
      <c r="L11" s="265"/>
      <c r="M11" s="265"/>
      <c r="N11" s="265"/>
      <c r="O11" s="265"/>
      <c r="P11" s="265"/>
      <c r="Q11" s="379"/>
      <c r="R11" s="379"/>
      <c r="S11" s="379"/>
      <c r="T11" s="379"/>
      <c r="U11" s="379"/>
      <c r="V11" s="266"/>
    </row>
    <row r="12" spans="1:22" s="263" customFormat="1">
      <c r="A12" s="273"/>
      <c r="B12" s="274" t="s">
        <v>178</v>
      </c>
      <c r="C12" s="275"/>
      <c r="D12" s="276"/>
      <c r="E12" s="277"/>
      <c r="F12" s="278">
        <f>F20+F188+F196</f>
        <v>0</v>
      </c>
      <c r="G12" s="294">
        <f>F12/F9</f>
        <v>0</v>
      </c>
      <c r="H12" s="264"/>
      <c r="I12" s="265"/>
      <c r="J12" s="265"/>
      <c r="K12" s="265"/>
      <c r="L12" s="265"/>
      <c r="M12" s="265"/>
      <c r="N12" s="265"/>
      <c r="O12" s="265"/>
      <c r="P12" s="265"/>
      <c r="Q12" s="379"/>
      <c r="R12" s="379"/>
      <c r="S12" s="379"/>
      <c r="T12" s="379"/>
      <c r="U12" s="379"/>
      <c r="V12" s="266"/>
    </row>
    <row r="13" spans="1:22" s="263" customFormat="1">
      <c r="A13" s="259"/>
      <c r="B13" s="260"/>
      <c r="C13" s="261"/>
      <c r="D13" s="262"/>
      <c r="F13" s="248"/>
      <c r="G13" s="295"/>
      <c r="H13" s="264"/>
      <c r="I13" s="265"/>
      <c r="J13" s="265"/>
      <c r="K13" s="265"/>
      <c r="L13" s="265"/>
      <c r="M13" s="265"/>
      <c r="N13" s="265"/>
      <c r="O13" s="265"/>
      <c r="P13" s="265"/>
      <c r="Q13" s="379"/>
      <c r="R13" s="379"/>
      <c r="S13" s="379"/>
      <c r="T13" s="379"/>
      <c r="U13" s="379"/>
      <c r="V13" s="266"/>
    </row>
    <row r="14" spans="1:22" s="163" customFormat="1">
      <c r="A14" s="174"/>
      <c r="B14" s="247" t="s">
        <v>94</v>
      </c>
      <c r="C14" s="165"/>
      <c r="D14" s="176"/>
      <c r="F14" s="248"/>
      <c r="G14" s="295"/>
      <c r="H14" s="174"/>
      <c r="I14" s="166"/>
      <c r="J14" s="166"/>
      <c r="K14" s="166"/>
      <c r="L14" s="166"/>
      <c r="M14" s="166"/>
      <c r="N14" s="166"/>
      <c r="O14" s="166"/>
      <c r="P14" s="166"/>
      <c r="Q14" s="291"/>
      <c r="R14" s="291"/>
      <c r="S14" s="291"/>
      <c r="T14" s="291"/>
      <c r="U14" s="291"/>
      <c r="V14" s="175"/>
    </row>
    <row r="15" spans="1:22" s="245" customFormat="1">
      <c r="A15" s="241"/>
      <c r="B15" s="242" t="s">
        <v>326</v>
      </c>
      <c r="C15" s="243"/>
      <c r="D15" s="244"/>
      <c r="F15" s="248">
        <v>2</v>
      </c>
      <c r="G15" s="295"/>
      <c r="H15" s="249"/>
      <c r="I15" s="250"/>
      <c r="J15" s="250"/>
      <c r="K15" s="250"/>
      <c r="L15" s="250"/>
      <c r="M15" s="250"/>
      <c r="N15" s="250"/>
      <c r="O15" s="250"/>
      <c r="P15" s="250"/>
      <c r="Q15" s="380"/>
      <c r="R15" s="380"/>
      <c r="S15" s="380"/>
      <c r="T15" s="380"/>
      <c r="U15" s="380"/>
      <c r="V15" s="256"/>
    </row>
    <row r="16" spans="1:22" s="245" customFormat="1">
      <c r="A16" s="241"/>
      <c r="B16" s="242" t="s">
        <v>3134</v>
      </c>
      <c r="C16" s="243"/>
      <c r="D16" s="244"/>
      <c r="F16" s="248">
        <f>SUM(H16:V16)</f>
        <v>2</v>
      </c>
      <c r="G16" s="295"/>
      <c r="H16" s="249">
        <v>1</v>
      </c>
      <c r="I16" s="250">
        <v>1</v>
      </c>
      <c r="J16" s="250"/>
      <c r="K16" s="250"/>
      <c r="L16" s="250"/>
      <c r="M16" s="250"/>
      <c r="N16" s="250"/>
      <c r="O16" s="250"/>
      <c r="P16" s="250"/>
      <c r="Q16" s="380"/>
      <c r="R16" s="380"/>
      <c r="S16" s="380"/>
      <c r="T16" s="380"/>
      <c r="U16" s="380"/>
      <c r="V16" s="256"/>
    </row>
    <row r="17" spans="1:22" s="245" customFormat="1">
      <c r="A17" s="241"/>
      <c r="B17" s="242" t="s">
        <v>2319</v>
      </c>
      <c r="C17" s="243"/>
      <c r="D17" s="244"/>
      <c r="F17" s="248">
        <f>SUM(H17:V17)</f>
        <v>2</v>
      </c>
      <c r="G17" s="295"/>
      <c r="H17" s="249">
        <v>1</v>
      </c>
      <c r="I17" s="250">
        <v>1</v>
      </c>
      <c r="J17" s="250"/>
      <c r="K17" s="250"/>
      <c r="L17" s="250"/>
      <c r="M17" s="250"/>
      <c r="N17" s="250"/>
      <c r="O17" s="250"/>
      <c r="P17" s="250"/>
      <c r="Q17" s="380"/>
      <c r="R17" s="380"/>
      <c r="S17" s="380"/>
      <c r="T17" s="380"/>
      <c r="U17" s="380"/>
      <c r="V17" s="256"/>
    </row>
    <row r="18" spans="1:22" s="245" customFormat="1">
      <c r="A18" s="241"/>
      <c r="B18" s="242" t="s">
        <v>179</v>
      </c>
      <c r="C18" s="243"/>
      <c r="D18" s="244"/>
      <c r="F18" s="246"/>
      <c r="G18" s="296"/>
      <c r="H18" s="249">
        <v>1916</v>
      </c>
      <c r="I18" s="250">
        <v>2054</v>
      </c>
      <c r="J18" s="250"/>
      <c r="K18" s="250"/>
      <c r="L18" s="250"/>
      <c r="M18" s="250"/>
      <c r="N18" s="250"/>
      <c r="O18" s="250"/>
      <c r="P18" s="250"/>
      <c r="Q18" s="380"/>
      <c r="R18" s="380"/>
      <c r="S18" s="380"/>
      <c r="T18" s="380"/>
      <c r="U18" s="380"/>
      <c r="V18" s="256"/>
    </row>
    <row r="19" spans="1:22" s="245" customFormat="1" ht="13.8" thickBot="1">
      <c r="A19" s="241"/>
      <c r="B19" s="242" t="s">
        <v>3020</v>
      </c>
      <c r="C19" s="243"/>
      <c r="D19" s="244"/>
      <c r="F19" s="246"/>
      <c r="G19" s="296"/>
      <c r="H19" s="611">
        <v>173</v>
      </c>
      <c r="I19" s="614">
        <v>191</v>
      </c>
      <c r="J19" s="250"/>
      <c r="K19" s="250"/>
      <c r="L19" s="250"/>
      <c r="M19" s="250"/>
      <c r="N19" s="250"/>
      <c r="O19" s="250"/>
      <c r="P19" s="250"/>
      <c r="Q19" s="380"/>
      <c r="R19" s="380"/>
      <c r="S19" s="380"/>
      <c r="T19" s="380"/>
      <c r="U19" s="380"/>
      <c r="V19" s="256"/>
    </row>
    <row r="20" spans="1:22" s="245" customFormat="1" ht="14.4" thickTop="1" thickBot="1">
      <c r="A20" s="241"/>
      <c r="B20" s="242" t="s">
        <v>178</v>
      </c>
      <c r="C20" s="243"/>
      <c r="D20" s="244"/>
      <c r="F20" s="248">
        <f>SUM(H20:V20)</f>
        <v>0</v>
      </c>
      <c r="G20" s="610">
        <f>F20/F15</f>
        <v>0</v>
      </c>
      <c r="H20" s="636"/>
      <c r="I20" s="636"/>
      <c r="J20" s="299"/>
      <c r="K20" s="250"/>
      <c r="L20" s="250"/>
      <c r="M20" s="250"/>
      <c r="N20" s="250"/>
      <c r="O20" s="250"/>
      <c r="P20" s="250"/>
      <c r="Q20" s="380"/>
      <c r="R20" s="380"/>
      <c r="S20" s="380"/>
      <c r="T20" s="380"/>
      <c r="U20" s="380"/>
      <c r="V20" s="256"/>
    </row>
    <row r="21" spans="1:22" s="245" customFormat="1" ht="13.8" thickTop="1">
      <c r="A21" s="241"/>
      <c r="B21" s="242" t="s">
        <v>3021</v>
      </c>
      <c r="C21" s="243"/>
      <c r="D21" s="244"/>
      <c r="F21" s="246"/>
      <c r="G21" s="296"/>
      <c r="H21" s="612"/>
      <c r="I21" s="616"/>
      <c r="J21" s="250"/>
      <c r="K21" s="250"/>
      <c r="L21" s="250"/>
      <c r="M21" s="250"/>
      <c r="N21" s="250"/>
      <c r="O21" s="250"/>
      <c r="P21" s="250"/>
      <c r="Q21" s="380"/>
      <c r="R21" s="380"/>
      <c r="S21" s="380"/>
      <c r="T21" s="380"/>
      <c r="U21" s="380"/>
      <c r="V21" s="256"/>
    </row>
    <row r="22" spans="1:22" s="163" customFormat="1">
      <c r="A22" s="174"/>
      <c r="B22" s="247" t="s">
        <v>95</v>
      </c>
      <c r="C22" s="165"/>
      <c r="D22" s="176"/>
      <c r="F22" s="170"/>
      <c r="G22" s="297"/>
      <c r="H22" s="174"/>
      <c r="I22" s="166"/>
      <c r="J22" s="166"/>
      <c r="K22" s="166"/>
      <c r="L22" s="166"/>
      <c r="M22" s="166"/>
      <c r="N22" s="166"/>
      <c r="O22" s="166"/>
      <c r="P22" s="166"/>
      <c r="Q22" s="291"/>
      <c r="R22" s="291"/>
      <c r="S22" s="291"/>
      <c r="T22" s="291"/>
      <c r="U22" s="291"/>
      <c r="V22" s="175"/>
    </row>
    <row r="23" spans="1:22" s="245" customFormat="1">
      <c r="A23" s="241"/>
      <c r="B23" s="242" t="s">
        <v>326</v>
      </c>
      <c r="C23" s="243"/>
      <c r="D23" s="244"/>
      <c r="F23" s="248">
        <v>2</v>
      </c>
      <c r="G23" s="295"/>
      <c r="H23" s="249"/>
      <c r="I23" s="250"/>
      <c r="J23" s="250"/>
      <c r="K23" s="250"/>
      <c r="L23" s="250"/>
      <c r="M23" s="250"/>
      <c r="N23" s="250"/>
      <c r="O23" s="250"/>
      <c r="P23" s="250"/>
      <c r="Q23" s="380"/>
      <c r="R23" s="380"/>
      <c r="S23" s="380"/>
      <c r="T23" s="380"/>
      <c r="U23" s="380"/>
      <c r="V23" s="256"/>
    </row>
    <row r="24" spans="1:22" s="245" customFormat="1">
      <c r="A24" s="241"/>
      <c r="B24" s="242" t="s">
        <v>3134</v>
      </c>
      <c r="C24" s="243"/>
      <c r="D24" s="244"/>
      <c r="F24" s="248">
        <f>SUM(H24:V24)</f>
        <v>2</v>
      </c>
      <c r="G24" s="295"/>
      <c r="H24" s="249">
        <v>1</v>
      </c>
      <c r="I24" s="250">
        <v>1</v>
      </c>
      <c r="J24" s="250"/>
      <c r="K24" s="250"/>
      <c r="L24" s="250"/>
      <c r="M24" s="250"/>
      <c r="N24" s="250"/>
      <c r="O24" s="250"/>
      <c r="P24" s="250"/>
      <c r="Q24" s="380"/>
      <c r="R24" s="380"/>
      <c r="S24" s="380"/>
      <c r="T24" s="380"/>
      <c r="U24" s="380"/>
      <c r="V24" s="256"/>
    </row>
    <row r="25" spans="1:22" s="245" customFormat="1">
      <c r="A25" s="241"/>
      <c r="B25" s="242" t="s">
        <v>175</v>
      </c>
      <c r="C25" s="243"/>
      <c r="D25" s="244"/>
      <c r="F25" s="248">
        <f>SUM(H25:V25)</f>
        <v>2</v>
      </c>
      <c r="G25" s="295"/>
      <c r="H25" s="249">
        <v>1</v>
      </c>
      <c r="I25" s="250">
        <v>1</v>
      </c>
      <c r="J25" s="250"/>
      <c r="K25" s="250"/>
      <c r="L25" s="250"/>
      <c r="M25" s="250"/>
      <c r="N25" s="250"/>
      <c r="O25" s="250"/>
      <c r="P25" s="250"/>
      <c r="Q25" s="380"/>
      <c r="R25" s="380"/>
      <c r="S25" s="380"/>
      <c r="T25" s="380"/>
      <c r="U25" s="380"/>
      <c r="V25" s="256"/>
    </row>
    <row r="26" spans="1:22" s="245" customFormat="1">
      <c r="A26" s="241"/>
      <c r="B26" s="242" t="s">
        <v>179</v>
      </c>
      <c r="C26" s="243"/>
      <c r="D26" s="244"/>
      <c r="F26" s="246"/>
      <c r="G26" s="296"/>
      <c r="H26" s="249">
        <v>1916</v>
      </c>
      <c r="I26" s="250"/>
      <c r="J26" s="250"/>
      <c r="K26" s="250"/>
      <c r="L26" s="250"/>
      <c r="M26" s="250"/>
      <c r="N26" s="250"/>
      <c r="O26" s="250"/>
      <c r="P26" s="250"/>
      <c r="Q26" s="380"/>
      <c r="R26" s="380"/>
      <c r="S26" s="380"/>
      <c r="T26" s="380"/>
      <c r="U26" s="380"/>
      <c r="V26" s="256"/>
    </row>
    <row r="27" spans="1:22" s="245" customFormat="1">
      <c r="A27" s="241"/>
      <c r="B27" s="242" t="s">
        <v>3020</v>
      </c>
      <c r="C27" s="243"/>
      <c r="D27" s="244"/>
      <c r="F27" s="246"/>
      <c r="G27" s="296"/>
      <c r="H27" s="249">
        <v>173</v>
      </c>
      <c r="I27" s="250"/>
      <c r="J27" s="250"/>
      <c r="K27" s="250"/>
      <c r="L27" s="250"/>
      <c r="M27" s="250"/>
      <c r="N27" s="250"/>
      <c r="O27" s="250"/>
      <c r="P27" s="250"/>
      <c r="Q27" s="380"/>
      <c r="R27" s="380"/>
      <c r="S27" s="380"/>
      <c r="T27" s="380"/>
      <c r="U27" s="380"/>
      <c r="V27" s="256"/>
    </row>
    <row r="28" spans="1:22" s="245" customFormat="1">
      <c r="A28" s="241"/>
      <c r="B28" s="242" t="s">
        <v>178</v>
      </c>
      <c r="C28" s="243"/>
      <c r="D28" s="244"/>
      <c r="F28" s="248">
        <f>SUM(H28:V28)</f>
        <v>2</v>
      </c>
      <c r="G28" s="294">
        <f>F28/F23</f>
        <v>1</v>
      </c>
      <c r="H28" s="249">
        <v>1</v>
      </c>
      <c r="I28" s="250">
        <v>1</v>
      </c>
      <c r="J28" s="250"/>
      <c r="K28" s="250"/>
      <c r="L28" s="250"/>
      <c r="M28" s="250"/>
      <c r="N28" s="250"/>
      <c r="O28" s="250"/>
      <c r="P28" s="250"/>
      <c r="Q28" s="380"/>
      <c r="R28" s="380"/>
      <c r="S28" s="380"/>
      <c r="T28" s="380"/>
      <c r="U28" s="380"/>
      <c r="V28" s="256"/>
    </row>
    <row r="29" spans="1:22" s="245" customFormat="1">
      <c r="A29" s="241"/>
      <c r="B29" s="242" t="s">
        <v>3021</v>
      </c>
      <c r="C29" s="243"/>
      <c r="D29" s="244"/>
      <c r="F29" s="246"/>
      <c r="G29" s="296"/>
      <c r="H29" s="249"/>
      <c r="I29" s="250"/>
      <c r="J29" s="250"/>
      <c r="K29" s="250"/>
      <c r="L29" s="250"/>
      <c r="M29" s="250"/>
      <c r="N29" s="250"/>
      <c r="O29" s="250"/>
      <c r="P29" s="250"/>
      <c r="Q29" s="380"/>
      <c r="R29" s="380"/>
      <c r="S29" s="380"/>
      <c r="T29" s="380"/>
      <c r="U29" s="380"/>
      <c r="V29" s="256"/>
    </row>
    <row r="30" spans="1:22" s="163" customFormat="1">
      <c r="A30" s="174"/>
      <c r="B30" s="247" t="s">
        <v>96</v>
      </c>
      <c r="C30" s="165"/>
      <c r="D30" s="176"/>
      <c r="F30" s="170"/>
      <c r="G30" s="297"/>
      <c r="H30" s="174"/>
      <c r="I30" s="166"/>
      <c r="J30" s="166"/>
      <c r="K30" s="166"/>
      <c r="L30" s="166"/>
      <c r="M30" s="166"/>
      <c r="N30" s="166"/>
      <c r="O30" s="166"/>
      <c r="P30" s="166"/>
      <c r="Q30" s="291"/>
      <c r="R30" s="291"/>
      <c r="S30" s="291"/>
      <c r="T30" s="291"/>
      <c r="U30" s="291"/>
      <c r="V30" s="175"/>
    </row>
    <row r="31" spans="1:22" s="245" customFormat="1">
      <c r="A31" s="241"/>
      <c r="B31" s="242" t="s">
        <v>326</v>
      </c>
      <c r="C31" s="243"/>
      <c r="D31" s="244"/>
      <c r="F31" s="248">
        <v>2</v>
      </c>
      <c r="G31" s="295"/>
      <c r="H31" s="249"/>
      <c r="I31" s="250"/>
      <c r="J31" s="250"/>
      <c r="K31" s="250"/>
      <c r="L31" s="250"/>
      <c r="M31" s="250"/>
      <c r="N31" s="250"/>
      <c r="O31" s="250"/>
      <c r="P31" s="250"/>
      <c r="Q31" s="380"/>
      <c r="R31" s="380"/>
      <c r="S31" s="380"/>
      <c r="T31" s="380"/>
      <c r="U31" s="380"/>
      <c r="V31" s="256"/>
    </row>
    <row r="32" spans="1:22" s="245" customFormat="1">
      <c r="A32" s="241"/>
      <c r="B32" s="242" t="s">
        <v>3134</v>
      </c>
      <c r="C32" s="243"/>
      <c r="D32" s="244"/>
      <c r="F32" s="248">
        <f>SUM(H32:V32)</f>
        <v>2</v>
      </c>
      <c r="G32" s="295"/>
      <c r="H32" s="249">
        <v>1</v>
      </c>
      <c r="I32" s="250">
        <v>1</v>
      </c>
      <c r="J32" s="250"/>
      <c r="K32" s="250"/>
      <c r="L32" s="250"/>
      <c r="M32" s="250"/>
      <c r="N32" s="250"/>
      <c r="O32" s="250"/>
      <c r="P32" s="250"/>
      <c r="Q32" s="380"/>
      <c r="R32" s="380"/>
      <c r="S32" s="380"/>
      <c r="T32" s="380"/>
      <c r="U32" s="380"/>
      <c r="V32" s="256"/>
    </row>
    <row r="33" spans="1:22" s="245" customFormat="1">
      <c r="A33" s="241"/>
      <c r="B33" s="242" t="s">
        <v>175</v>
      </c>
      <c r="C33" s="243"/>
      <c r="D33" s="244"/>
      <c r="F33" s="248">
        <f>SUM(H33:V33)</f>
        <v>2</v>
      </c>
      <c r="G33" s="295"/>
      <c r="H33" s="249">
        <v>1</v>
      </c>
      <c r="I33" s="250">
        <v>1</v>
      </c>
      <c r="J33" s="250"/>
      <c r="K33" s="250"/>
      <c r="L33" s="250"/>
      <c r="M33" s="250"/>
      <c r="N33" s="250"/>
      <c r="O33" s="250"/>
      <c r="P33" s="250"/>
      <c r="Q33" s="380"/>
      <c r="R33" s="380"/>
      <c r="S33" s="380"/>
      <c r="T33" s="380"/>
      <c r="U33" s="380"/>
      <c r="V33" s="256"/>
    </row>
    <row r="34" spans="1:22" s="245" customFormat="1">
      <c r="A34" s="241"/>
      <c r="B34" s="242" t="s">
        <v>179</v>
      </c>
      <c r="C34" s="243"/>
      <c r="D34" s="244"/>
      <c r="F34" s="246"/>
      <c r="G34" s="296"/>
      <c r="H34" s="249">
        <v>1194</v>
      </c>
      <c r="I34" s="250"/>
      <c r="J34" s="250"/>
      <c r="K34" s="250"/>
      <c r="L34" s="250"/>
      <c r="M34" s="250"/>
      <c r="N34" s="250"/>
      <c r="O34" s="250"/>
      <c r="P34" s="250"/>
      <c r="Q34" s="380"/>
      <c r="R34" s="380"/>
      <c r="S34" s="380"/>
      <c r="T34" s="380"/>
      <c r="U34" s="380"/>
      <c r="V34" s="256"/>
    </row>
    <row r="35" spans="1:22" s="245" customFormat="1">
      <c r="A35" s="241"/>
      <c r="B35" s="242" t="s">
        <v>3020</v>
      </c>
      <c r="C35" s="243"/>
      <c r="D35" s="244"/>
      <c r="F35" s="246"/>
      <c r="G35" s="296"/>
      <c r="H35" s="252" t="s">
        <v>197</v>
      </c>
      <c r="I35" s="250"/>
      <c r="J35" s="250"/>
      <c r="K35" s="250"/>
      <c r="L35" s="250"/>
      <c r="M35" s="250"/>
      <c r="N35" s="250"/>
      <c r="O35" s="250"/>
      <c r="P35" s="250"/>
      <c r="Q35" s="380"/>
      <c r="R35" s="380"/>
      <c r="S35" s="380"/>
      <c r="T35" s="380"/>
      <c r="U35" s="380"/>
      <c r="V35" s="256"/>
    </row>
    <row r="36" spans="1:22" s="245" customFormat="1">
      <c r="A36" s="241"/>
      <c r="B36" s="242" t="s">
        <v>178</v>
      </c>
      <c r="C36" s="243"/>
      <c r="D36" s="244"/>
      <c r="F36" s="248">
        <f>SUM(H36:V36)</f>
        <v>2</v>
      </c>
      <c r="G36" s="294">
        <f>F36/F31</f>
        <v>1</v>
      </c>
      <c r="H36" s="249">
        <v>1</v>
      </c>
      <c r="I36" s="250">
        <v>1</v>
      </c>
      <c r="J36" s="250"/>
      <c r="K36" s="250"/>
      <c r="L36" s="250"/>
      <c r="M36" s="250"/>
      <c r="N36" s="250"/>
      <c r="O36" s="250"/>
      <c r="P36" s="250"/>
      <c r="Q36" s="380"/>
      <c r="R36" s="380"/>
      <c r="S36" s="380"/>
      <c r="T36" s="380"/>
      <c r="U36" s="380"/>
      <c r="V36" s="256"/>
    </row>
    <row r="37" spans="1:22" s="245" customFormat="1">
      <c r="A37" s="241"/>
      <c r="B37" s="242" t="s">
        <v>3021</v>
      </c>
      <c r="C37" s="243"/>
      <c r="D37" s="244"/>
      <c r="F37" s="246"/>
      <c r="G37" s="296"/>
      <c r="H37" s="249"/>
      <c r="I37" s="250"/>
      <c r="J37" s="250"/>
      <c r="K37" s="250"/>
      <c r="L37" s="250"/>
      <c r="M37" s="250"/>
      <c r="N37" s="250"/>
      <c r="O37" s="250"/>
      <c r="P37" s="250"/>
      <c r="Q37" s="380"/>
      <c r="R37" s="380"/>
      <c r="S37" s="380"/>
      <c r="T37" s="380"/>
      <c r="U37" s="380"/>
      <c r="V37" s="256"/>
    </row>
    <row r="38" spans="1:22" s="163" customFormat="1">
      <c r="A38" s="174"/>
      <c r="B38" s="247" t="s">
        <v>97</v>
      </c>
      <c r="C38" s="165"/>
      <c r="D38" s="176"/>
      <c r="F38" s="170"/>
      <c r="G38" s="297"/>
      <c r="H38" s="174"/>
      <c r="I38" s="166"/>
      <c r="J38" s="166"/>
      <c r="K38" s="166"/>
      <c r="L38" s="166"/>
      <c r="M38" s="166"/>
      <c r="N38" s="166"/>
      <c r="O38" s="166"/>
      <c r="P38" s="166"/>
      <c r="Q38" s="291"/>
      <c r="R38" s="291"/>
      <c r="S38" s="291"/>
      <c r="T38" s="291"/>
      <c r="U38" s="291"/>
      <c r="V38" s="175"/>
    </row>
    <row r="39" spans="1:22" s="245" customFormat="1">
      <c r="A39" s="241"/>
      <c r="B39" s="242" t="s">
        <v>326</v>
      </c>
      <c r="C39" s="243"/>
      <c r="D39" s="244"/>
      <c r="F39" s="248">
        <v>2</v>
      </c>
      <c r="G39" s="295"/>
      <c r="H39" s="249"/>
      <c r="I39" s="250"/>
      <c r="J39" s="250"/>
      <c r="K39" s="250"/>
      <c r="L39" s="250"/>
      <c r="M39" s="250"/>
      <c r="N39" s="250"/>
      <c r="O39" s="250"/>
      <c r="P39" s="250"/>
      <c r="Q39" s="380"/>
      <c r="R39" s="380"/>
      <c r="S39" s="380"/>
      <c r="T39" s="380"/>
      <c r="U39" s="380"/>
      <c r="V39" s="256"/>
    </row>
    <row r="40" spans="1:22" s="245" customFormat="1">
      <c r="A40" s="241"/>
      <c r="B40" s="242" t="s">
        <v>3134</v>
      </c>
      <c r="C40" s="243"/>
      <c r="D40" s="244"/>
      <c r="F40" s="248">
        <f>SUM(H40:V40)</f>
        <v>2</v>
      </c>
      <c r="G40" s="295"/>
      <c r="H40" s="249">
        <v>1</v>
      </c>
      <c r="I40" s="250">
        <v>1</v>
      </c>
      <c r="J40" s="250"/>
      <c r="K40" s="250"/>
      <c r="L40" s="250"/>
      <c r="M40" s="250"/>
      <c r="N40" s="250"/>
      <c r="O40" s="250"/>
      <c r="P40" s="250"/>
      <c r="Q40" s="380"/>
      <c r="R40" s="380"/>
      <c r="S40" s="380"/>
      <c r="T40" s="380"/>
      <c r="U40" s="380"/>
      <c r="V40" s="256"/>
    </row>
    <row r="41" spans="1:22" s="245" customFormat="1">
      <c r="A41" s="241"/>
      <c r="B41" s="242" t="s">
        <v>175</v>
      </c>
      <c r="C41" s="243"/>
      <c r="D41" s="244"/>
      <c r="F41" s="248">
        <f>SUM(H41:V41)</f>
        <v>2</v>
      </c>
      <c r="G41" s="295"/>
      <c r="H41" s="249">
        <v>1</v>
      </c>
      <c r="I41" s="250">
        <v>1</v>
      </c>
      <c r="J41" s="250"/>
      <c r="K41" s="250"/>
      <c r="L41" s="250"/>
      <c r="M41" s="250"/>
      <c r="N41" s="250"/>
      <c r="O41" s="250"/>
      <c r="P41" s="250"/>
      <c r="Q41" s="380"/>
      <c r="R41" s="380"/>
      <c r="S41" s="380"/>
      <c r="T41" s="380"/>
      <c r="U41" s="380"/>
      <c r="V41" s="256"/>
    </row>
    <row r="42" spans="1:22" s="245" customFormat="1">
      <c r="A42" s="241"/>
      <c r="B42" s="242" t="s">
        <v>179</v>
      </c>
      <c r="C42" s="243"/>
      <c r="D42" s="244"/>
      <c r="F42" s="246"/>
      <c r="G42" s="296"/>
      <c r="H42" s="249"/>
      <c r="I42" s="250">
        <v>1818</v>
      </c>
      <c r="J42" s="250"/>
      <c r="K42" s="250"/>
      <c r="L42" s="250"/>
      <c r="M42" s="250"/>
      <c r="N42" s="250"/>
      <c r="O42" s="250"/>
      <c r="P42" s="250"/>
      <c r="Q42" s="380"/>
      <c r="R42" s="380"/>
      <c r="S42" s="380"/>
      <c r="T42" s="380"/>
      <c r="U42" s="380"/>
      <c r="V42" s="256"/>
    </row>
    <row r="43" spans="1:22" s="245" customFormat="1">
      <c r="A43" s="241"/>
      <c r="B43" s="242" t="s">
        <v>3020</v>
      </c>
      <c r="C43" s="243"/>
      <c r="D43" s="244"/>
      <c r="F43" s="246"/>
      <c r="G43" s="296"/>
      <c r="H43" s="249"/>
      <c r="I43" s="250">
        <v>165</v>
      </c>
      <c r="J43" s="250"/>
      <c r="K43" s="250"/>
      <c r="L43" s="250"/>
      <c r="M43" s="250"/>
      <c r="N43" s="250"/>
      <c r="O43" s="250"/>
      <c r="P43" s="250"/>
      <c r="Q43" s="380"/>
      <c r="R43" s="380"/>
      <c r="S43" s="380"/>
      <c r="T43" s="380"/>
      <c r="U43" s="380"/>
      <c r="V43" s="256"/>
    </row>
    <row r="44" spans="1:22" s="245" customFormat="1">
      <c r="A44" s="241"/>
      <c r="B44" s="242" t="s">
        <v>178</v>
      </c>
      <c r="C44" s="243"/>
      <c r="D44" s="244"/>
      <c r="F44" s="248">
        <f>SUM(H44:V44)</f>
        <v>2</v>
      </c>
      <c r="G44" s="294">
        <f>F44/F39</f>
        <v>1</v>
      </c>
      <c r="H44" s="249">
        <v>1</v>
      </c>
      <c r="I44" s="250">
        <v>1</v>
      </c>
      <c r="J44" s="250"/>
      <c r="K44" s="250"/>
      <c r="L44" s="250"/>
      <c r="M44" s="250"/>
      <c r="N44" s="250"/>
      <c r="O44" s="250"/>
      <c r="P44" s="250"/>
      <c r="Q44" s="380"/>
      <c r="R44" s="380"/>
      <c r="S44" s="380"/>
      <c r="T44" s="380"/>
      <c r="U44" s="380"/>
      <c r="V44" s="256"/>
    </row>
    <row r="45" spans="1:22" s="245" customFormat="1">
      <c r="A45" s="241"/>
      <c r="B45" s="242" t="s">
        <v>3021</v>
      </c>
      <c r="C45" s="243"/>
      <c r="D45" s="244"/>
      <c r="F45" s="246"/>
      <c r="G45" s="296"/>
      <c r="H45" s="249"/>
      <c r="I45" s="250"/>
      <c r="J45" s="250"/>
      <c r="K45" s="250"/>
      <c r="L45" s="250"/>
      <c r="M45" s="250"/>
      <c r="N45" s="250"/>
      <c r="O45" s="250"/>
      <c r="P45" s="250"/>
      <c r="Q45" s="380"/>
      <c r="R45" s="380"/>
      <c r="S45" s="380"/>
      <c r="T45" s="380"/>
      <c r="U45" s="380"/>
      <c r="V45" s="256"/>
    </row>
    <row r="46" spans="1:22" s="163" customFormat="1">
      <c r="A46" s="174"/>
      <c r="B46" s="247" t="s">
        <v>98</v>
      </c>
      <c r="C46" s="165"/>
      <c r="D46" s="176"/>
      <c r="F46" s="170"/>
      <c r="G46" s="297"/>
      <c r="H46" s="174"/>
      <c r="I46" s="166"/>
      <c r="J46" s="166"/>
      <c r="K46" s="166"/>
      <c r="L46" s="166"/>
      <c r="M46" s="166"/>
      <c r="N46" s="166"/>
      <c r="O46" s="166"/>
      <c r="P46" s="166"/>
      <c r="Q46" s="291"/>
      <c r="R46" s="291"/>
      <c r="S46" s="291"/>
      <c r="T46" s="291"/>
      <c r="U46" s="291"/>
      <c r="V46" s="175"/>
    </row>
    <row r="47" spans="1:22" s="245" customFormat="1">
      <c r="A47" s="241"/>
      <c r="B47" s="242" t="s">
        <v>326</v>
      </c>
      <c r="C47" s="243"/>
      <c r="D47" s="244"/>
      <c r="F47" s="248">
        <v>1</v>
      </c>
      <c r="G47" s="295"/>
      <c r="H47" s="249"/>
      <c r="I47" s="250"/>
      <c r="J47" s="250"/>
      <c r="K47" s="250"/>
      <c r="L47" s="250"/>
      <c r="M47" s="250"/>
      <c r="N47" s="250"/>
      <c r="O47" s="250"/>
      <c r="P47" s="250"/>
      <c r="Q47" s="380"/>
      <c r="R47" s="380"/>
      <c r="S47" s="380"/>
      <c r="T47" s="380"/>
      <c r="U47" s="380"/>
      <c r="V47" s="256"/>
    </row>
    <row r="48" spans="1:22" s="245" customFormat="1">
      <c r="A48" s="241"/>
      <c r="B48" s="242" t="s">
        <v>3134</v>
      </c>
      <c r="C48" s="243"/>
      <c r="D48" s="244"/>
      <c r="F48" s="248">
        <f>SUM(H48:V48)</f>
        <v>1</v>
      </c>
      <c r="G48" s="295"/>
      <c r="H48" s="249">
        <v>1</v>
      </c>
      <c r="I48" s="250"/>
      <c r="J48" s="250"/>
      <c r="K48" s="250"/>
      <c r="L48" s="250"/>
      <c r="M48" s="250"/>
      <c r="N48" s="250"/>
      <c r="O48" s="250"/>
      <c r="P48" s="250"/>
      <c r="Q48" s="380"/>
      <c r="R48" s="380"/>
      <c r="S48" s="380"/>
      <c r="T48" s="380"/>
      <c r="U48" s="380"/>
      <c r="V48" s="256"/>
    </row>
    <row r="49" spans="1:22" s="245" customFormat="1">
      <c r="A49" s="241"/>
      <c r="B49" s="242" t="s">
        <v>175</v>
      </c>
      <c r="C49" s="243"/>
      <c r="D49" s="244"/>
      <c r="F49" s="248">
        <f>SUM(H49:V49)</f>
        <v>1</v>
      </c>
      <c r="G49" s="295"/>
      <c r="H49" s="249">
        <v>1</v>
      </c>
      <c r="I49" s="250"/>
      <c r="J49" s="250"/>
      <c r="K49" s="250"/>
      <c r="L49" s="250"/>
      <c r="M49" s="250"/>
      <c r="N49" s="250"/>
      <c r="O49" s="250"/>
      <c r="P49" s="250"/>
      <c r="Q49" s="380"/>
      <c r="R49" s="380"/>
      <c r="S49" s="380"/>
      <c r="T49" s="380"/>
      <c r="U49" s="380"/>
      <c r="V49" s="256"/>
    </row>
    <row r="50" spans="1:22" s="245" customFormat="1">
      <c r="A50" s="241"/>
      <c r="B50" s="242" t="s">
        <v>179</v>
      </c>
      <c r="C50" s="243"/>
      <c r="D50" s="244"/>
      <c r="F50" s="246"/>
      <c r="G50" s="296"/>
      <c r="H50" s="252" t="s">
        <v>2602</v>
      </c>
      <c r="I50" s="250"/>
      <c r="J50" s="250"/>
      <c r="K50" s="250"/>
      <c r="L50" s="250"/>
      <c r="M50" s="250"/>
      <c r="N50" s="250"/>
      <c r="O50" s="250"/>
      <c r="P50" s="250"/>
      <c r="Q50" s="380"/>
      <c r="R50" s="380"/>
      <c r="S50" s="380"/>
      <c r="T50" s="380"/>
      <c r="U50" s="380"/>
      <c r="V50" s="256"/>
    </row>
    <row r="51" spans="1:22" s="245" customFormat="1">
      <c r="A51" s="241"/>
      <c r="B51" s="242" t="s">
        <v>3020</v>
      </c>
      <c r="C51" s="243"/>
      <c r="D51" s="244"/>
      <c r="F51" s="246"/>
      <c r="G51" s="296"/>
      <c r="H51" s="249">
        <v>166</v>
      </c>
      <c r="I51" s="250"/>
      <c r="J51" s="250"/>
      <c r="K51" s="250"/>
      <c r="L51" s="250"/>
      <c r="M51" s="250"/>
      <c r="N51" s="250"/>
      <c r="O51" s="250"/>
      <c r="P51" s="250"/>
      <c r="Q51" s="380"/>
      <c r="R51" s="380"/>
      <c r="S51" s="380"/>
      <c r="T51" s="380"/>
      <c r="U51" s="380"/>
      <c r="V51" s="256"/>
    </row>
    <row r="52" spans="1:22" s="245" customFormat="1">
      <c r="A52" s="241"/>
      <c r="B52" s="242" t="s">
        <v>178</v>
      </c>
      <c r="C52" s="243"/>
      <c r="D52" s="244"/>
      <c r="F52" s="248">
        <f>SUM(H52:V52)</f>
        <v>1</v>
      </c>
      <c r="G52" s="294">
        <f>F52/F47</f>
        <v>1</v>
      </c>
      <c r="H52" s="249">
        <v>1</v>
      </c>
      <c r="I52" s="250"/>
      <c r="J52" s="250"/>
      <c r="K52" s="250"/>
      <c r="L52" s="250"/>
      <c r="M52" s="250"/>
      <c r="N52" s="250"/>
      <c r="O52" s="250"/>
      <c r="P52" s="250"/>
      <c r="Q52" s="380"/>
      <c r="R52" s="380"/>
      <c r="S52" s="380"/>
      <c r="T52" s="380"/>
      <c r="U52" s="380"/>
      <c r="V52" s="256"/>
    </row>
    <row r="53" spans="1:22" s="245" customFormat="1">
      <c r="A53" s="241"/>
      <c r="B53" s="242" t="s">
        <v>3021</v>
      </c>
      <c r="C53" s="243"/>
      <c r="D53" s="244"/>
      <c r="F53" s="246"/>
      <c r="G53" s="296"/>
      <c r="H53" s="249"/>
      <c r="I53" s="250"/>
      <c r="J53" s="250"/>
      <c r="K53" s="250"/>
      <c r="L53" s="250"/>
      <c r="M53" s="250"/>
      <c r="N53" s="250"/>
      <c r="O53" s="250"/>
      <c r="P53" s="250"/>
      <c r="Q53" s="380"/>
      <c r="R53" s="380"/>
      <c r="S53" s="380"/>
      <c r="T53" s="380"/>
      <c r="U53" s="380"/>
      <c r="V53" s="256"/>
    </row>
    <row r="54" spans="1:22" s="163" customFormat="1">
      <c r="A54" s="174"/>
      <c r="B54" s="247" t="s">
        <v>99</v>
      </c>
      <c r="C54" s="165"/>
      <c r="D54" s="176"/>
      <c r="F54" s="170"/>
      <c r="G54" s="297"/>
      <c r="H54" s="174"/>
      <c r="I54" s="166"/>
      <c r="J54" s="166"/>
      <c r="K54" s="166"/>
      <c r="L54" s="166"/>
      <c r="M54" s="166"/>
      <c r="N54" s="166"/>
      <c r="O54" s="166"/>
      <c r="P54" s="166"/>
      <c r="Q54" s="291"/>
      <c r="R54" s="291"/>
      <c r="S54" s="291"/>
      <c r="T54" s="291"/>
      <c r="U54" s="291"/>
      <c r="V54" s="175"/>
    </row>
    <row r="55" spans="1:22" s="245" customFormat="1">
      <c r="A55" s="241"/>
      <c r="B55" s="242" t="s">
        <v>326</v>
      </c>
      <c r="C55" s="243"/>
      <c r="D55" s="244"/>
      <c r="F55" s="248">
        <v>1</v>
      </c>
      <c r="G55" s="295"/>
      <c r="H55" s="249"/>
      <c r="I55" s="250"/>
      <c r="J55" s="250"/>
      <c r="K55" s="250"/>
      <c r="L55" s="250"/>
      <c r="M55" s="250"/>
      <c r="N55" s="250"/>
      <c r="O55" s="250"/>
      <c r="P55" s="250"/>
      <c r="Q55" s="380"/>
      <c r="R55" s="380"/>
      <c r="S55" s="380"/>
      <c r="T55" s="380"/>
      <c r="U55" s="380"/>
      <c r="V55" s="256"/>
    </row>
    <row r="56" spans="1:22" s="245" customFormat="1">
      <c r="A56" s="241"/>
      <c r="B56" s="242" t="s">
        <v>3134</v>
      </c>
      <c r="C56" s="243"/>
      <c r="D56" s="244"/>
      <c r="F56" s="248">
        <f>SUM(H56:V56)</f>
        <v>1</v>
      </c>
      <c r="G56" s="295"/>
      <c r="H56" s="249">
        <v>1</v>
      </c>
      <c r="I56" s="250"/>
      <c r="J56" s="250"/>
      <c r="K56" s="250"/>
      <c r="L56" s="250"/>
      <c r="M56" s="250"/>
      <c r="N56" s="250"/>
      <c r="O56" s="250"/>
      <c r="P56" s="250"/>
      <c r="Q56" s="380"/>
      <c r="R56" s="380"/>
      <c r="S56" s="380"/>
      <c r="T56" s="380"/>
      <c r="U56" s="380"/>
      <c r="V56" s="256"/>
    </row>
    <row r="57" spans="1:22" s="245" customFormat="1">
      <c r="A57" s="241"/>
      <c r="B57" s="242" t="s">
        <v>175</v>
      </c>
      <c r="C57" s="243"/>
      <c r="D57" s="244"/>
      <c r="F57" s="248">
        <f>SUM(H57:V57)</f>
        <v>1</v>
      </c>
      <c r="G57" s="295"/>
      <c r="H57" s="252">
        <v>1</v>
      </c>
      <c r="I57" s="250"/>
      <c r="J57" s="250"/>
      <c r="K57" s="250"/>
      <c r="L57" s="250"/>
      <c r="M57" s="250"/>
      <c r="N57" s="250"/>
      <c r="O57" s="250"/>
      <c r="P57" s="250"/>
      <c r="Q57" s="380"/>
      <c r="R57" s="380"/>
      <c r="S57" s="380"/>
      <c r="T57" s="380"/>
      <c r="U57" s="380"/>
      <c r="V57" s="256"/>
    </row>
    <row r="58" spans="1:22" s="245" customFormat="1">
      <c r="A58" s="241"/>
      <c r="B58" s="242" t="s">
        <v>179</v>
      </c>
      <c r="C58" s="243"/>
      <c r="D58" s="244"/>
      <c r="F58" s="246"/>
      <c r="G58" s="296"/>
      <c r="H58" s="252" t="s">
        <v>2603</v>
      </c>
      <c r="I58" s="250"/>
      <c r="J58" s="250"/>
      <c r="K58" s="250"/>
      <c r="L58" s="250"/>
      <c r="M58" s="250"/>
      <c r="N58" s="250"/>
      <c r="O58" s="250"/>
      <c r="P58" s="250"/>
      <c r="Q58" s="380"/>
      <c r="R58" s="380"/>
      <c r="S58" s="380"/>
      <c r="T58" s="380"/>
      <c r="U58" s="380"/>
      <c r="V58" s="256"/>
    </row>
    <row r="59" spans="1:22" s="245" customFormat="1">
      <c r="A59" s="241"/>
      <c r="B59" s="242" t="s">
        <v>3020</v>
      </c>
      <c r="C59" s="243"/>
      <c r="D59" s="244"/>
      <c r="F59" s="246"/>
      <c r="G59" s="296"/>
      <c r="H59" s="249">
        <v>166</v>
      </c>
      <c r="I59" s="250"/>
      <c r="J59" s="250"/>
      <c r="K59" s="250"/>
      <c r="L59" s="250"/>
      <c r="M59" s="250"/>
      <c r="N59" s="250"/>
      <c r="O59" s="250"/>
      <c r="P59" s="250"/>
      <c r="Q59" s="380"/>
      <c r="R59" s="380"/>
      <c r="S59" s="380"/>
      <c r="T59" s="380"/>
      <c r="U59" s="380"/>
      <c r="V59" s="256"/>
    </row>
    <row r="60" spans="1:22" s="245" customFormat="1">
      <c r="A60" s="241"/>
      <c r="B60" s="242" t="s">
        <v>178</v>
      </c>
      <c r="C60" s="243"/>
      <c r="D60" s="244"/>
      <c r="F60" s="248">
        <f>SUM(H60:V60)</f>
        <v>1</v>
      </c>
      <c r="G60" s="294">
        <f>F60/F55</f>
        <v>1</v>
      </c>
      <c r="H60" s="249">
        <v>1</v>
      </c>
      <c r="I60" s="250"/>
      <c r="J60" s="250"/>
      <c r="K60" s="250"/>
      <c r="L60" s="250"/>
      <c r="M60" s="250"/>
      <c r="N60" s="250"/>
      <c r="O60" s="250"/>
      <c r="P60" s="250"/>
      <c r="Q60" s="380"/>
      <c r="R60" s="380"/>
      <c r="S60" s="380"/>
      <c r="T60" s="380"/>
      <c r="U60" s="380"/>
      <c r="V60" s="256"/>
    </row>
    <row r="61" spans="1:22" s="245" customFormat="1">
      <c r="A61" s="241"/>
      <c r="B61" s="242" t="s">
        <v>3021</v>
      </c>
      <c r="C61" s="243"/>
      <c r="D61" s="244"/>
      <c r="F61" s="246"/>
      <c r="G61" s="296"/>
      <c r="H61" s="249"/>
      <c r="I61" s="250"/>
      <c r="J61" s="250"/>
      <c r="K61" s="250"/>
      <c r="L61" s="250"/>
      <c r="M61" s="250"/>
      <c r="N61" s="250"/>
      <c r="O61" s="250"/>
      <c r="P61" s="250"/>
      <c r="Q61" s="380"/>
      <c r="R61" s="380"/>
      <c r="S61" s="380"/>
      <c r="T61" s="380"/>
      <c r="U61" s="380"/>
      <c r="V61" s="256"/>
    </row>
    <row r="62" spans="1:22" s="163" customFormat="1">
      <c r="A62" s="174"/>
      <c r="B62" s="247" t="s">
        <v>100</v>
      </c>
      <c r="C62" s="165"/>
      <c r="D62" s="176"/>
      <c r="F62" s="170"/>
      <c r="G62" s="297"/>
      <c r="H62" s="174"/>
      <c r="I62" s="166"/>
      <c r="J62" s="166"/>
      <c r="K62" s="166"/>
      <c r="L62" s="166"/>
      <c r="M62" s="166"/>
      <c r="N62" s="166"/>
      <c r="O62" s="166"/>
      <c r="P62" s="166"/>
      <c r="Q62" s="291"/>
      <c r="R62" s="291"/>
      <c r="S62" s="291"/>
      <c r="T62" s="291"/>
      <c r="U62" s="291"/>
      <c r="V62" s="175"/>
    </row>
    <row r="63" spans="1:22" s="245" customFormat="1">
      <c r="A63" s="241"/>
      <c r="B63" s="242" t="s">
        <v>326</v>
      </c>
      <c r="C63" s="243"/>
      <c r="D63" s="244"/>
      <c r="F63" s="248">
        <v>1</v>
      </c>
      <c r="G63" s="295"/>
      <c r="H63" s="249"/>
      <c r="I63" s="250"/>
      <c r="J63" s="250"/>
      <c r="K63" s="250"/>
      <c r="L63" s="250"/>
      <c r="M63" s="250"/>
      <c r="N63" s="250"/>
      <c r="O63" s="250"/>
      <c r="P63" s="250"/>
      <c r="Q63" s="380"/>
      <c r="R63" s="380"/>
      <c r="S63" s="380"/>
      <c r="T63" s="380"/>
      <c r="U63" s="380"/>
      <c r="V63" s="256"/>
    </row>
    <row r="64" spans="1:22" s="245" customFormat="1">
      <c r="A64" s="241"/>
      <c r="B64" s="242" t="s">
        <v>3134</v>
      </c>
      <c r="C64" s="243"/>
      <c r="D64" s="244"/>
      <c r="F64" s="248">
        <f>SUM(H64:V64)</f>
        <v>1</v>
      </c>
      <c r="G64" s="295"/>
      <c r="H64" s="249">
        <v>1</v>
      </c>
      <c r="I64" s="250"/>
      <c r="J64" s="250"/>
      <c r="K64" s="250"/>
      <c r="L64" s="250"/>
      <c r="M64" s="250"/>
      <c r="N64" s="250"/>
      <c r="O64" s="250"/>
      <c r="P64" s="250"/>
      <c r="Q64" s="380"/>
      <c r="R64" s="380"/>
      <c r="S64" s="380"/>
      <c r="T64" s="380"/>
      <c r="U64" s="380"/>
      <c r="V64" s="256"/>
    </row>
    <row r="65" spans="1:22" s="245" customFormat="1">
      <c r="A65" s="241"/>
      <c r="B65" s="242" t="s">
        <v>175</v>
      </c>
      <c r="C65" s="243"/>
      <c r="D65" s="244"/>
      <c r="F65" s="248">
        <f>SUM(H65:V65)</f>
        <v>1</v>
      </c>
      <c r="G65" s="295"/>
      <c r="H65" s="252">
        <v>1</v>
      </c>
      <c r="I65" s="250"/>
      <c r="J65" s="250"/>
      <c r="K65" s="250"/>
      <c r="L65" s="250"/>
      <c r="M65" s="250"/>
      <c r="N65" s="250"/>
      <c r="O65" s="250"/>
      <c r="P65" s="250"/>
      <c r="Q65" s="380"/>
      <c r="R65" s="380"/>
      <c r="S65" s="380"/>
      <c r="T65" s="380"/>
      <c r="U65" s="380"/>
      <c r="V65" s="256"/>
    </row>
    <row r="66" spans="1:22" s="245" customFormat="1">
      <c r="A66" s="241"/>
      <c r="B66" s="242" t="s">
        <v>179</v>
      </c>
      <c r="C66" s="243"/>
      <c r="D66" s="244"/>
      <c r="F66" s="246"/>
      <c r="G66" s="296"/>
      <c r="H66" s="249">
        <v>1828</v>
      </c>
      <c r="I66" s="250"/>
      <c r="J66" s="250"/>
      <c r="K66" s="250"/>
      <c r="L66" s="250"/>
      <c r="M66" s="250"/>
      <c r="N66" s="250"/>
      <c r="O66" s="250"/>
      <c r="P66" s="250"/>
      <c r="Q66" s="380"/>
      <c r="R66" s="380"/>
      <c r="S66" s="380"/>
      <c r="T66" s="380"/>
      <c r="U66" s="380"/>
      <c r="V66" s="256"/>
    </row>
    <row r="67" spans="1:22" s="245" customFormat="1">
      <c r="A67" s="241"/>
      <c r="B67" s="242" t="s">
        <v>3020</v>
      </c>
      <c r="C67" s="243"/>
      <c r="D67" s="244"/>
      <c r="F67" s="246"/>
      <c r="G67" s="296"/>
      <c r="H67" s="249">
        <v>166</v>
      </c>
      <c r="I67" s="250"/>
      <c r="J67" s="250"/>
      <c r="K67" s="250"/>
      <c r="L67" s="250"/>
      <c r="M67" s="250"/>
      <c r="N67" s="250"/>
      <c r="O67" s="250"/>
      <c r="P67" s="250"/>
      <c r="Q67" s="380"/>
      <c r="R67" s="380"/>
      <c r="S67" s="380"/>
      <c r="T67" s="380"/>
      <c r="U67" s="380"/>
      <c r="V67" s="256"/>
    </row>
    <row r="68" spans="1:22" s="245" customFormat="1">
      <c r="A68" s="241"/>
      <c r="B68" s="242" t="s">
        <v>178</v>
      </c>
      <c r="C68" s="243"/>
      <c r="D68" s="244"/>
      <c r="F68" s="248">
        <f>SUM(H68:V68)</f>
        <v>1</v>
      </c>
      <c r="G68" s="294">
        <f>F68/F63</f>
        <v>1</v>
      </c>
      <c r="H68" s="249">
        <v>1</v>
      </c>
      <c r="I68" s="250"/>
      <c r="J68" s="250"/>
      <c r="K68" s="250"/>
      <c r="L68" s="250"/>
      <c r="M68" s="250"/>
      <c r="N68" s="250"/>
      <c r="O68" s="250"/>
      <c r="P68" s="250"/>
      <c r="Q68" s="380"/>
      <c r="R68" s="380"/>
      <c r="S68" s="380"/>
      <c r="T68" s="380"/>
      <c r="U68" s="380"/>
      <c r="V68" s="256"/>
    </row>
    <row r="69" spans="1:22" s="245" customFormat="1">
      <c r="A69" s="241"/>
      <c r="B69" s="242" t="s">
        <v>3021</v>
      </c>
      <c r="C69" s="243"/>
      <c r="D69" s="244"/>
      <c r="F69" s="246"/>
      <c r="G69" s="296"/>
      <c r="H69" s="249"/>
      <c r="I69" s="250"/>
      <c r="J69" s="250"/>
      <c r="K69" s="250"/>
      <c r="L69" s="250"/>
      <c r="M69" s="250"/>
      <c r="N69" s="250"/>
      <c r="O69" s="250"/>
      <c r="P69" s="250"/>
      <c r="Q69" s="380"/>
      <c r="R69" s="380"/>
      <c r="S69" s="380"/>
      <c r="T69" s="380"/>
      <c r="U69" s="380"/>
      <c r="V69" s="256"/>
    </row>
    <row r="70" spans="1:22" s="163" customFormat="1">
      <c r="A70" s="174"/>
      <c r="B70" s="247" t="s">
        <v>101</v>
      </c>
      <c r="C70" s="165"/>
      <c r="D70" s="176"/>
      <c r="F70" s="170"/>
      <c r="G70" s="297"/>
      <c r="H70" s="174"/>
      <c r="I70" s="166"/>
      <c r="J70" s="166"/>
      <c r="K70" s="166"/>
      <c r="L70" s="166"/>
      <c r="M70" s="166"/>
      <c r="N70" s="166"/>
      <c r="O70" s="166"/>
      <c r="P70" s="166"/>
      <c r="Q70" s="291"/>
      <c r="R70" s="291"/>
      <c r="S70" s="291"/>
      <c r="T70" s="291"/>
      <c r="U70" s="291"/>
      <c r="V70" s="175"/>
    </row>
    <row r="71" spans="1:22" s="245" customFormat="1">
      <c r="A71" s="241"/>
      <c r="B71" s="242" t="s">
        <v>326</v>
      </c>
      <c r="C71" s="243"/>
      <c r="D71" s="244"/>
      <c r="F71" s="248">
        <v>1</v>
      </c>
      <c r="G71" s="295"/>
      <c r="H71" s="249"/>
      <c r="I71" s="250"/>
      <c r="J71" s="250"/>
      <c r="K71" s="250"/>
      <c r="L71" s="250"/>
      <c r="M71" s="250"/>
      <c r="N71" s="250"/>
      <c r="O71" s="250"/>
      <c r="P71" s="250"/>
      <c r="Q71" s="380"/>
      <c r="R71" s="380"/>
      <c r="S71" s="380"/>
      <c r="T71" s="380"/>
      <c r="U71" s="380"/>
      <c r="V71" s="256"/>
    </row>
    <row r="72" spans="1:22" s="245" customFormat="1">
      <c r="A72" s="241"/>
      <c r="B72" s="242" t="s">
        <v>3134</v>
      </c>
      <c r="C72" s="243"/>
      <c r="D72" s="244"/>
      <c r="F72" s="248">
        <f>SUM(H72:V72)</f>
        <v>1</v>
      </c>
      <c r="G72" s="295"/>
      <c r="H72" s="249">
        <v>1</v>
      </c>
      <c r="I72" s="250"/>
      <c r="J72" s="250"/>
      <c r="K72" s="250"/>
      <c r="L72" s="250"/>
      <c r="M72" s="250"/>
      <c r="N72" s="250"/>
      <c r="O72" s="250"/>
      <c r="P72" s="250"/>
      <c r="Q72" s="380"/>
      <c r="R72" s="380"/>
      <c r="S72" s="380"/>
      <c r="T72" s="380"/>
      <c r="U72" s="380"/>
      <c r="V72" s="256"/>
    </row>
    <row r="73" spans="1:22" s="245" customFormat="1">
      <c r="A73" s="241"/>
      <c r="B73" s="242" t="s">
        <v>175</v>
      </c>
      <c r="C73" s="243"/>
      <c r="D73" s="244"/>
      <c r="F73" s="248">
        <f>SUM(H73:V73)</f>
        <v>1</v>
      </c>
      <c r="G73" s="295"/>
      <c r="H73" s="252">
        <v>1</v>
      </c>
      <c r="I73" s="250"/>
      <c r="J73" s="250"/>
      <c r="K73" s="250"/>
      <c r="L73" s="250"/>
      <c r="M73" s="250"/>
      <c r="N73" s="250"/>
      <c r="O73" s="250"/>
      <c r="P73" s="250"/>
      <c r="Q73" s="380"/>
      <c r="R73" s="380"/>
      <c r="S73" s="380"/>
      <c r="T73" s="380"/>
      <c r="U73" s="380"/>
      <c r="V73" s="256"/>
    </row>
    <row r="74" spans="1:22" s="245" customFormat="1">
      <c r="A74" s="241"/>
      <c r="B74" s="242" t="s">
        <v>179</v>
      </c>
      <c r="C74" s="243"/>
      <c r="D74" s="244"/>
      <c r="F74" s="246"/>
      <c r="G74" s="296"/>
      <c r="H74" s="249">
        <v>1828</v>
      </c>
      <c r="I74" s="250"/>
      <c r="J74" s="250"/>
      <c r="K74" s="250"/>
      <c r="L74" s="250"/>
      <c r="M74" s="250"/>
      <c r="N74" s="250"/>
      <c r="O74" s="250"/>
      <c r="P74" s="250"/>
      <c r="Q74" s="380"/>
      <c r="R74" s="380"/>
      <c r="S74" s="380"/>
      <c r="T74" s="380"/>
      <c r="U74" s="380"/>
      <c r="V74" s="256"/>
    </row>
    <row r="75" spans="1:22" s="245" customFormat="1">
      <c r="A75" s="241"/>
      <c r="B75" s="242" t="s">
        <v>3020</v>
      </c>
      <c r="C75" s="243"/>
      <c r="D75" s="244"/>
      <c r="F75" s="246"/>
      <c r="G75" s="296"/>
      <c r="H75" s="249">
        <v>166</v>
      </c>
      <c r="I75" s="250"/>
      <c r="J75" s="250"/>
      <c r="K75" s="250"/>
      <c r="L75" s="250"/>
      <c r="M75" s="250"/>
      <c r="N75" s="250"/>
      <c r="O75" s="250"/>
      <c r="P75" s="250"/>
      <c r="Q75" s="380"/>
      <c r="R75" s="380"/>
      <c r="S75" s="380"/>
      <c r="T75" s="380"/>
      <c r="U75" s="380"/>
      <c r="V75" s="256"/>
    </row>
    <row r="76" spans="1:22" s="245" customFormat="1">
      <c r="A76" s="241"/>
      <c r="B76" s="242" t="s">
        <v>178</v>
      </c>
      <c r="C76" s="243"/>
      <c r="D76" s="244"/>
      <c r="F76" s="248">
        <f>SUM(H76:V76)</f>
        <v>1</v>
      </c>
      <c r="G76" s="294">
        <f>F76/F71</f>
        <v>1</v>
      </c>
      <c r="H76" s="249">
        <v>1</v>
      </c>
      <c r="I76" s="250"/>
      <c r="J76" s="250"/>
      <c r="K76" s="250"/>
      <c r="L76" s="250"/>
      <c r="M76" s="250"/>
      <c r="N76" s="250"/>
      <c r="O76" s="250"/>
      <c r="P76" s="250"/>
      <c r="Q76" s="380"/>
      <c r="R76" s="380"/>
      <c r="S76" s="380"/>
      <c r="T76" s="380"/>
      <c r="U76" s="380"/>
      <c r="V76" s="256"/>
    </row>
    <row r="77" spans="1:22" s="245" customFormat="1">
      <c r="A77" s="241"/>
      <c r="B77" s="242" t="s">
        <v>3021</v>
      </c>
      <c r="C77" s="243"/>
      <c r="D77" s="244"/>
      <c r="F77" s="246"/>
      <c r="G77" s="296"/>
      <c r="H77" s="249"/>
      <c r="I77" s="250"/>
      <c r="J77" s="250"/>
      <c r="K77" s="250"/>
      <c r="L77" s="250"/>
      <c r="M77" s="250"/>
      <c r="N77" s="250"/>
      <c r="O77" s="250"/>
      <c r="P77" s="250"/>
      <c r="Q77" s="380"/>
      <c r="R77" s="380"/>
      <c r="S77" s="380"/>
      <c r="T77" s="380"/>
      <c r="U77" s="380"/>
      <c r="V77" s="256"/>
    </row>
    <row r="78" spans="1:22" s="163" customFormat="1">
      <c r="A78" s="174"/>
      <c r="B78" s="247" t="s">
        <v>102</v>
      </c>
      <c r="C78" s="165"/>
      <c r="D78" s="176"/>
      <c r="F78" s="170"/>
      <c r="G78" s="297"/>
      <c r="H78" s="174"/>
      <c r="I78" s="166"/>
      <c r="J78" s="166"/>
      <c r="K78" s="166"/>
      <c r="L78" s="166"/>
      <c r="M78" s="166"/>
      <c r="N78" s="166"/>
      <c r="O78" s="166"/>
      <c r="P78" s="166"/>
      <c r="Q78" s="291"/>
      <c r="R78" s="291"/>
      <c r="S78" s="291"/>
      <c r="T78" s="291"/>
      <c r="U78" s="291"/>
      <c r="V78" s="175"/>
    </row>
    <row r="79" spans="1:22" s="245" customFormat="1">
      <c r="A79" s="241"/>
      <c r="B79" s="242" t="s">
        <v>326</v>
      </c>
      <c r="C79" s="243"/>
      <c r="D79" s="244"/>
      <c r="F79" s="248">
        <v>1</v>
      </c>
      <c r="G79" s="295"/>
      <c r="H79" s="249"/>
      <c r="I79" s="250"/>
      <c r="J79" s="250"/>
      <c r="K79" s="250"/>
      <c r="L79" s="250"/>
      <c r="M79" s="250"/>
      <c r="N79" s="250"/>
      <c r="O79" s="250"/>
      <c r="P79" s="250"/>
      <c r="Q79" s="380"/>
      <c r="R79" s="380"/>
      <c r="S79" s="380"/>
      <c r="T79" s="380"/>
      <c r="U79" s="380"/>
      <c r="V79" s="256"/>
    </row>
    <row r="80" spans="1:22" s="245" customFormat="1">
      <c r="A80" s="241"/>
      <c r="B80" s="242" t="s">
        <v>3134</v>
      </c>
      <c r="C80" s="243"/>
      <c r="D80" s="244"/>
      <c r="F80" s="248">
        <f>SUM(H80:V80)</f>
        <v>1</v>
      </c>
      <c r="G80" s="295"/>
      <c r="H80" s="249">
        <v>1</v>
      </c>
      <c r="I80" s="250"/>
      <c r="J80" s="250"/>
      <c r="K80" s="250"/>
      <c r="L80" s="250"/>
      <c r="M80" s="250"/>
      <c r="N80" s="250"/>
      <c r="O80" s="250"/>
      <c r="P80" s="250"/>
      <c r="Q80" s="380"/>
      <c r="R80" s="380"/>
      <c r="S80" s="380"/>
      <c r="T80" s="380"/>
      <c r="U80" s="380"/>
      <c r="V80" s="256"/>
    </row>
    <row r="81" spans="1:22" s="245" customFormat="1">
      <c r="A81" s="241"/>
      <c r="B81" s="242" t="s">
        <v>175</v>
      </c>
      <c r="C81" s="243"/>
      <c r="D81" s="244"/>
      <c r="F81" s="248">
        <f>SUM(H81:V81)</f>
        <v>1</v>
      </c>
      <c r="G81" s="295"/>
      <c r="H81" s="249">
        <v>1</v>
      </c>
      <c r="I81" s="250"/>
      <c r="J81" s="250"/>
      <c r="K81" s="250"/>
      <c r="L81" s="250"/>
      <c r="M81" s="250"/>
      <c r="N81" s="250"/>
      <c r="O81" s="250"/>
      <c r="P81" s="250"/>
      <c r="Q81" s="380"/>
      <c r="R81" s="380"/>
      <c r="S81" s="380"/>
      <c r="T81" s="380"/>
      <c r="U81" s="380"/>
      <c r="V81" s="256"/>
    </row>
    <row r="82" spans="1:22" s="245" customFormat="1">
      <c r="A82" s="241"/>
      <c r="B82" s="242" t="s">
        <v>179</v>
      </c>
      <c r="C82" s="243"/>
      <c r="D82" s="244"/>
      <c r="F82" s="246"/>
      <c r="G82" s="296"/>
      <c r="H82" s="252" t="s">
        <v>2601</v>
      </c>
      <c r="I82" s="250"/>
      <c r="J82" s="250"/>
      <c r="K82" s="250"/>
      <c r="L82" s="250"/>
      <c r="M82" s="250"/>
      <c r="N82" s="250"/>
      <c r="O82" s="250"/>
      <c r="P82" s="250"/>
      <c r="Q82" s="380"/>
      <c r="R82" s="380"/>
      <c r="S82" s="380"/>
      <c r="T82" s="380"/>
      <c r="U82" s="380"/>
      <c r="V82" s="256"/>
    </row>
    <row r="83" spans="1:22" s="245" customFormat="1">
      <c r="A83" s="241"/>
      <c r="B83" s="242" t="s">
        <v>3020</v>
      </c>
      <c r="C83" s="243"/>
      <c r="D83" s="244"/>
      <c r="F83" s="246"/>
      <c r="G83" s="296"/>
      <c r="H83" s="252" t="s">
        <v>2705</v>
      </c>
      <c r="I83" s="250"/>
      <c r="J83" s="250"/>
      <c r="K83" s="250"/>
      <c r="L83" s="250"/>
      <c r="M83" s="250"/>
      <c r="N83" s="250"/>
      <c r="O83" s="250"/>
      <c r="P83" s="250"/>
      <c r="Q83" s="380"/>
      <c r="R83" s="380"/>
      <c r="S83" s="380"/>
      <c r="T83" s="380"/>
      <c r="U83" s="380"/>
      <c r="V83" s="256"/>
    </row>
    <row r="84" spans="1:22" s="245" customFormat="1">
      <c r="A84" s="241"/>
      <c r="B84" s="242" t="s">
        <v>178</v>
      </c>
      <c r="C84" s="243"/>
      <c r="D84" s="244"/>
      <c r="F84" s="248">
        <f>SUM(H84:V84)</f>
        <v>1</v>
      </c>
      <c r="G84" s="294">
        <f>F84/F79</f>
        <v>1</v>
      </c>
      <c r="H84" s="249">
        <v>1</v>
      </c>
      <c r="I84" s="250"/>
      <c r="J84" s="250"/>
      <c r="K84" s="250"/>
      <c r="L84" s="250"/>
      <c r="M84" s="250"/>
      <c r="N84" s="250"/>
      <c r="O84" s="250"/>
      <c r="P84" s="250"/>
      <c r="Q84" s="380"/>
      <c r="R84" s="380"/>
      <c r="S84" s="380"/>
      <c r="T84" s="380"/>
      <c r="U84" s="380"/>
      <c r="V84" s="256"/>
    </row>
    <row r="85" spans="1:22" s="245" customFormat="1">
      <c r="A85" s="241"/>
      <c r="B85" s="242" t="s">
        <v>3021</v>
      </c>
      <c r="C85" s="243"/>
      <c r="D85" s="244"/>
      <c r="F85" s="246"/>
      <c r="G85" s="296"/>
      <c r="H85" s="249"/>
      <c r="I85" s="250"/>
      <c r="J85" s="250"/>
      <c r="K85" s="250"/>
      <c r="L85" s="250"/>
      <c r="M85" s="250"/>
      <c r="N85" s="250"/>
      <c r="O85" s="250"/>
      <c r="P85" s="250"/>
      <c r="Q85" s="380"/>
      <c r="R85" s="380"/>
      <c r="S85" s="380"/>
      <c r="T85" s="380"/>
      <c r="U85" s="380"/>
      <c r="V85" s="256"/>
    </row>
    <row r="86" spans="1:22" s="163" customFormat="1">
      <c r="A86" s="174"/>
      <c r="B86" s="247" t="s">
        <v>103</v>
      </c>
      <c r="C86" s="165"/>
      <c r="D86" s="176"/>
      <c r="F86" s="170"/>
      <c r="G86" s="297"/>
      <c r="H86" s="174"/>
      <c r="I86" s="166"/>
      <c r="J86" s="166"/>
      <c r="K86" s="166"/>
      <c r="L86" s="166"/>
      <c r="M86" s="166"/>
      <c r="N86" s="166"/>
      <c r="O86" s="166"/>
      <c r="P86" s="166"/>
      <c r="Q86" s="291"/>
      <c r="R86" s="291"/>
      <c r="S86" s="291"/>
      <c r="T86" s="291"/>
      <c r="U86" s="291"/>
      <c r="V86" s="175"/>
    </row>
    <row r="87" spans="1:22" s="245" customFormat="1">
      <c r="A87" s="241"/>
      <c r="B87" s="242" t="s">
        <v>326</v>
      </c>
      <c r="C87" s="243"/>
      <c r="D87" s="244"/>
      <c r="F87" s="248">
        <v>1</v>
      </c>
      <c r="G87" s="295"/>
      <c r="H87" s="249"/>
      <c r="I87" s="250"/>
      <c r="J87" s="250"/>
      <c r="K87" s="250"/>
      <c r="L87" s="250"/>
      <c r="M87" s="250"/>
      <c r="N87" s="250"/>
      <c r="O87" s="250"/>
      <c r="P87" s="250"/>
      <c r="Q87" s="380"/>
      <c r="R87" s="380"/>
      <c r="S87" s="380"/>
      <c r="T87" s="380"/>
      <c r="U87" s="380"/>
      <c r="V87" s="256"/>
    </row>
    <row r="88" spans="1:22" s="245" customFormat="1">
      <c r="A88" s="241"/>
      <c r="B88" s="242" t="s">
        <v>3134</v>
      </c>
      <c r="C88" s="243"/>
      <c r="D88" s="244"/>
      <c r="F88" s="248">
        <f>SUM(H88:V88)</f>
        <v>1</v>
      </c>
      <c r="G88" s="295"/>
      <c r="H88" s="249">
        <v>1</v>
      </c>
      <c r="I88" s="250"/>
      <c r="J88" s="250"/>
      <c r="K88" s="250"/>
      <c r="L88" s="250"/>
      <c r="M88" s="250"/>
      <c r="N88" s="250"/>
      <c r="O88" s="250"/>
      <c r="P88" s="250"/>
      <c r="Q88" s="380"/>
      <c r="R88" s="380"/>
      <c r="S88" s="380"/>
      <c r="T88" s="380"/>
      <c r="U88" s="380"/>
      <c r="V88" s="256"/>
    </row>
    <row r="89" spans="1:22" s="245" customFormat="1">
      <c r="A89" s="241"/>
      <c r="B89" s="242" t="s">
        <v>175</v>
      </c>
      <c r="C89" s="243"/>
      <c r="D89" s="244"/>
      <c r="F89" s="248">
        <f>SUM(H89:V89)</f>
        <v>1</v>
      </c>
      <c r="G89" s="295"/>
      <c r="H89" s="249">
        <v>1</v>
      </c>
      <c r="I89" s="250"/>
      <c r="J89" s="250"/>
      <c r="K89" s="250"/>
      <c r="L89" s="250"/>
      <c r="M89" s="250"/>
      <c r="N89" s="250"/>
      <c r="O89" s="250"/>
      <c r="P89" s="250"/>
      <c r="Q89" s="380"/>
      <c r="R89" s="380"/>
      <c r="S89" s="380"/>
      <c r="T89" s="380"/>
      <c r="U89" s="380"/>
      <c r="V89" s="256"/>
    </row>
    <row r="90" spans="1:22" s="245" customFormat="1">
      <c r="A90" s="241"/>
      <c r="B90" s="242" t="s">
        <v>179</v>
      </c>
      <c r="C90" s="243"/>
      <c r="D90" s="244"/>
      <c r="F90" s="246"/>
      <c r="G90" s="296"/>
      <c r="H90" s="249">
        <v>1828</v>
      </c>
      <c r="I90" s="250"/>
      <c r="J90" s="250"/>
      <c r="K90" s="250"/>
      <c r="L90" s="250"/>
      <c r="M90" s="250"/>
      <c r="N90" s="250"/>
      <c r="O90" s="250"/>
      <c r="P90" s="250"/>
      <c r="Q90" s="380"/>
      <c r="R90" s="380"/>
      <c r="S90" s="380"/>
      <c r="T90" s="380"/>
      <c r="U90" s="380"/>
      <c r="V90" s="256"/>
    </row>
    <row r="91" spans="1:22" s="245" customFormat="1">
      <c r="A91" s="241"/>
      <c r="B91" s="242" t="s">
        <v>3020</v>
      </c>
      <c r="C91" s="243"/>
      <c r="D91" s="244"/>
      <c r="F91" s="246"/>
      <c r="G91" s="296"/>
      <c r="H91" s="249"/>
      <c r="I91" s="250"/>
      <c r="J91" s="250"/>
      <c r="K91" s="250"/>
      <c r="L91" s="250"/>
      <c r="M91" s="250"/>
      <c r="N91" s="250"/>
      <c r="O91" s="250"/>
      <c r="P91" s="250"/>
      <c r="Q91" s="380"/>
      <c r="R91" s="380"/>
      <c r="S91" s="380"/>
      <c r="T91" s="380"/>
      <c r="U91" s="380"/>
      <c r="V91" s="256"/>
    </row>
    <row r="92" spans="1:22" s="245" customFormat="1">
      <c r="A92" s="241"/>
      <c r="B92" s="242" t="s">
        <v>178</v>
      </c>
      <c r="C92" s="243"/>
      <c r="D92" s="244"/>
      <c r="F92" s="248">
        <f>SUM(H92:V92)</f>
        <v>1</v>
      </c>
      <c r="G92" s="294">
        <f>F92/F87</f>
        <v>1</v>
      </c>
      <c r="H92" s="249">
        <v>1</v>
      </c>
      <c r="I92" s="250"/>
      <c r="J92" s="250"/>
      <c r="K92" s="250"/>
      <c r="L92" s="250"/>
      <c r="M92" s="250"/>
      <c r="N92" s="250"/>
      <c r="O92" s="250"/>
      <c r="P92" s="250"/>
      <c r="Q92" s="380"/>
      <c r="R92" s="380"/>
      <c r="S92" s="380"/>
      <c r="T92" s="380"/>
      <c r="U92" s="380"/>
      <c r="V92" s="256"/>
    </row>
    <row r="93" spans="1:22" s="245" customFormat="1">
      <c r="A93" s="241"/>
      <c r="B93" s="242" t="s">
        <v>3021</v>
      </c>
      <c r="C93" s="243"/>
      <c r="D93" s="244"/>
      <c r="F93" s="246"/>
      <c r="G93" s="296"/>
      <c r="H93" s="249"/>
      <c r="I93" s="250"/>
      <c r="J93" s="250"/>
      <c r="K93" s="250"/>
      <c r="L93" s="250"/>
      <c r="M93" s="250"/>
      <c r="N93" s="250"/>
      <c r="O93" s="250"/>
      <c r="P93" s="250"/>
      <c r="Q93" s="380"/>
      <c r="R93" s="380"/>
      <c r="S93" s="380"/>
      <c r="T93" s="380"/>
      <c r="U93" s="380"/>
      <c r="V93" s="256"/>
    </row>
    <row r="94" spans="1:22" s="163" customFormat="1">
      <c r="A94" s="174"/>
      <c r="B94" s="247" t="s">
        <v>104</v>
      </c>
      <c r="C94" s="165"/>
      <c r="D94" s="176"/>
      <c r="F94" s="170"/>
      <c r="G94" s="297"/>
      <c r="H94" s="174"/>
      <c r="I94" s="166"/>
      <c r="J94" s="166"/>
      <c r="K94" s="166"/>
      <c r="L94" s="166"/>
      <c r="M94" s="166"/>
      <c r="N94" s="166"/>
      <c r="O94" s="166"/>
      <c r="P94" s="166"/>
      <c r="Q94" s="291"/>
      <c r="R94" s="291"/>
      <c r="S94" s="291"/>
      <c r="T94" s="291"/>
      <c r="U94" s="291"/>
      <c r="V94" s="175"/>
    </row>
    <row r="95" spans="1:22" s="245" customFormat="1">
      <c r="A95" s="241"/>
      <c r="B95" s="242" t="s">
        <v>326</v>
      </c>
      <c r="C95" s="243"/>
      <c r="D95" s="244"/>
      <c r="F95" s="248">
        <v>1</v>
      </c>
      <c r="G95" s="295"/>
      <c r="H95" s="249"/>
      <c r="I95" s="250"/>
      <c r="J95" s="250"/>
      <c r="K95" s="250"/>
      <c r="L95" s="250"/>
      <c r="M95" s="250"/>
      <c r="N95" s="250"/>
      <c r="O95" s="250"/>
      <c r="P95" s="250"/>
      <c r="Q95" s="380"/>
      <c r="R95" s="380"/>
      <c r="S95" s="380"/>
      <c r="T95" s="380"/>
      <c r="U95" s="380"/>
      <c r="V95" s="256"/>
    </row>
    <row r="96" spans="1:22" s="245" customFormat="1">
      <c r="A96" s="241"/>
      <c r="B96" s="242" t="s">
        <v>3134</v>
      </c>
      <c r="C96" s="243"/>
      <c r="D96" s="244"/>
      <c r="F96" s="248">
        <f>SUM(H96:V96)</f>
        <v>1</v>
      </c>
      <c r="G96" s="295"/>
      <c r="H96" s="249">
        <v>1</v>
      </c>
      <c r="I96" s="250"/>
      <c r="J96" s="250"/>
      <c r="K96" s="250"/>
      <c r="L96" s="250"/>
      <c r="M96" s="250"/>
      <c r="N96" s="250"/>
      <c r="O96" s="250"/>
      <c r="P96" s="250"/>
      <c r="Q96" s="380"/>
      <c r="R96" s="380"/>
      <c r="S96" s="380"/>
      <c r="T96" s="380"/>
      <c r="U96" s="380"/>
      <c r="V96" s="256"/>
    </row>
    <row r="97" spans="1:22" s="245" customFormat="1">
      <c r="A97" s="241"/>
      <c r="B97" s="242" t="s">
        <v>175</v>
      </c>
      <c r="C97" s="243"/>
      <c r="D97" s="244"/>
      <c r="F97" s="248">
        <f>SUM(H97:V97)</f>
        <v>1</v>
      </c>
      <c r="G97" s="295"/>
      <c r="H97" s="249">
        <v>1</v>
      </c>
      <c r="I97" s="250"/>
      <c r="J97" s="250"/>
      <c r="K97" s="250"/>
      <c r="L97" s="250"/>
      <c r="M97" s="250"/>
      <c r="N97" s="250"/>
      <c r="O97" s="250"/>
      <c r="P97" s="250"/>
      <c r="Q97" s="380"/>
      <c r="R97" s="380"/>
      <c r="S97" s="380"/>
      <c r="T97" s="380"/>
      <c r="U97" s="380"/>
      <c r="V97" s="256"/>
    </row>
    <row r="98" spans="1:22" s="245" customFormat="1">
      <c r="A98" s="241"/>
      <c r="B98" s="242" t="s">
        <v>179</v>
      </c>
      <c r="C98" s="243"/>
      <c r="D98" s="244"/>
      <c r="F98" s="246"/>
      <c r="G98" s="296"/>
      <c r="H98" s="249">
        <v>2019</v>
      </c>
      <c r="I98" s="250"/>
      <c r="J98" s="250"/>
      <c r="K98" s="250"/>
      <c r="L98" s="250"/>
      <c r="M98" s="250"/>
      <c r="N98" s="250"/>
      <c r="O98" s="250"/>
      <c r="P98" s="250"/>
      <c r="Q98" s="380"/>
      <c r="R98" s="380"/>
      <c r="S98" s="380"/>
      <c r="T98" s="380"/>
      <c r="U98" s="380"/>
      <c r="V98" s="256"/>
    </row>
    <row r="99" spans="1:22" s="245" customFormat="1">
      <c r="A99" s="241"/>
      <c r="B99" s="242" t="s">
        <v>3020</v>
      </c>
      <c r="C99" s="243"/>
      <c r="D99" s="244"/>
      <c r="F99" s="246"/>
      <c r="G99" s="296"/>
      <c r="H99" s="249">
        <v>185</v>
      </c>
      <c r="I99" s="250"/>
      <c r="J99" s="250"/>
      <c r="K99" s="250"/>
      <c r="L99" s="250"/>
      <c r="M99" s="250"/>
      <c r="N99" s="250"/>
      <c r="O99" s="250"/>
      <c r="P99" s="250"/>
      <c r="Q99" s="380"/>
      <c r="R99" s="380"/>
      <c r="S99" s="380"/>
      <c r="T99" s="380"/>
      <c r="U99" s="380"/>
      <c r="V99" s="256"/>
    </row>
    <row r="100" spans="1:22" s="245" customFormat="1">
      <c r="A100" s="241"/>
      <c r="B100" s="242" t="s">
        <v>178</v>
      </c>
      <c r="C100" s="243"/>
      <c r="D100" s="244"/>
      <c r="F100" s="248">
        <f>SUM(H100:V100)</f>
        <v>1</v>
      </c>
      <c r="G100" s="294">
        <f>F100/F95</f>
        <v>1</v>
      </c>
      <c r="H100" s="249">
        <v>1</v>
      </c>
      <c r="I100" s="250"/>
      <c r="J100" s="250"/>
      <c r="K100" s="250"/>
      <c r="L100" s="250"/>
      <c r="M100" s="250"/>
      <c r="N100" s="250"/>
      <c r="O100" s="250"/>
      <c r="P100" s="250"/>
      <c r="Q100" s="380"/>
      <c r="R100" s="380"/>
      <c r="S100" s="380"/>
      <c r="T100" s="380"/>
      <c r="U100" s="380"/>
      <c r="V100" s="256"/>
    </row>
    <row r="101" spans="1:22" s="245" customFormat="1">
      <c r="A101" s="241"/>
      <c r="B101" s="242" t="s">
        <v>3021</v>
      </c>
      <c r="C101" s="243"/>
      <c r="D101" s="244"/>
      <c r="F101" s="246"/>
      <c r="G101" s="296"/>
      <c r="H101" s="249"/>
      <c r="I101" s="250"/>
      <c r="J101" s="250"/>
      <c r="K101" s="250"/>
      <c r="L101" s="250"/>
      <c r="M101" s="250"/>
      <c r="N101" s="250"/>
      <c r="O101" s="250"/>
      <c r="P101" s="250"/>
      <c r="Q101" s="380"/>
      <c r="R101" s="380"/>
      <c r="S101" s="380"/>
      <c r="T101" s="380"/>
      <c r="U101" s="380"/>
      <c r="V101" s="256"/>
    </row>
    <row r="102" spans="1:22" s="163" customFormat="1">
      <c r="A102" s="174"/>
      <c r="B102" s="247" t="s">
        <v>105</v>
      </c>
      <c r="C102" s="165"/>
      <c r="D102" s="176"/>
      <c r="F102" s="170"/>
      <c r="G102" s="297"/>
      <c r="H102" s="174"/>
      <c r="I102" s="166"/>
      <c r="J102" s="166"/>
      <c r="K102" s="166"/>
      <c r="L102" s="166"/>
      <c r="M102" s="166"/>
      <c r="N102" s="166"/>
      <c r="O102" s="166"/>
      <c r="P102" s="166"/>
      <c r="Q102" s="291"/>
      <c r="R102" s="291"/>
      <c r="S102" s="291"/>
      <c r="T102" s="291"/>
      <c r="U102" s="291"/>
      <c r="V102" s="175"/>
    </row>
    <row r="103" spans="1:22" s="245" customFormat="1">
      <c r="A103" s="241"/>
      <c r="B103" s="242" t="s">
        <v>326</v>
      </c>
      <c r="C103" s="243"/>
      <c r="D103" s="244"/>
      <c r="F103" s="248">
        <v>1</v>
      </c>
      <c r="G103" s="295"/>
      <c r="H103" s="249"/>
      <c r="I103" s="250"/>
      <c r="J103" s="250"/>
      <c r="K103" s="250"/>
      <c r="L103" s="250"/>
      <c r="M103" s="250"/>
      <c r="N103" s="250"/>
      <c r="O103" s="250"/>
      <c r="P103" s="250"/>
      <c r="Q103" s="380"/>
      <c r="R103" s="380"/>
      <c r="S103" s="380"/>
      <c r="T103" s="380"/>
      <c r="U103" s="380"/>
      <c r="V103" s="256"/>
    </row>
    <row r="104" spans="1:22" s="245" customFormat="1">
      <c r="A104" s="241"/>
      <c r="B104" s="242" t="s">
        <v>3134</v>
      </c>
      <c r="C104" s="243"/>
      <c r="D104" s="244"/>
      <c r="F104" s="248">
        <f>SUM(H104:V104)</f>
        <v>1</v>
      </c>
      <c r="G104" s="295"/>
      <c r="H104" s="249">
        <v>1</v>
      </c>
      <c r="I104" s="250"/>
      <c r="J104" s="250"/>
      <c r="K104" s="250"/>
      <c r="L104" s="250"/>
      <c r="M104" s="250"/>
      <c r="N104" s="250"/>
      <c r="O104" s="250"/>
      <c r="P104" s="250"/>
      <c r="Q104" s="380"/>
      <c r="R104" s="380"/>
      <c r="S104" s="380"/>
      <c r="T104" s="380"/>
      <c r="U104" s="380"/>
      <c r="V104" s="256"/>
    </row>
    <row r="105" spans="1:22" s="245" customFormat="1">
      <c r="A105" s="241"/>
      <c r="B105" s="242" t="s">
        <v>175</v>
      </c>
      <c r="C105" s="243"/>
      <c r="D105" s="244"/>
      <c r="F105" s="248">
        <f>SUM(H105:V105)</f>
        <v>1</v>
      </c>
      <c r="G105" s="295"/>
      <c r="H105" s="249">
        <v>1</v>
      </c>
      <c r="I105" s="250"/>
      <c r="J105" s="250"/>
      <c r="K105" s="250"/>
      <c r="L105" s="250"/>
      <c r="M105" s="250"/>
      <c r="N105" s="250"/>
      <c r="O105" s="250"/>
      <c r="P105" s="250"/>
      <c r="Q105" s="380"/>
      <c r="R105" s="380"/>
      <c r="S105" s="380"/>
      <c r="T105" s="380"/>
      <c r="U105" s="380"/>
      <c r="V105" s="256"/>
    </row>
    <row r="106" spans="1:22" s="245" customFormat="1">
      <c r="A106" s="241"/>
      <c r="B106" s="242" t="s">
        <v>179</v>
      </c>
      <c r="C106" s="243"/>
      <c r="D106" s="244"/>
      <c r="F106" s="246"/>
      <c r="G106" s="296"/>
      <c r="H106" s="249">
        <v>2019</v>
      </c>
      <c r="I106" s="250"/>
      <c r="J106" s="250"/>
      <c r="K106" s="250"/>
      <c r="L106" s="250"/>
      <c r="M106" s="250"/>
      <c r="N106" s="250"/>
      <c r="O106" s="250"/>
      <c r="P106" s="250"/>
      <c r="Q106" s="380"/>
      <c r="R106" s="380"/>
      <c r="S106" s="380"/>
      <c r="T106" s="380"/>
      <c r="U106" s="380"/>
      <c r="V106" s="256"/>
    </row>
    <row r="107" spans="1:22" s="245" customFormat="1">
      <c r="A107" s="241"/>
      <c r="B107" s="242" t="s">
        <v>3020</v>
      </c>
      <c r="C107" s="243"/>
      <c r="D107" s="244"/>
      <c r="F107" s="246"/>
      <c r="G107" s="296"/>
      <c r="H107" s="249">
        <v>185</v>
      </c>
      <c r="I107" s="250"/>
      <c r="J107" s="250"/>
      <c r="K107" s="250"/>
      <c r="L107" s="250"/>
      <c r="M107" s="250"/>
      <c r="N107" s="250"/>
      <c r="O107" s="250"/>
      <c r="P107" s="250"/>
      <c r="Q107" s="380"/>
      <c r="R107" s="380"/>
      <c r="S107" s="380"/>
      <c r="T107" s="380"/>
      <c r="U107" s="380"/>
      <c r="V107" s="256"/>
    </row>
    <row r="108" spans="1:22" s="245" customFormat="1">
      <c r="A108" s="241"/>
      <c r="B108" s="242" t="s">
        <v>178</v>
      </c>
      <c r="C108" s="243"/>
      <c r="D108" s="244"/>
      <c r="F108" s="248">
        <f>SUM(H108:V108)</f>
        <v>1</v>
      </c>
      <c r="G108" s="294">
        <f>F108/F103</f>
        <v>1</v>
      </c>
      <c r="H108" s="249">
        <v>1</v>
      </c>
      <c r="I108" s="250"/>
      <c r="J108" s="250"/>
      <c r="K108" s="250"/>
      <c r="L108" s="250"/>
      <c r="M108" s="250"/>
      <c r="N108" s="250"/>
      <c r="O108" s="250"/>
      <c r="P108" s="250"/>
      <c r="Q108" s="380"/>
      <c r="R108" s="380"/>
      <c r="S108" s="380"/>
      <c r="T108" s="380"/>
      <c r="U108" s="380"/>
      <c r="V108" s="256"/>
    </row>
    <row r="109" spans="1:22" s="245" customFormat="1">
      <c r="A109" s="241"/>
      <c r="B109" s="242" t="s">
        <v>3021</v>
      </c>
      <c r="C109" s="243"/>
      <c r="D109" s="244"/>
      <c r="F109" s="246"/>
      <c r="G109" s="296"/>
      <c r="H109" s="249"/>
      <c r="I109" s="250"/>
      <c r="J109" s="250"/>
      <c r="K109" s="250"/>
      <c r="L109" s="250"/>
      <c r="M109" s="250"/>
      <c r="N109" s="250"/>
      <c r="O109" s="250"/>
      <c r="P109" s="250"/>
      <c r="Q109" s="380"/>
      <c r="R109" s="380"/>
      <c r="S109" s="380"/>
      <c r="T109" s="380"/>
      <c r="U109" s="380"/>
      <c r="V109" s="256"/>
    </row>
    <row r="110" spans="1:22" s="163" customFormat="1">
      <c r="A110" s="174"/>
      <c r="B110" s="247" t="s">
        <v>106</v>
      </c>
      <c r="C110" s="165"/>
      <c r="D110" s="176"/>
      <c r="F110" s="170"/>
      <c r="G110" s="297"/>
      <c r="H110" s="174"/>
      <c r="I110" s="166"/>
      <c r="J110" s="166"/>
      <c r="K110" s="166"/>
      <c r="L110" s="166"/>
      <c r="M110" s="166"/>
      <c r="N110" s="166"/>
      <c r="O110" s="166"/>
      <c r="P110" s="166"/>
      <c r="Q110" s="291"/>
      <c r="R110" s="291"/>
      <c r="S110" s="291"/>
      <c r="T110" s="291"/>
      <c r="U110" s="291"/>
      <c r="V110" s="175"/>
    </row>
    <row r="111" spans="1:22" s="245" customFormat="1">
      <c r="A111" s="241"/>
      <c r="B111" s="242" t="s">
        <v>326</v>
      </c>
      <c r="C111" s="243"/>
      <c r="D111" s="244"/>
      <c r="F111" s="248">
        <v>2</v>
      </c>
      <c r="G111" s="295"/>
      <c r="H111" s="249"/>
      <c r="I111" s="250"/>
      <c r="J111" s="250"/>
      <c r="K111" s="250"/>
      <c r="L111" s="250"/>
      <c r="M111" s="250"/>
      <c r="N111" s="250"/>
      <c r="O111" s="250"/>
      <c r="P111" s="250"/>
      <c r="Q111" s="380"/>
      <c r="R111" s="380"/>
      <c r="S111" s="380"/>
      <c r="T111" s="380"/>
      <c r="U111" s="380"/>
      <c r="V111" s="256"/>
    </row>
    <row r="112" spans="1:22" s="245" customFormat="1">
      <c r="A112" s="241"/>
      <c r="B112" s="242" t="s">
        <v>3134</v>
      </c>
      <c r="C112" s="243"/>
      <c r="D112" s="244"/>
      <c r="F112" s="248">
        <f>SUM(H112:V112)</f>
        <v>2</v>
      </c>
      <c r="G112" s="295"/>
      <c r="H112" s="249">
        <v>1</v>
      </c>
      <c r="I112" s="250">
        <v>1</v>
      </c>
      <c r="J112" s="250"/>
      <c r="K112" s="250"/>
      <c r="L112" s="250"/>
      <c r="M112" s="250"/>
      <c r="N112" s="250"/>
      <c r="O112" s="250"/>
      <c r="P112" s="250"/>
      <c r="Q112" s="380"/>
      <c r="R112" s="380"/>
      <c r="S112" s="380"/>
      <c r="T112" s="380"/>
      <c r="U112" s="380"/>
      <c r="V112" s="256"/>
    </row>
    <row r="113" spans="1:22" s="245" customFormat="1">
      <c r="A113" s="241"/>
      <c r="B113" s="242" t="s">
        <v>175</v>
      </c>
      <c r="C113" s="243"/>
      <c r="D113" s="244"/>
      <c r="F113" s="248">
        <f>SUM(H113:V113)</f>
        <v>2</v>
      </c>
      <c r="G113" s="295"/>
      <c r="H113" s="249">
        <v>1</v>
      </c>
      <c r="I113" s="250">
        <v>1</v>
      </c>
      <c r="J113" s="250"/>
      <c r="K113" s="250"/>
      <c r="L113" s="250"/>
      <c r="M113" s="250"/>
      <c r="N113" s="250"/>
      <c r="O113" s="250"/>
      <c r="P113" s="250"/>
      <c r="Q113" s="380"/>
      <c r="R113" s="380"/>
      <c r="S113" s="380"/>
      <c r="T113" s="380"/>
      <c r="U113" s="380"/>
      <c r="V113" s="256"/>
    </row>
    <row r="114" spans="1:22" s="245" customFormat="1">
      <c r="A114" s="241"/>
      <c r="B114" s="242" t="s">
        <v>179</v>
      </c>
      <c r="C114" s="243"/>
      <c r="D114" s="244"/>
      <c r="F114" s="246"/>
      <c r="G114" s="296"/>
      <c r="H114" s="249">
        <v>2018</v>
      </c>
      <c r="I114" s="250">
        <v>2018</v>
      </c>
      <c r="J114" s="250"/>
      <c r="K114" s="250"/>
      <c r="L114" s="250"/>
      <c r="M114" s="250"/>
      <c r="N114" s="250"/>
      <c r="O114" s="250"/>
      <c r="P114" s="250"/>
      <c r="Q114" s="380"/>
      <c r="R114" s="380"/>
      <c r="S114" s="380"/>
      <c r="T114" s="380"/>
      <c r="U114" s="380"/>
      <c r="V114" s="256"/>
    </row>
    <row r="115" spans="1:22" s="245" customFormat="1">
      <c r="A115" s="241"/>
      <c r="B115" s="242" t="s">
        <v>3020</v>
      </c>
      <c r="C115" s="243"/>
      <c r="D115" s="244"/>
      <c r="F115" s="246"/>
      <c r="G115" s="296"/>
      <c r="H115" s="249">
        <v>185</v>
      </c>
      <c r="I115" s="250">
        <v>185</v>
      </c>
      <c r="J115" s="250"/>
      <c r="K115" s="250"/>
      <c r="L115" s="250"/>
      <c r="M115" s="250"/>
      <c r="N115" s="250"/>
      <c r="O115" s="250"/>
      <c r="P115" s="250"/>
      <c r="Q115" s="380"/>
      <c r="R115" s="380"/>
      <c r="S115" s="380"/>
      <c r="T115" s="380"/>
      <c r="U115" s="380"/>
      <c r="V115" s="256"/>
    </row>
    <row r="116" spans="1:22" s="245" customFormat="1">
      <c r="A116" s="241"/>
      <c r="B116" s="242" t="s">
        <v>178</v>
      </c>
      <c r="C116" s="243"/>
      <c r="D116" s="244"/>
      <c r="F116" s="248">
        <f>SUM(H116:V116)</f>
        <v>2</v>
      </c>
      <c r="G116" s="294">
        <f>F116/F111</f>
        <v>1</v>
      </c>
      <c r="H116" s="249">
        <v>1</v>
      </c>
      <c r="I116" s="250">
        <v>1</v>
      </c>
      <c r="J116" s="250"/>
      <c r="K116" s="250"/>
      <c r="L116" s="250"/>
      <c r="M116" s="250"/>
      <c r="N116" s="250"/>
      <c r="O116" s="250"/>
      <c r="P116" s="250"/>
      <c r="Q116" s="380"/>
      <c r="R116" s="380"/>
      <c r="S116" s="380"/>
      <c r="T116" s="380"/>
      <c r="U116" s="380"/>
      <c r="V116" s="256"/>
    </row>
    <row r="117" spans="1:22" s="245" customFormat="1">
      <c r="A117" s="241"/>
      <c r="B117" s="242" t="s">
        <v>3021</v>
      </c>
      <c r="C117" s="243"/>
      <c r="D117" s="244"/>
      <c r="F117" s="246"/>
      <c r="G117" s="296"/>
      <c r="H117" s="249"/>
      <c r="I117" s="250"/>
      <c r="J117" s="250"/>
      <c r="K117" s="250"/>
      <c r="L117" s="250"/>
      <c r="M117" s="250"/>
      <c r="N117" s="250"/>
      <c r="O117" s="250"/>
      <c r="P117" s="250"/>
      <c r="Q117" s="380"/>
      <c r="R117" s="380"/>
      <c r="S117" s="380"/>
      <c r="T117" s="380"/>
      <c r="U117" s="380"/>
      <c r="V117" s="256"/>
    </row>
    <row r="118" spans="1:22" s="163" customFormat="1">
      <c r="A118" s="174"/>
      <c r="B118" s="247" t="s">
        <v>107</v>
      </c>
      <c r="C118" s="165"/>
      <c r="D118" s="176"/>
      <c r="F118" s="170"/>
      <c r="G118" s="297"/>
      <c r="H118" s="174"/>
      <c r="I118" s="166"/>
      <c r="J118" s="166"/>
      <c r="K118" s="166"/>
      <c r="L118" s="166"/>
      <c r="M118" s="166"/>
      <c r="N118" s="166"/>
      <c r="O118" s="166"/>
      <c r="P118" s="166"/>
      <c r="Q118" s="291"/>
      <c r="R118" s="291"/>
      <c r="S118" s="291"/>
      <c r="T118" s="291"/>
      <c r="U118" s="291"/>
      <c r="V118" s="175"/>
    </row>
    <row r="119" spans="1:22" s="245" customFormat="1">
      <c r="A119" s="241"/>
      <c r="B119" s="242" t="s">
        <v>326</v>
      </c>
      <c r="C119" s="243"/>
      <c r="D119" s="244"/>
      <c r="F119" s="248">
        <v>3</v>
      </c>
      <c r="G119" s="295"/>
      <c r="H119" s="249"/>
      <c r="I119" s="250"/>
      <c r="J119" s="250"/>
      <c r="K119" s="250"/>
      <c r="L119" s="250"/>
      <c r="M119" s="250"/>
      <c r="N119" s="250"/>
      <c r="O119" s="250"/>
      <c r="P119" s="250"/>
      <c r="Q119" s="380"/>
      <c r="R119" s="380"/>
      <c r="S119" s="380"/>
      <c r="T119" s="380"/>
      <c r="U119" s="380"/>
      <c r="V119" s="256"/>
    </row>
    <row r="120" spans="1:22" s="245" customFormat="1">
      <c r="A120" s="241"/>
      <c r="B120" s="242" t="s">
        <v>3134</v>
      </c>
      <c r="C120" s="243"/>
      <c r="D120" s="244"/>
      <c r="F120" s="248">
        <f>SUM(H120:V120)</f>
        <v>3</v>
      </c>
      <c r="G120" s="295"/>
      <c r="H120" s="249">
        <v>1</v>
      </c>
      <c r="I120" s="250">
        <v>1</v>
      </c>
      <c r="J120" s="250">
        <v>1</v>
      </c>
      <c r="K120" s="250"/>
      <c r="L120" s="250"/>
      <c r="M120" s="250"/>
      <c r="N120" s="250"/>
      <c r="O120" s="250"/>
      <c r="P120" s="250"/>
      <c r="Q120" s="380"/>
      <c r="R120" s="380"/>
      <c r="S120" s="380"/>
      <c r="T120" s="380"/>
      <c r="U120" s="380"/>
      <c r="V120" s="256"/>
    </row>
    <row r="121" spans="1:22" s="245" customFormat="1">
      <c r="A121" s="241"/>
      <c r="B121" s="242" t="s">
        <v>175</v>
      </c>
      <c r="C121" s="243"/>
      <c r="D121" s="244"/>
      <c r="F121" s="248">
        <f>SUM(H121:V121)</f>
        <v>3</v>
      </c>
      <c r="G121" s="295"/>
      <c r="H121" s="249">
        <v>1</v>
      </c>
      <c r="I121" s="250">
        <v>1</v>
      </c>
      <c r="J121" s="250">
        <v>1</v>
      </c>
      <c r="K121" s="250"/>
      <c r="L121" s="250"/>
      <c r="M121" s="250"/>
      <c r="N121" s="250"/>
      <c r="O121" s="250"/>
      <c r="P121" s="250"/>
      <c r="Q121" s="380"/>
      <c r="R121" s="380"/>
      <c r="S121" s="380"/>
      <c r="T121" s="380"/>
      <c r="U121" s="380"/>
      <c r="V121" s="256"/>
    </row>
    <row r="122" spans="1:22" s="245" customFormat="1">
      <c r="A122" s="241"/>
      <c r="B122" s="242" t="s">
        <v>179</v>
      </c>
      <c r="C122" s="243"/>
      <c r="D122" s="244"/>
      <c r="F122" s="246"/>
      <c r="G122" s="296"/>
      <c r="H122" s="249">
        <v>2018</v>
      </c>
      <c r="I122" s="250">
        <v>2018</v>
      </c>
      <c r="J122" s="251" t="s">
        <v>2797</v>
      </c>
      <c r="K122" s="250"/>
      <c r="L122" s="250"/>
      <c r="M122" s="250"/>
      <c r="N122" s="250"/>
      <c r="O122" s="250"/>
      <c r="P122" s="250"/>
      <c r="Q122" s="380"/>
      <c r="R122" s="380"/>
      <c r="S122" s="380"/>
      <c r="T122" s="380"/>
      <c r="U122" s="380"/>
      <c r="V122" s="256"/>
    </row>
    <row r="123" spans="1:22" s="245" customFormat="1" ht="13.8" thickBot="1">
      <c r="A123" s="241"/>
      <c r="B123" s="242" t="s">
        <v>3020</v>
      </c>
      <c r="C123" s="243"/>
      <c r="D123" s="244"/>
      <c r="F123" s="246"/>
      <c r="G123" s="296"/>
      <c r="H123" s="249">
        <v>185</v>
      </c>
      <c r="I123" s="250">
        <v>185</v>
      </c>
      <c r="J123" s="614">
        <v>191</v>
      </c>
      <c r="K123" s="250"/>
      <c r="L123" s="250"/>
      <c r="M123" s="250"/>
      <c r="N123" s="250"/>
      <c r="O123" s="250"/>
      <c r="P123" s="250"/>
      <c r="Q123" s="380"/>
      <c r="R123" s="380"/>
      <c r="S123" s="380"/>
      <c r="T123" s="380"/>
      <c r="U123" s="380"/>
      <c r="V123" s="256"/>
    </row>
    <row r="124" spans="1:22" s="245" customFormat="1" ht="14.4" thickTop="1" thickBot="1">
      <c r="A124" s="241"/>
      <c r="B124" s="242" t="s">
        <v>178</v>
      </c>
      <c r="C124" s="243"/>
      <c r="D124" s="244"/>
      <c r="F124" s="248">
        <f>SUM(H124:V124)</f>
        <v>3</v>
      </c>
      <c r="G124" s="610">
        <f>F124/F119</f>
        <v>1</v>
      </c>
      <c r="H124" s="249">
        <v>1</v>
      </c>
      <c r="I124" s="380">
        <v>1</v>
      </c>
      <c r="J124" s="625">
        <v>1</v>
      </c>
      <c r="K124" s="299"/>
      <c r="L124" s="250"/>
      <c r="M124" s="250"/>
      <c r="N124" s="250"/>
      <c r="O124" s="250"/>
      <c r="P124" s="250"/>
      <c r="Q124" s="380"/>
      <c r="R124" s="380"/>
      <c r="S124" s="380"/>
      <c r="T124" s="380"/>
      <c r="U124" s="380"/>
      <c r="V124" s="256"/>
    </row>
    <row r="125" spans="1:22" s="245" customFormat="1" ht="13.8" thickTop="1">
      <c r="A125" s="241"/>
      <c r="B125" s="242" t="s">
        <v>3021</v>
      </c>
      <c r="C125" s="243"/>
      <c r="D125" s="244"/>
      <c r="F125" s="246"/>
      <c r="G125" s="296"/>
      <c r="H125" s="252" t="s">
        <v>3446</v>
      </c>
      <c r="I125" s="252" t="s">
        <v>3446</v>
      </c>
      <c r="J125" s="616"/>
      <c r="K125" s="250"/>
      <c r="L125" s="250"/>
      <c r="M125" s="250"/>
      <c r="N125" s="250"/>
      <c r="O125" s="250"/>
      <c r="P125" s="250"/>
      <c r="Q125" s="380"/>
      <c r="R125" s="380"/>
      <c r="S125" s="380"/>
      <c r="T125" s="380"/>
      <c r="U125" s="380"/>
      <c r="V125" s="256"/>
    </row>
    <row r="126" spans="1:22" s="163" customFormat="1">
      <c r="A126" s="174"/>
      <c r="B126" s="247" t="s">
        <v>108</v>
      </c>
      <c r="C126" s="165"/>
      <c r="D126" s="176"/>
      <c r="F126" s="170"/>
      <c r="G126" s="297"/>
      <c r="H126" s="174"/>
      <c r="I126" s="166"/>
      <c r="J126" s="166"/>
      <c r="K126" s="166"/>
      <c r="L126" s="166"/>
      <c r="M126" s="166"/>
      <c r="N126" s="166"/>
      <c r="O126" s="166"/>
      <c r="P126" s="166"/>
      <c r="Q126" s="291"/>
      <c r="R126" s="291"/>
      <c r="S126" s="291"/>
      <c r="T126" s="291"/>
      <c r="U126" s="291"/>
      <c r="V126" s="175"/>
    </row>
    <row r="127" spans="1:22" s="245" customFormat="1">
      <c r="A127" s="241"/>
      <c r="B127" s="242" t="s">
        <v>326</v>
      </c>
      <c r="C127" s="243"/>
      <c r="D127" s="244"/>
      <c r="F127" s="248">
        <v>2</v>
      </c>
      <c r="G127" s="295"/>
      <c r="H127" s="249"/>
      <c r="I127" s="250"/>
      <c r="J127" s="250"/>
      <c r="K127" s="250"/>
      <c r="L127" s="250"/>
      <c r="M127" s="250"/>
      <c r="N127" s="250"/>
      <c r="O127" s="250"/>
      <c r="P127" s="250"/>
      <c r="Q127" s="380"/>
      <c r="R127" s="380"/>
      <c r="S127" s="380"/>
      <c r="T127" s="380"/>
      <c r="U127" s="380"/>
      <c r="V127" s="256"/>
    </row>
    <row r="128" spans="1:22" s="245" customFormat="1">
      <c r="A128" s="241"/>
      <c r="B128" s="242" t="s">
        <v>3134</v>
      </c>
      <c r="C128" s="243"/>
      <c r="D128" s="244"/>
      <c r="F128" s="248">
        <f>SUM(H128:V128)</f>
        <v>2</v>
      </c>
      <c r="G128" s="295"/>
      <c r="H128" s="249">
        <v>1</v>
      </c>
      <c r="I128" s="250">
        <v>1</v>
      </c>
      <c r="J128" s="250"/>
      <c r="K128" s="250"/>
      <c r="L128" s="250"/>
      <c r="M128" s="250"/>
      <c r="N128" s="250"/>
      <c r="O128" s="250"/>
      <c r="P128" s="250"/>
      <c r="Q128" s="380"/>
      <c r="R128" s="380"/>
      <c r="S128" s="380"/>
      <c r="T128" s="380"/>
      <c r="U128" s="380"/>
      <c r="V128" s="256"/>
    </row>
    <row r="129" spans="1:22" s="245" customFormat="1">
      <c r="A129" s="241"/>
      <c r="B129" s="242" t="s">
        <v>175</v>
      </c>
      <c r="C129" s="243"/>
      <c r="D129" s="244"/>
      <c r="F129" s="248">
        <f>SUM(H129:V129)</f>
        <v>2</v>
      </c>
      <c r="G129" s="295"/>
      <c r="H129" s="249">
        <v>1</v>
      </c>
      <c r="I129" s="250">
        <v>1</v>
      </c>
      <c r="J129" s="250"/>
      <c r="K129" s="250"/>
      <c r="L129" s="250"/>
      <c r="M129" s="250"/>
      <c r="N129" s="250"/>
      <c r="O129" s="250"/>
      <c r="P129" s="250"/>
      <c r="Q129" s="380"/>
      <c r="R129" s="380"/>
      <c r="S129" s="380"/>
      <c r="T129" s="380"/>
      <c r="U129" s="380"/>
      <c r="V129" s="256"/>
    </row>
    <row r="130" spans="1:22" s="245" customFormat="1">
      <c r="A130" s="241"/>
      <c r="B130" s="242" t="s">
        <v>179</v>
      </c>
      <c r="C130" s="243"/>
      <c r="D130" s="244"/>
      <c r="F130" s="246"/>
      <c r="G130" s="296"/>
      <c r="H130" s="252" t="s">
        <v>2797</v>
      </c>
      <c r="I130" s="251" t="s">
        <v>2797</v>
      </c>
      <c r="J130" s="250"/>
      <c r="K130" s="250"/>
      <c r="L130" s="250"/>
      <c r="M130" s="250"/>
      <c r="N130" s="250"/>
      <c r="O130" s="250"/>
      <c r="P130" s="250"/>
      <c r="Q130" s="380"/>
      <c r="R130" s="380"/>
      <c r="S130" s="380"/>
      <c r="T130" s="380"/>
      <c r="U130" s="380"/>
      <c r="V130" s="256"/>
    </row>
    <row r="131" spans="1:22" s="245" customFormat="1">
      <c r="A131" s="241"/>
      <c r="B131" s="242" t="s">
        <v>3020</v>
      </c>
      <c r="C131" s="243"/>
      <c r="D131" s="244"/>
      <c r="F131" s="246"/>
      <c r="G131" s="296"/>
      <c r="H131" s="249">
        <v>191</v>
      </c>
      <c r="I131" s="250">
        <v>191</v>
      </c>
      <c r="J131" s="250"/>
      <c r="K131" s="250"/>
      <c r="L131" s="250"/>
      <c r="M131" s="250"/>
      <c r="N131" s="250"/>
      <c r="O131" s="250"/>
      <c r="P131" s="250"/>
      <c r="Q131" s="380"/>
      <c r="R131" s="380"/>
      <c r="S131" s="380"/>
      <c r="T131" s="380"/>
      <c r="U131" s="380"/>
      <c r="V131" s="256"/>
    </row>
    <row r="132" spans="1:22" s="245" customFormat="1">
      <c r="A132" s="241"/>
      <c r="B132" s="242" t="s">
        <v>178</v>
      </c>
      <c r="C132" s="243"/>
      <c r="D132" s="244"/>
      <c r="F132" s="248">
        <f>SUM(H132:V132)</f>
        <v>2</v>
      </c>
      <c r="G132" s="294">
        <f>F132/F127</f>
        <v>1</v>
      </c>
      <c r="H132" s="249">
        <v>1</v>
      </c>
      <c r="I132" s="250">
        <v>1</v>
      </c>
      <c r="J132" s="250"/>
      <c r="K132" s="250"/>
      <c r="L132" s="250"/>
      <c r="M132" s="250"/>
      <c r="N132" s="250"/>
      <c r="O132" s="250"/>
      <c r="P132" s="250"/>
      <c r="Q132" s="380"/>
      <c r="R132" s="380"/>
      <c r="S132" s="380"/>
      <c r="T132" s="380"/>
      <c r="U132" s="380"/>
      <c r="V132" s="256"/>
    </row>
    <row r="133" spans="1:22" s="245" customFormat="1">
      <c r="A133" s="241"/>
      <c r="B133" s="242" t="s">
        <v>3021</v>
      </c>
      <c r="C133" s="243"/>
      <c r="D133" s="244"/>
      <c r="F133" s="246"/>
      <c r="G133" s="296"/>
      <c r="H133" s="249"/>
      <c r="I133" s="250"/>
      <c r="J133" s="250"/>
      <c r="K133" s="250"/>
      <c r="L133" s="250"/>
      <c r="M133" s="250"/>
      <c r="N133" s="250"/>
      <c r="O133" s="250"/>
      <c r="P133" s="250"/>
      <c r="Q133" s="380"/>
      <c r="R133" s="380"/>
      <c r="S133" s="380"/>
      <c r="T133" s="380"/>
      <c r="U133" s="380"/>
      <c r="V133" s="256"/>
    </row>
    <row r="134" spans="1:22" s="163" customFormat="1">
      <c r="A134" s="174"/>
      <c r="B134" s="247" t="s">
        <v>109</v>
      </c>
      <c r="C134" s="165"/>
      <c r="D134" s="176"/>
      <c r="F134" s="170"/>
      <c r="G134" s="297"/>
      <c r="H134" s="174"/>
      <c r="I134" s="166"/>
      <c r="J134" s="166"/>
      <c r="K134" s="166"/>
      <c r="L134" s="166"/>
      <c r="M134" s="166"/>
      <c r="N134" s="166"/>
      <c r="O134" s="166"/>
      <c r="P134" s="166"/>
      <c r="Q134" s="291"/>
      <c r="R134" s="291"/>
      <c r="S134" s="291"/>
      <c r="T134" s="291"/>
      <c r="U134" s="291"/>
      <c r="V134" s="175"/>
    </row>
    <row r="135" spans="1:22" s="245" customFormat="1">
      <c r="A135" s="241"/>
      <c r="B135" s="242" t="s">
        <v>326</v>
      </c>
      <c r="C135" s="243"/>
      <c r="D135" s="244"/>
      <c r="F135" s="248">
        <v>3</v>
      </c>
      <c r="G135" s="295"/>
      <c r="H135" s="249"/>
      <c r="I135" s="250"/>
      <c r="J135" s="250"/>
      <c r="K135" s="250"/>
      <c r="L135" s="250"/>
      <c r="M135" s="250"/>
      <c r="N135" s="250"/>
      <c r="O135" s="250"/>
      <c r="P135" s="250"/>
      <c r="Q135" s="380"/>
      <c r="R135" s="380"/>
      <c r="S135" s="380"/>
      <c r="T135" s="380"/>
      <c r="U135" s="380"/>
      <c r="V135" s="256"/>
    </row>
    <row r="136" spans="1:22" s="245" customFormat="1">
      <c r="A136" s="241"/>
      <c r="B136" s="242" t="s">
        <v>3134</v>
      </c>
      <c r="C136" s="243"/>
      <c r="D136" s="244"/>
      <c r="F136" s="248">
        <f>SUM(H136:V136)</f>
        <v>3</v>
      </c>
      <c r="G136" s="295"/>
      <c r="H136" s="249">
        <v>1</v>
      </c>
      <c r="I136" s="250">
        <v>1</v>
      </c>
      <c r="J136" s="250">
        <v>1</v>
      </c>
      <c r="K136" s="250"/>
      <c r="L136" s="250"/>
      <c r="M136" s="250"/>
      <c r="N136" s="250"/>
      <c r="O136" s="250"/>
      <c r="P136" s="250"/>
      <c r="Q136" s="380"/>
      <c r="R136" s="380"/>
      <c r="S136" s="380"/>
      <c r="T136" s="380"/>
      <c r="U136" s="380"/>
      <c r="V136" s="256"/>
    </row>
    <row r="137" spans="1:22" s="245" customFormat="1">
      <c r="A137" s="241"/>
      <c r="B137" s="242" t="s">
        <v>175</v>
      </c>
      <c r="C137" s="243"/>
      <c r="D137" s="244"/>
      <c r="F137" s="248">
        <f>SUM(H137:V137)</f>
        <v>3</v>
      </c>
      <c r="G137" s="295"/>
      <c r="H137" s="249">
        <v>1</v>
      </c>
      <c r="I137" s="250">
        <v>1</v>
      </c>
      <c r="J137" s="250">
        <v>1</v>
      </c>
      <c r="K137" s="250"/>
      <c r="L137" s="250"/>
      <c r="M137" s="250"/>
      <c r="N137" s="250"/>
      <c r="O137" s="250"/>
      <c r="P137" s="250"/>
      <c r="Q137" s="380"/>
      <c r="R137" s="380"/>
      <c r="S137" s="380"/>
      <c r="T137" s="380"/>
      <c r="U137" s="380"/>
      <c r="V137" s="256"/>
    </row>
    <row r="138" spans="1:22" s="245" customFormat="1">
      <c r="A138" s="241"/>
      <c r="B138" s="242" t="s">
        <v>179</v>
      </c>
      <c r="C138" s="243"/>
      <c r="D138" s="244"/>
      <c r="F138" s="246"/>
      <c r="G138" s="296"/>
      <c r="H138" s="252" t="s">
        <v>2796</v>
      </c>
      <c r="I138" s="251" t="s">
        <v>2796</v>
      </c>
      <c r="J138" s="250">
        <v>2072</v>
      </c>
      <c r="K138" s="250"/>
      <c r="L138" s="250"/>
      <c r="M138" s="250"/>
      <c r="N138" s="250"/>
      <c r="O138" s="250"/>
      <c r="P138" s="250"/>
      <c r="Q138" s="380"/>
      <c r="R138" s="380"/>
      <c r="S138" s="380"/>
      <c r="T138" s="380"/>
      <c r="U138" s="380"/>
      <c r="V138" s="256"/>
    </row>
    <row r="139" spans="1:22" s="245" customFormat="1" ht="13.8" thickBot="1">
      <c r="A139" s="241"/>
      <c r="B139" s="242" t="s">
        <v>3020</v>
      </c>
      <c r="C139" s="243"/>
      <c r="D139" s="244"/>
      <c r="F139" s="246"/>
      <c r="G139" s="296"/>
      <c r="H139" s="249">
        <v>191</v>
      </c>
      <c r="I139" s="250">
        <v>191</v>
      </c>
      <c r="J139" s="614">
        <v>194</v>
      </c>
      <c r="K139" s="250"/>
      <c r="L139" s="250"/>
      <c r="M139" s="250"/>
      <c r="N139" s="250"/>
      <c r="O139" s="250"/>
      <c r="P139" s="250"/>
      <c r="Q139" s="380"/>
      <c r="R139" s="380"/>
      <c r="S139" s="380"/>
      <c r="T139" s="380"/>
      <c r="U139" s="380"/>
      <c r="V139" s="256"/>
    </row>
    <row r="140" spans="1:22" s="245" customFormat="1" ht="14.4" thickTop="1" thickBot="1">
      <c r="A140" s="241"/>
      <c r="B140" s="242" t="s">
        <v>178</v>
      </c>
      <c r="C140" s="243"/>
      <c r="D140" s="244"/>
      <c r="F140" s="248">
        <f>SUM(H140:V140)</f>
        <v>3</v>
      </c>
      <c r="G140" s="610">
        <f>F140/F135</f>
        <v>1</v>
      </c>
      <c r="H140" s="249">
        <v>1</v>
      </c>
      <c r="I140" s="380">
        <v>1</v>
      </c>
      <c r="J140" s="625">
        <v>1</v>
      </c>
      <c r="K140" s="299"/>
      <c r="L140" s="250"/>
      <c r="M140" s="250"/>
      <c r="N140" s="250"/>
      <c r="O140" s="250"/>
      <c r="P140" s="250"/>
      <c r="Q140" s="380"/>
      <c r="R140" s="380"/>
      <c r="S140" s="380"/>
      <c r="T140" s="380"/>
      <c r="U140" s="380"/>
      <c r="V140" s="256"/>
    </row>
    <row r="141" spans="1:22" s="245" customFormat="1" ht="13.8" thickTop="1">
      <c r="A141" s="241"/>
      <c r="B141" s="242" t="s">
        <v>3021</v>
      </c>
      <c r="C141" s="243"/>
      <c r="D141" s="244"/>
      <c r="F141" s="246"/>
      <c r="G141" s="296"/>
      <c r="H141" s="249"/>
      <c r="I141" s="250"/>
      <c r="J141" s="616"/>
      <c r="K141" s="250"/>
      <c r="L141" s="250"/>
      <c r="M141" s="250"/>
      <c r="N141" s="250"/>
      <c r="O141" s="250"/>
      <c r="P141" s="250"/>
      <c r="Q141" s="380"/>
      <c r="R141" s="380"/>
      <c r="S141" s="380"/>
      <c r="T141" s="380"/>
      <c r="U141" s="380"/>
      <c r="V141" s="256"/>
    </row>
    <row r="142" spans="1:22" s="163" customFormat="1">
      <c r="A142" s="174"/>
      <c r="B142" s="247" t="s">
        <v>110</v>
      </c>
      <c r="C142" s="165"/>
      <c r="D142" s="176"/>
      <c r="F142" s="170"/>
      <c r="G142" s="297"/>
      <c r="H142" s="174"/>
      <c r="I142" s="166"/>
      <c r="J142" s="166"/>
      <c r="K142" s="166"/>
      <c r="L142" s="166"/>
      <c r="M142" s="166"/>
      <c r="N142" s="166"/>
      <c r="O142" s="166"/>
      <c r="P142" s="166"/>
      <c r="Q142" s="291"/>
      <c r="R142" s="291"/>
      <c r="S142" s="291"/>
      <c r="T142" s="291"/>
      <c r="U142" s="291"/>
      <c r="V142" s="175"/>
    </row>
    <row r="143" spans="1:22" s="245" customFormat="1">
      <c r="A143" s="241"/>
      <c r="B143" s="242" t="s">
        <v>326</v>
      </c>
      <c r="C143" s="243"/>
      <c r="D143" s="244"/>
      <c r="F143" s="248">
        <v>2</v>
      </c>
      <c r="G143" s="295"/>
      <c r="H143" s="249"/>
      <c r="I143" s="250"/>
      <c r="J143" s="250"/>
      <c r="K143" s="250"/>
      <c r="L143" s="250"/>
      <c r="M143" s="250"/>
      <c r="N143" s="250"/>
      <c r="O143" s="250"/>
      <c r="P143" s="250"/>
      <c r="Q143" s="380"/>
      <c r="R143" s="380"/>
      <c r="S143" s="380"/>
      <c r="T143" s="380"/>
      <c r="U143" s="380"/>
      <c r="V143" s="256"/>
    </row>
    <row r="144" spans="1:22" s="245" customFormat="1">
      <c r="A144" s="241"/>
      <c r="B144" s="242" t="s">
        <v>3134</v>
      </c>
      <c r="C144" s="243"/>
      <c r="D144" s="244"/>
      <c r="F144" s="248">
        <f>SUM(H144:V144)</f>
        <v>2</v>
      </c>
      <c r="G144" s="295"/>
      <c r="H144" s="249">
        <v>1</v>
      </c>
      <c r="I144" s="250">
        <v>1</v>
      </c>
      <c r="J144" s="250"/>
      <c r="K144" s="250"/>
      <c r="L144" s="250"/>
      <c r="M144" s="250"/>
      <c r="N144" s="250"/>
      <c r="O144" s="250"/>
      <c r="P144" s="250"/>
      <c r="Q144" s="380"/>
      <c r="R144" s="380"/>
      <c r="S144" s="380"/>
      <c r="T144" s="380"/>
      <c r="U144" s="380"/>
      <c r="V144" s="256"/>
    </row>
    <row r="145" spans="1:22" s="245" customFormat="1">
      <c r="A145" s="241"/>
      <c r="B145" s="242" t="s">
        <v>175</v>
      </c>
      <c r="C145" s="243"/>
      <c r="D145" s="244"/>
      <c r="F145" s="248">
        <f>SUM(H145:V145)</f>
        <v>2</v>
      </c>
      <c r="G145" s="295"/>
      <c r="H145" s="249">
        <v>1</v>
      </c>
      <c r="I145" s="250">
        <v>1</v>
      </c>
      <c r="J145" s="250"/>
      <c r="K145" s="250"/>
      <c r="L145" s="250"/>
      <c r="M145" s="250"/>
      <c r="N145" s="250"/>
      <c r="O145" s="250"/>
      <c r="P145" s="250"/>
      <c r="Q145" s="380"/>
      <c r="R145" s="380"/>
      <c r="S145" s="380"/>
      <c r="T145" s="380"/>
      <c r="U145" s="380"/>
      <c r="V145" s="256"/>
    </row>
    <row r="146" spans="1:22" s="245" customFormat="1">
      <c r="A146" s="241"/>
      <c r="B146" s="242" t="s">
        <v>179</v>
      </c>
      <c r="C146" s="243"/>
      <c r="D146" s="244"/>
      <c r="F146" s="246"/>
      <c r="G146" s="296"/>
      <c r="H146" s="249">
        <v>2019</v>
      </c>
      <c r="I146" s="250">
        <v>2019</v>
      </c>
      <c r="J146" s="250"/>
      <c r="K146" s="250"/>
      <c r="L146" s="250"/>
      <c r="M146" s="250"/>
      <c r="N146" s="250"/>
      <c r="O146" s="250"/>
      <c r="P146" s="250"/>
      <c r="Q146" s="380"/>
      <c r="R146" s="380"/>
      <c r="S146" s="380"/>
      <c r="T146" s="380"/>
      <c r="U146" s="380"/>
      <c r="V146" s="256"/>
    </row>
    <row r="147" spans="1:22" s="245" customFormat="1">
      <c r="A147" s="241"/>
      <c r="B147" s="242" t="s">
        <v>3020</v>
      </c>
      <c r="C147" s="243"/>
      <c r="D147" s="244"/>
      <c r="F147" s="246"/>
      <c r="G147" s="296"/>
      <c r="H147" s="249">
        <v>185</v>
      </c>
      <c r="I147" s="250">
        <v>185</v>
      </c>
      <c r="J147" s="250"/>
      <c r="K147" s="250"/>
      <c r="L147" s="250"/>
      <c r="M147" s="250"/>
      <c r="N147" s="250"/>
      <c r="O147" s="250"/>
      <c r="P147" s="250"/>
      <c r="Q147" s="380"/>
      <c r="R147" s="380"/>
      <c r="S147" s="380"/>
      <c r="T147" s="380"/>
      <c r="U147" s="380"/>
      <c r="V147" s="256"/>
    </row>
    <row r="148" spans="1:22" s="245" customFormat="1">
      <c r="A148" s="241"/>
      <c r="B148" s="242" t="s">
        <v>178</v>
      </c>
      <c r="C148" s="243"/>
      <c r="D148" s="244"/>
      <c r="F148" s="248">
        <f>SUM(H148:V148)</f>
        <v>2</v>
      </c>
      <c r="G148" s="294">
        <f>F148/F143</f>
        <v>1</v>
      </c>
      <c r="H148" s="249">
        <v>1</v>
      </c>
      <c r="I148" s="250">
        <v>1</v>
      </c>
      <c r="J148" s="250"/>
      <c r="K148" s="250"/>
      <c r="L148" s="250"/>
      <c r="M148" s="250"/>
      <c r="N148" s="250"/>
      <c r="O148" s="250"/>
      <c r="P148" s="250"/>
      <c r="Q148" s="380"/>
      <c r="R148" s="380"/>
      <c r="S148" s="380"/>
      <c r="T148" s="380"/>
      <c r="U148" s="380"/>
      <c r="V148" s="256"/>
    </row>
    <row r="149" spans="1:22" s="245" customFormat="1">
      <c r="A149" s="241"/>
      <c r="B149" s="242" t="s">
        <v>3021</v>
      </c>
      <c r="C149" s="243"/>
      <c r="D149" s="244"/>
      <c r="F149" s="246"/>
      <c r="G149" s="296"/>
      <c r="H149" s="249"/>
      <c r="I149" s="250"/>
      <c r="J149" s="250"/>
      <c r="K149" s="250"/>
      <c r="L149" s="250"/>
      <c r="M149" s="250"/>
      <c r="N149" s="250"/>
      <c r="O149" s="250"/>
      <c r="P149" s="250"/>
      <c r="Q149" s="380"/>
      <c r="R149" s="380"/>
      <c r="S149" s="380"/>
      <c r="T149" s="380"/>
      <c r="U149" s="380"/>
      <c r="V149" s="256"/>
    </row>
    <row r="150" spans="1:22" s="163" customFormat="1">
      <c r="A150" s="174"/>
      <c r="B150" s="247" t="s">
        <v>111</v>
      </c>
      <c r="C150" s="165"/>
      <c r="D150" s="176"/>
      <c r="F150" s="170"/>
      <c r="G150" s="297"/>
      <c r="H150" s="174"/>
      <c r="I150" s="166"/>
      <c r="J150" s="166"/>
      <c r="K150" s="166"/>
      <c r="L150" s="166"/>
      <c r="M150" s="166"/>
      <c r="N150" s="166"/>
      <c r="O150" s="166"/>
      <c r="P150" s="166"/>
      <c r="Q150" s="291"/>
      <c r="R150" s="291"/>
      <c r="S150" s="291"/>
      <c r="T150" s="291"/>
      <c r="U150" s="291"/>
      <c r="V150" s="175"/>
    </row>
    <row r="151" spans="1:22" s="245" customFormat="1">
      <c r="A151" s="241"/>
      <c r="B151" s="242" t="s">
        <v>326</v>
      </c>
      <c r="C151" s="243"/>
      <c r="D151" s="244"/>
      <c r="F151" s="248">
        <f>SUM(H151:V151)</f>
        <v>0</v>
      </c>
      <c r="G151" s="295"/>
      <c r="H151" s="249"/>
      <c r="I151" s="250"/>
      <c r="J151" s="250"/>
      <c r="K151" s="250"/>
      <c r="L151" s="250"/>
      <c r="M151" s="250"/>
      <c r="N151" s="250"/>
      <c r="O151" s="250"/>
      <c r="P151" s="250"/>
      <c r="Q151" s="380"/>
      <c r="R151" s="380"/>
      <c r="S151" s="380"/>
      <c r="T151" s="380"/>
      <c r="U151" s="380"/>
      <c r="V151" s="256"/>
    </row>
    <row r="152" spans="1:22" s="245" customFormat="1">
      <c r="A152" s="241"/>
      <c r="B152" s="242" t="s">
        <v>3134</v>
      </c>
      <c r="C152" s="243"/>
      <c r="D152" s="244"/>
      <c r="F152" s="248">
        <f>SUM(H152:V152)</f>
        <v>0</v>
      </c>
      <c r="G152" s="295"/>
      <c r="H152" s="249"/>
      <c r="I152" s="250"/>
      <c r="J152" s="250"/>
      <c r="K152" s="250"/>
      <c r="L152" s="250"/>
      <c r="M152" s="250"/>
      <c r="N152" s="250"/>
      <c r="O152" s="250"/>
      <c r="P152" s="250"/>
      <c r="Q152" s="380"/>
      <c r="R152" s="380"/>
      <c r="S152" s="380"/>
      <c r="T152" s="380"/>
      <c r="U152" s="380"/>
      <c r="V152" s="256"/>
    </row>
    <row r="153" spans="1:22" s="245" customFormat="1">
      <c r="A153" s="241"/>
      <c r="B153" s="242" t="s">
        <v>175</v>
      </c>
      <c r="C153" s="243"/>
      <c r="D153" s="244"/>
      <c r="F153" s="248">
        <f>SUM(H153:V153)</f>
        <v>0</v>
      </c>
      <c r="G153" s="295"/>
      <c r="H153" s="249"/>
      <c r="I153" s="250"/>
      <c r="J153" s="250"/>
      <c r="K153" s="250"/>
      <c r="L153" s="250"/>
      <c r="M153" s="250"/>
      <c r="N153" s="250"/>
      <c r="O153" s="250"/>
      <c r="P153" s="250"/>
      <c r="Q153" s="380"/>
      <c r="R153" s="380"/>
      <c r="S153" s="380"/>
      <c r="T153" s="380"/>
      <c r="U153" s="380"/>
      <c r="V153" s="256"/>
    </row>
    <row r="154" spans="1:22" s="245" customFormat="1">
      <c r="A154" s="241"/>
      <c r="B154" s="242" t="s">
        <v>179</v>
      </c>
      <c r="C154" s="243"/>
      <c r="D154" s="244"/>
      <c r="F154" s="246"/>
      <c r="G154" s="296"/>
      <c r="H154" s="249"/>
      <c r="I154" s="250"/>
      <c r="J154" s="250"/>
      <c r="K154" s="250"/>
      <c r="L154" s="250"/>
      <c r="M154" s="250"/>
      <c r="N154" s="250"/>
      <c r="O154" s="250"/>
      <c r="P154" s="250"/>
      <c r="Q154" s="380"/>
      <c r="R154" s="380"/>
      <c r="S154" s="380"/>
      <c r="T154" s="380"/>
      <c r="U154" s="380"/>
      <c r="V154" s="256"/>
    </row>
    <row r="155" spans="1:22" s="245" customFormat="1">
      <c r="A155" s="241"/>
      <c r="B155" s="242" t="s">
        <v>3020</v>
      </c>
      <c r="C155" s="243"/>
      <c r="D155" s="244"/>
      <c r="F155" s="246"/>
      <c r="G155" s="296"/>
      <c r="H155" s="249"/>
      <c r="I155" s="250"/>
      <c r="J155" s="250"/>
      <c r="K155" s="250"/>
      <c r="L155" s="250"/>
      <c r="M155" s="250"/>
      <c r="N155" s="250"/>
      <c r="O155" s="250"/>
      <c r="P155" s="250"/>
      <c r="Q155" s="380"/>
      <c r="R155" s="380"/>
      <c r="S155" s="380"/>
      <c r="T155" s="380"/>
      <c r="U155" s="380"/>
      <c r="V155" s="256"/>
    </row>
    <row r="156" spans="1:22" s="245" customFormat="1">
      <c r="A156" s="241"/>
      <c r="B156" s="242" t="s">
        <v>178</v>
      </c>
      <c r="C156" s="243"/>
      <c r="D156" s="244"/>
      <c r="F156" s="248">
        <f>SUM(H156:V156)</f>
        <v>0</v>
      </c>
      <c r="G156" s="294"/>
      <c r="H156" s="249"/>
      <c r="I156" s="250"/>
      <c r="J156" s="250"/>
      <c r="K156" s="250"/>
      <c r="L156" s="250"/>
      <c r="M156" s="250"/>
      <c r="N156" s="250"/>
      <c r="O156" s="250"/>
      <c r="P156" s="250"/>
      <c r="Q156" s="380"/>
      <c r="R156" s="380"/>
      <c r="S156" s="380"/>
      <c r="T156" s="380"/>
      <c r="U156" s="380"/>
      <c r="V156" s="256"/>
    </row>
    <row r="157" spans="1:22" s="245" customFormat="1">
      <c r="A157" s="241"/>
      <c r="B157" s="242" t="s">
        <v>3021</v>
      </c>
      <c r="C157" s="243"/>
      <c r="D157" s="244"/>
      <c r="F157" s="246"/>
      <c r="G157" s="296"/>
      <c r="H157" s="249"/>
      <c r="I157" s="250"/>
      <c r="J157" s="250"/>
      <c r="K157" s="250"/>
      <c r="L157" s="250"/>
      <c r="M157" s="250"/>
      <c r="N157" s="250"/>
      <c r="O157" s="250"/>
      <c r="P157" s="250"/>
      <c r="Q157" s="380"/>
      <c r="R157" s="380"/>
      <c r="S157" s="380"/>
      <c r="T157" s="380"/>
      <c r="U157" s="380"/>
      <c r="V157" s="256"/>
    </row>
    <row r="158" spans="1:22" s="163" customFormat="1">
      <c r="A158" s="174"/>
      <c r="B158" s="247" t="s">
        <v>112</v>
      </c>
      <c r="C158" s="165"/>
      <c r="D158" s="176"/>
      <c r="F158" s="170"/>
      <c r="G158" s="297"/>
      <c r="H158" s="174"/>
      <c r="I158" s="166"/>
      <c r="J158" s="166"/>
      <c r="K158" s="166"/>
      <c r="L158" s="166"/>
      <c r="M158" s="166"/>
      <c r="N158" s="166"/>
      <c r="O158" s="166"/>
      <c r="P158" s="166"/>
      <c r="Q158" s="291"/>
      <c r="R158" s="291"/>
      <c r="S158" s="291"/>
      <c r="T158" s="291"/>
      <c r="U158" s="291"/>
      <c r="V158" s="175"/>
    </row>
    <row r="159" spans="1:22" s="245" customFormat="1">
      <c r="A159" s="241"/>
      <c r="B159" s="242" t="s">
        <v>326</v>
      </c>
      <c r="C159" s="243"/>
      <c r="D159" s="244"/>
      <c r="F159" s="248">
        <f>SUM(H159:V159)</f>
        <v>0</v>
      </c>
      <c r="G159" s="295"/>
      <c r="H159" s="249"/>
      <c r="I159" s="250"/>
      <c r="J159" s="250"/>
      <c r="K159" s="250"/>
      <c r="L159" s="250"/>
      <c r="M159" s="250"/>
      <c r="N159" s="250"/>
      <c r="O159" s="250"/>
      <c r="P159" s="250"/>
      <c r="Q159" s="380"/>
      <c r="R159" s="380"/>
      <c r="S159" s="380"/>
      <c r="T159" s="380"/>
      <c r="U159" s="380"/>
      <c r="V159" s="256"/>
    </row>
    <row r="160" spans="1:22" s="245" customFormat="1">
      <c r="A160" s="241"/>
      <c r="B160" s="242" t="s">
        <v>3134</v>
      </c>
      <c r="C160" s="243"/>
      <c r="D160" s="244"/>
      <c r="F160" s="248">
        <f>SUM(H160:V160)</f>
        <v>0</v>
      </c>
      <c r="G160" s="295"/>
      <c r="H160" s="249"/>
      <c r="I160" s="250"/>
      <c r="J160" s="250"/>
      <c r="K160" s="250"/>
      <c r="L160" s="250"/>
      <c r="M160" s="250"/>
      <c r="N160" s="250"/>
      <c r="O160" s="250"/>
      <c r="P160" s="250"/>
      <c r="Q160" s="380"/>
      <c r="R160" s="380"/>
      <c r="S160" s="380"/>
      <c r="T160" s="380"/>
      <c r="U160" s="380"/>
      <c r="V160" s="256"/>
    </row>
    <row r="161" spans="1:22" s="245" customFormat="1">
      <c r="A161" s="241"/>
      <c r="B161" s="242" t="s">
        <v>175</v>
      </c>
      <c r="C161" s="243"/>
      <c r="D161" s="244"/>
      <c r="F161" s="248">
        <f>SUM(H161:V161)</f>
        <v>0</v>
      </c>
      <c r="G161" s="295"/>
      <c r="H161" s="249"/>
      <c r="I161" s="250"/>
      <c r="J161" s="250"/>
      <c r="K161" s="250"/>
      <c r="L161" s="250"/>
      <c r="M161" s="250"/>
      <c r="N161" s="250"/>
      <c r="O161" s="250"/>
      <c r="P161" s="250"/>
      <c r="Q161" s="380"/>
      <c r="R161" s="380"/>
      <c r="S161" s="380"/>
      <c r="T161" s="380"/>
      <c r="U161" s="380"/>
      <c r="V161" s="256"/>
    </row>
    <row r="162" spans="1:22" s="245" customFormat="1">
      <c r="A162" s="241"/>
      <c r="B162" s="242" t="s">
        <v>179</v>
      </c>
      <c r="C162" s="243"/>
      <c r="D162" s="244"/>
      <c r="F162" s="246"/>
      <c r="G162" s="296"/>
      <c r="H162" s="249"/>
      <c r="I162" s="250"/>
      <c r="J162" s="250"/>
      <c r="K162" s="250"/>
      <c r="L162" s="250"/>
      <c r="M162" s="250"/>
      <c r="N162" s="250"/>
      <c r="O162" s="250"/>
      <c r="P162" s="250"/>
      <c r="Q162" s="380"/>
      <c r="R162" s="380"/>
      <c r="S162" s="380"/>
      <c r="T162" s="380"/>
      <c r="U162" s="380"/>
      <c r="V162" s="256"/>
    </row>
    <row r="163" spans="1:22" s="245" customFormat="1">
      <c r="A163" s="241"/>
      <c r="B163" s="242" t="s">
        <v>3020</v>
      </c>
      <c r="C163" s="243"/>
      <c r="D163" s="244"/>
      <c r="F163" s="246"/>
      <c r="G163" s="296"/>
      <c r="H163" s="249"/>
      <c r="I163" s="250"/>
      <c r="J163" s="250"/>
      <c r="K163" s="250"/>
      <c r="L163" s="250"/>
      <c r="M163" s="250"/>
      <c r="N163" s="250"/>
      <c r="O163" s="250"/>
      <c r="P163" s="250"/>
      <c r="Q163" s="380"/>
      <c r="R163" s="380"/>
      <c r="S163" s="380"/>
      <c r="T163" s="380"/>
      <c r="U163" s="380"/>
      <c r="V163" s="256"/>
    </row>
    <row r="164" spans="1:22" s="245" customFormat="1">
      <c r="A164" s="241"/>
      <c r="B164" s="242" t="s">
        <v>178</v>
      </c>
      <c r="C164" s="243"/>
      <c r="D164" s="244"/>
      <c r="F164" s="248">
        <f>SUM(H164:V164)</f>
        <v>0</v>
      </c>
      <c r="G164" s="295"/>
      <c r="H164" s="249"/>
      <c r="I164" s="250"/>
      <c r="J164" s="250"/>
      <c r="K164" s="250"/>
      <c r="L164" s="250"/>
      <c r="M164" s="250"/>
      <c r="N164" s="250"/>
      <c r="O164" s="250"/>
      <c r="P164" s="250"/>
      <c r="Q164" s="380"/>
      <c r="R164" s="380"/>
      <c r="S164" s="380"/>
      <c r="T164" s="380"/>
      <c r="U164" s="380"/>
      <c r="V164" s="256"/>
    </row>
    <row r="165" spans="1:22" s="245" customFormat="1">
      <c r="A165" s="241"/>
      <c r="B165" s="242" t="s">
        <v>3021</v>
      </c>
      <c r="C165" s="243"/>
      <c r="D165" s="244"/>
      <c r="F165" s="246"/>
      <c r="G165" s="296"/>
      <c r="H165" s="249"/>
      <c r="I165" s="250"/>
      <c r="J165" s="250"/>
      <c r="K165" s="250"/>
      <c r="L165" s="250"/>
      <c r="M165" s="250"/>
      <c r="N165" s="250"/>
      <c r="O165" s="250"/>
      <c r="P165" s="250"/>
      <c r="Q165" s="380"/>
      <c r="R165" s="380"/>
      <c r="S165" s="380"/>
      <c r="T165" s="380"/>
      <c r="U165" s="380"/>
      <c r="V165" s="256"/>
    </row>
    <row r="166" spans="1:22" s="163" customFormat="1">
      <c r="A166" s="174"/>
      <c r="B166" s="247" t="s">
        <v>113</v>
      </c>
      <c r="C166" s="165"/>
      <c r="D166" s="176"/>
      <c r="F166" s="170"/>
      <c r="G166" s="297"/>
      <c r="H166" s="174"/>
      <c r="I166" s="166"/>
      <c r="J166" s="166"/>
      <c r="K166" s="166"/>
      <c r="L166" s="166"/>
      <c r="M166" s="166"/>
      <c r="N166" s="166"/>
      <c r="O166" s="166"/>
      <c r="P166" s="166"/>
      <c r="Q166" s="291"/>
      <c r="R166" s="291"/>
      <c r="S166" s="291"/>
      <c r="T166" s="291"/>
      <c r="U166" s="291"/>
      <c r="V166" s="175"/>
    </row>
    <row r="167" spans="1:22" s="245" customFormat="1">
      <c r="A167" s="241"/>
      <c r="B167" s="242" t="s">
        <v>326</v>
      </c>
      <c r="C167" s="243"/>
      <c r="D167" s="244"/>
      <c r="F167" s="248">
        <f>SUM(H167:V167)</f>
        <v>0</v>
      </c>
      <c r="G167" s="295"/>
      <c r="H167" s="249"/>
      <c r="I167" s="250"/>
      <c r="J167" s="250"/>
      <c r="K167" s="250"/>
      <c r="L167" s="250"/>
      <c r="M167" s="250"/>
      <c r="N167" s="250"/>
      <c r="O167" s="250"/>
      <c r="P167" s="250"/>
      <c r="Q167" s="380"/>
      <c r="R167" s="380"/>
      <c r="S167" s="380"/>
      <c r="T167" s="380"/>
      <c r="U167" s="380"/>
      <c r="V167" s="256"/>
    </row>
    <row r="168" spans="1:22" s="245" customFormat="1">
      <c r="A168" s="241"/>
      <c r="B168" s="242" t="s">
        <v>3134</v>
      </c>
      <c r="C168" s="243"/>
      <c r="D168" s="244"/>
      <c r="F168" s="248">
        <f>SUM(H168:V168)</f>
        <v>0</v>
      </c>
      <c r="G168" s="295"/>
      <c r="H168" s="249"/>
      <c r="I168" s="250"/>
      <c r="J168" s="250"/>
      <c r="K168" s="250"/>
      <c r="L168" s="250"/>
      <c r="M168" s="250"/>
      <c r="N168" s="250"/>
      <c r="O168" s="250"/>
      <c r="P168" s="250"/>
      <c r="Q168" s="380"/>
      <c r="R168" s="380"/>
      <c r="S168" s="380"/>
      <c r="T168" s="380"/>
      <c r="U168" s="380"/>
      <c r="V168" s="256"/>
    </row>
    <row r="169" spans="1:22" s="245" customFormat="1">
      <c r="A169" s="241"/>
      <c r="B169" s="242" t="s">
        <v>175</v>
      </c>
      <c r="C169" s="243"/>
      <c r="D169" s="244"/>
      <c r="F169" s="248">
        <f>SUM(H169:V169)</f>
        <v>0</v>
      </c>
      <c r="G169" s="295"/>
      <c r="H169" s="249"/>
      <c r="I169" s="250"/>
      <c r="J169" s="250"/>
      <c r="K169" s="250"/>
      <c r="L169" s="250"/>
      <c r="M169" s="250"/>
      <c r="N169" s="250"/>
      <c r="O169" s="250"/>
      <c r="P169" s="250"/>
      <c r="Q169" s="380"/>
      <c r="R169" s="380"/>
      <c r="S169" s="380"/>
      <c r="T169" s="380"/>
      <c r="U169" s="380"/>
      <c r="V169" s="256"/>
    </row>
    <row r="170" spans="1:22" s="245" customFormat="1">
      <c r="A170" s="241"/>
      <c r="B170" s="242" t="s">
        <v>179</v>
      </c>
      <c r="C170" s="243"/>
      <c r="D170" s="244"/>
      <c r="F170" s="246"/>
      <c r="G170" s="296"/>
      <c r="H170" s="249"/>
      <c r="I170" s="250"/>
      <c r="J170" s="250"/>
      <c r="K170" s="250"/>
      <c r="L170" s="250"/>
      <c r="M170" s="250"/>
      <c r="N170" s="250"/>
      <c r="O170" s="250"/>
      <c r="P170" s="250"/>
      <c r="Q170" s="380"/>
      <c r="R170" s="380"/>
      <c r="S170" s="380"/>
      <c r="T170" s="380"/>
      <c r="U170" s="380"/>
      <c r="V170" s="256"/>
    </row>
    <row r="171" spans="1:22" s="245" customFormat="1">
      <c r="A171" s="241"/>
      <c r="B171" s="242" t="s">
        <v>3020</v>
      </c>
      <c r="C171" s="243"/>
      <c r="D171" s="244"/>
      <c r="F171" s="246"/>
      <c r="G171" s="296"/>
      <c r="H171" s="249"/>
      <c r="I171" s="250"/>
      <c r="J171" s="250"/>
      <c r="K171" s="250"/>
      <c r="L171" s="250"/>
      <c r="M171" s="250"/>
      <c r="N171" s="250"/>
      <c r="O171" s="250"/>
      <c r="P171" s="250"/>
      <c r="Q171" s="380"/>
      <c r="R171" s="380"/>
      <c r="S171" s="380"/>
      <c r="T171" s="380"/>
      <c r="U171" s="380"/>
      <c r="V171" s="256"/>
    </row>
    <row r="172" spans="1:22" s="245" customFormat="1">
      <c r="A172" s="241"/>
      <c r="B172" s="242" t="s">
        <v>178</v>
      </c>
      <c r="C172" s="243"/>
      <c r="D172" s="244"/>
      <c r="F172" s="248">
        <f>SUM(H172:V172)</f>
        <v>0</v>
      </c>
      <c r="G172" s="295"/>
      <c r="H172" s="249"/>
      <c r="I172" s="250"/>
      <c r="J172" s="250"/>
      <c r="K172" s="250"/>
      <c r="L172" s="250"/>
      <c r="M172" s="250"/>
      <c r="N172" s="250"/>
      <c r="O172" s="250"/>
      <c r="P172" s="250"/>
      <c r="Q172" s="380"/>
      <c r="R172" s="380"/>
      <c r="S172" s="380"/>
      <c r="T172" s="380"/>
      <c r="U172" s="380"/>
      <c r="V172" s="256"/>
    </row>
    <row r="173" spans="1:22" s="245" customFormat="1">
      <c r="A173" s="241"/>
      <c r="B173" s="242" t="s">
        <v>3021</v>
      </c>
      <c r="C173" s="243"/>
      <c r="D173" s="244"/>
      <c r="F173" s="246"/>
      <c r="G173" s="296"/>
      <c r="H173" s="249"/>
      <c r="I173" s="250"/>
      <c r="J173" s="250"/>
      <c r="K173" s="250"/>
      <c r="L173" s="250"/>
      <c r="M173" s="250"/>
      <c r="N173" s="250"/>
      <c r="O173" s="250"/>
      <c r="P173" s="250"/>
      <c r="Q173" s="380"/>
      <c r="R173" s="380"/>
      <c r="S173" s="380"/>
      <c r="T173" s="380"/>
      <c r="U173" s="380"/>
      <c r="V173" s="256"/>
    </row>
    <row r="174" spans="1:22" s="163" customFormat="1">
      <c r="A174" s="174"/>
      <c r="B174" s="247" t="s">
        <v>114</v>
      </c>
      <c r="C174" s="165"/>
      <c r="D174" s="176"/>
      <c r="F174" s="170"/>
      <c r="G174" s="297"/>
      <c r="H174" s="174"/>
      <c r="I174" s="166"/>
      <c r="J174" s="166"/>
      <c r="K174" s="166"/>
      <c r="L174" s="166"/>
      <c r="M174" s="166"/>
      <c r="N174" s="166"/>
      <c r="O174" s="166"/>
      <c r="P174" s="166"/>
      <c r="Q174" s="291"/>
      <c r="R174" s="291"/>
      <c r="S174" s="291"/>
      <c r="T174" s="291"/>
      <c r="U174" s="291"/>
      <c r="V174" s="175"/>
    </row>
    <row r="175" spans="1:22" s="245" customFormat="1">
      <c r="A175" s="241"/>
      <c r="B175" s="242" t="s">
        <v>326</v>
      </c>
      <c r="C175" s="243"/>
      <c r="D175" s="244"/>
      <c r="F175" s="248">
        <f>SUM(H175:V175)</f>
        <v>0</v>
      </c>
      <c r="G175" s="295"/>
      <c r="H175" s="249"/>
      <c r="I175" s="250"/>
      <c r="J175" s="250"/>
      <c r="K175" s="250"/>
      <c r="L175" s="250"/>
      <c r="M175" s="250"/>
      <c r="N175" s="250"/>
      <c r="O175" s="250"/>
      <c r="P175" s="250"/>
      <c r="Q175" s="380"/>
      <c r="R175" s="380"/>
      <c r="S175" s="380"/>
      <c r="T175" s="380"/>
      <c r="U175" s="380"/>
      <c r="V175" s="256"/>
    </row>
    <row r="176" spans="1:22" s="245" customFormat="1">
      <c r="A176" s="241"/>
      <c r="B176" s="242" t="s">
        <v>3134</v>
      </c>
      <c r="C176" s="243"/>
      <c r="D176" s="244"/>
      <c r="F176" s="248">
        <f>SUM(H176:V176)</f>
        <v>0</v>
      </c>
      <c r="G176" s="295"/>
      <c r="H176" s="249"/>
      <c r="I176" s="250"/>
      <c r="J176" s="250"/>
      <c r="K176" s="250"/>
      <c r="L176" s="250"/>
      <c r="M176" s="250"/>
      <c r="N176" s="250"/>
      <c r="O176" s="250"/>
      <c r="P176" s="250"/>
      <c r="Q176" s="380"/>
      <c r="R176" s="380"/>
      <c r="S176" s="380"/>
      <c r="T176" s="380"/>
      <c r="U176" s="380"/>
      <c r="V176" s="256"/>
    </row>
    <row r="177" spans="1:22" s="245" customFormat="1">
      <c r="A177" s="241"/>
      <c r="B177" s="242" t="s">
        <v>175</v>
      </c>
      <c r="C177" s="243"/>
      <c r="D177" s="244"/>
      <c r="F177" s="248">
        <f>SUM(H177:V177)</f>
        <v>0</v>
      </c>
      <c r="G177" s="295"/>
      <c r="H177" s="249"/>
      <c r="I177" s="250"/>
      <c r="J177" s="250"/>
      <c r="K177" s="250"/>
      <c r="L177" s="250"/>
      <c r="M177" s="250"/>
      <c r="N177" s="250"/>
      <c r="O177" s="250"/>
      <c r="P177" s="250"/>
      <c r="Q177" s="380"/>
      <c r="R177" s="380"/>
      <c r="S177" s="380"/>
      <c r="T177" s="380"/>
      <c r="U177" s="380"/>
      <c r="V177" s="256"/>
    </row>
    <row r="178" spans="1:22" s="245" customFormat="1">
      <c r="A178" s="241"/>
      <c r="B178" s="242" t="s">
        <v>179</v>
      </c>
      <c r="C178" s="243"/>
      <c r="D178" s="244"/>
      <c r="F178" s="246"/>
      <c r="G178" s="296"/>
      <c r="H178" s="249"/>
      <c r="I178" s="250"/>
      <c r="J178" s="250"/>
      <c r="K178" s="250"/>
      <c r="L178" s="250"/>
      <c r="M178" s="250"/>
      <c r="N178" s="250"/>
      <c r="O178" s="250"/>
      <c r="P178" s="250"/>
      <c r="Q178" s="380"/>
      <c r="R178" s="380"/>
      <c r="S178" s="380"/>
      <c r="T178" s="380"/>
      <c r="U178" s="380"/>
      <c r="V178" s="256"/>
    </row>
    <row r="179" spans="1:22" s="245" customFormat="1">
      <c r="A179" s="241"/>
      <c r="B179" s="242" t="s">
        <v>3020</v>
      </c>
      <c r="C179" s="243"/>
      <c r="D179" s="244"/>
      <c r="F179" s="246"/>
      <c r="G179" s="296"/>
      <c r="H179" s="249"/>
      <c r="I179" s="250"/>
      <c r="J179" s="250"/>
      <c r="K179" s="250"/>
      <c r="L179" s="250"/>
      <c r="M179" s="250"/>
      <c r="N179" s="250"/>
      <c r="O179" s="250"/>
      <c r="P179" s="250"/>
      <c r="Q179" s="380"/>
      <c r="R179" s="380"/>
      <c r="S179" s="380"/>
      <c r="T179" s="380"/>
      <c r="U179" s="380"/>
      <c r="V179" s="256"/>
    </row>
    <row r="180" spans="1:22" s="245" customFormat="1">
      <c r="A180" s="241"/>
      <c r="B180" s="242" t="s">
        <v>178</v>
      </c>
      <c r="C180" s="243"/>
      <c r="D180" s="244"/>
      <c r="F180" s="248">
        <f>SUM(H180:V180)</f>
        <v>0</v>
      </c>
      <c r="G180" s="295"/>
      <c r="H180" s="249"/>
      <c r="I180" s="250"/>
      <c r="J180" s="250"/>
      <c r="K180" s="250"/>
      <c r="L180" s="250"/>
      <c r="M180" s="250"/>
      <c r="N180" s="250"/>
      <c r="O180" s="250"/>
      <c r="P180" s="250"/>
      <c r="Q180" s="380"/>
      <c r="R180" s="380"/>
      <c r="S180" s="380"/>
      <c r="T180" s="380"/>
      <c r="U180" s="380"/>
      <c r="V180" s="256"/>
    </row>
    <row r="181" spans="1:22" s="245" customFormat="1">
      <c r="A181" s="241"/>
      <c r="B181" s="242" t="s">
        <v>3021</v>
      </c>
      <c r="C181" s="243"/>
      <c r="D181" s="244"/>
      <c r="F181" s="246"/>
      <c r="G181" s="296"/>
      <c r="H181" s="249"/>
      <c r="I181" s="250"/>
      <c r="J181" s="250"/>
      <c r="K181" s="250"/>
      <c r="L181" s="250"/>
      <c r="M181" s="250"/>
      <c r="N181" s="250"/>
      <c r="O181" s="250"/>
      <c r="P181" s="250"/>
      <c r="Q181" s="380"/>
      <c r="R181" s="380"/>
      <c r="S181" s="380"/>
      <c r="T181" s="380"/>
      <c r="U181" s="380"/>
      <c r="V181" s="256"/>
    </row>
    <row r="182" spans="1:22" s="163" customFormat="1">
      <c r="A182" s="174"/>
      <c r="B182" s="247" t="s">
        <v>115</v>
      </c>
      <c r="C182" s="165"/>
      <c r="D182" s="176"/>
      <c r="F182" s="170"/>
      <c r="G182" s="297"/>
      <c r="H182" s="174"/>
      <c r="I182" s="166"/>
      <c r="J182" s="166"/>
      <c r="K182" s="166"/>
      <c r="L182" s="166"/>
      <c r="M182" s="166"/>
      <c r="N182" s="166"/>
      <c r="O182" s="166"/>
      <c r="P182" s="166"/>
      <c r="Q182" s="291"/>
      <c r="R182" s="291"/>
      <c r="S182" s="291"/>
      <c r="T182" s="291"/>
      <c r="U182" s="291"/>
      <c r="V182" s="175"/>
    </row>
    <row r="183" spans="1:22" s="245" customFormat="1">
      <c r="A183" s="241"/>
      <c r="B183" s="242" t="s">
        <v>326</v>
      </c>
      <c r="C183" s="243"/>
      <c r="D183" s="244"/>
      <c r="F183" s="248">
        <v>1</v>
      </c>
      <c r="G183" s="295"/>
      <c r="H183" s="249">
        <v>1</v>
      </c>
      <c r="I183" s="250"/>
      <c r="J183" s="250"/>
      <c r="K183" s="250"/>
      <c r="L183" s="250"/>
      <c r="M183" s="250"/>
      <c r="N183" s="250"/>
      <c r="O183" s="250"/>
      <c r="P183" s="250"/>
      <c r="Q183" s="380"/>
      <c r="R183" s="380"/>
      <c r="S183" s="380"/>
      <c r="T183" s="380"/>
      <c r="U183" s="380"/>
      <c r="V183" s="256"/>
    </row>
    <row r="184" spans="1:22" s="245" customFormat="1">
      <c r="A184" s="241"/>
      <c r="B184" s="242" t="s">
        <v>3134</v>
      </c>
      <c r="C184" s="243"/>
      <c r="D184" s="244"/>
      <c r="F184" s="248">
        <f>SUM(H184:V184)</f>
        <v>1</v>
      </c>
      <c r="G184" s="295"/>
      <c r="H184" s="249">
        <v>1</v>
      </c>
      <c r="I184" s="250"/>
      <c r="J184" s="250"/>
      <c r="K184" s="250"/>
      <c r="L184" s="250"/>
      <c r="M184" s="250"/>
      <c r="N184" s="250"/>
      <c r="O184" s="250"/>
      <c r="P184" s="250"/>
      <c r="Q184" s="380"/>
      <c r="R184" s="380"/>
      <c r="S184" s="380"/>
      <c r="T184" s="380"/>
      <c r="U184" s="380"/>
      <c r="V184" s="256"/>
    </row>
    <row r="185" spans="1:22" s="245" customFormat="1">
      <c r="A185" s="241"/>
      <c r="B185" s="242" t="s">
        <v>175</v>
      </c>
      <c r="C185" s="243"/>
      <c r="D185" s="244"/>
      <c r="F185" s="248">
        <f>SUM(H185:V185)</f>
        <v>1</v>
      </c>
      <c r="G185" s="295"/>
      <c r="H185" s="249">
        <v>1</v>
      </c>
      <c r="I185" s="250"/>
      <c r="J185" s="250"/>
      <c r="K185" s="250"/>
      <c r="L185" s="250"/>
      <c r="M185" s="250"/>
      <c r="N185" s="250"/>
      <c r="O185" s="250"/>
      <c r="P185" s="250"/>
      <c r="Q185" s="380"/>
      <c r="R185" s="380"/>
      <c r="S185" s="380"/>
      <c r="T185" s="380"/>
      <c r="U185" s="380"/>
      <c r="V185" s="256"/>
    </row>
    <row r="186" spans="1:22" s="245" customFormat="1">
      <c r="A186" s="241"/>
      <c r="B186" s="242" t="s">
        <v>179</v>
      </c>
      <c r="C186" s="243"/>
      <c r="D186" s="244"/>
      <c r="F186" s="246"/>
      <c r="G186" s="296"/>
      <c r="H186" s="252" t="s">
        <v>3813</v>
      </c>
      <c r="I186" s="250"/>
      <c r="J186" s="250"/>
      <c r="K186" s="250"/>
      <c r="L186" s="250"/>
      <c r="M186" s="250"/>
      <c r="N186" s="250"/>
      <c r="O186" s="250"/>
      <c r="P186" s="250"/>
      <c r="Q186" s="380"/>
      <c r="R186" s="380"/>
      <c r="S186" s="380"/>
      <c r="T186" s="380"/>
      <c r="U186" s="380"/>
      <c r="V186" s="256"/>
    </row>
    <row r="187" spans="1:22" s="245" customFormat="1" ht="13.8" thickBot="1">
      <c r="A187" s="241"/>
      <c r="B187" s="242" t="s">
        <v>3020</v>
      </c>
      <c r="C187" s="243"/>
      <c r="D187" s="244"/>
      <c r="F187" s="246"/>
      <c r="G187" s="296"/>
      <c r="H187" s="991" t="s">
        <v>3814</v>
      </c>
      <c r="I187" s="250"/>
      <c r="J187" s="250"/>
      <c r="K187" s="250"/>
      <c r="L187" s="250"/>
      <c r="M187" s="250"/>
      <c r="N187" s="250"/>
      <c r="O187" s="250"/>
      <c r="P187" s="250"/>
      <c r="Q187" s="380"/>
      <c r="R187" s="380"/>
      <c r="S187" s="380"/>
      <c r="T187" s="380"/>
      <c r="U187" s="380"/>
      <c r="V187" s="256"/>
    </row>
    <row r="188" spans="1:22" s="245" customFormat="1" ht="14.4" thickTop="1" thickBot="1">
      <c r="A188" s="241"/>
      <c r="B188" s="242" t="s">
        <v>178</v>
      </c>
      <c r="C188" s="243"/>
      <c r="D188" s="244"/>
      <c r="F188" s="248">
        <f>SUM(H188:V188)</f>
        <v>0</v>
      </c>
      <c r="G188" s="610">
        <f>F188/F183</f>
        <v>0</v>
      </c>
      <c r="H188" s="625"/>
      <c r="I188" s="299"/>
      <c r="J188" s="250"/>
      <c r="K188" s="250"/>
      <c r="L188" s="250"/>
      <c r="M188" s="250"/>
      <c r="N188" s="250"/>
      <c r="O188" s="250"/>
      <c r="P188" s="250"/>
      <c r="Q188" s="380"/>
      <c r="R188" s="380"/>
      <c r="S188" s="380"/>
      <c r="T188" s="380"/>
      <c r="U188" s="380"/>
      <c r="V188" s="256"/>
    </row>
    <row r="189" spans="1:22" s="245" customFormat="1" ht="13.8" thickTop="1">
      <c r="A189" s="241"/>
      <c r="B189" s="242" t="s">
        <v>3021</v>
      </c>
      <c r="C189" s="243"/>
      <c r="D189" s="244"/>
      <c r="F189" s="246"/>
      <c r="G189" s="296"/>
      <c r="H189" s="612"/>
      <c r="I189" s="250"/>
      <c r="J189" s="250"/>
      <c r="K189" s="250"/>
      <c r="L189" s="250"/>
      <c r="M189" s="250"/>
      <c r="N189" s="250"/>
      <c r="O189" s="250"/>
      <c r="P189" s="250"/>
      <c r="Q189" s="380"/>
      <c r="R189" s="380"/>
      <c r="S189" s="380"/>
      <c r="T189" s="380"/>
      <c r="U189" s="380"/>
      <c r="V189" s="256"/>
    </row>
    <row r="190" spans="1:22" s="163" customFormat="1">
      <c r="A190" s="174"/>
      <c r="B190" s="247" t="s">
        <v>116</v>
      </c>
      <c r="C190" s="165"/>
      <c r="D190" s="176"/>
      <c r="F190" s="170"/>
      <c r="G190" s="297"/>
      <c r="H190" s="174"/>
      <c r="I190" s="166"/>
      <c r="J190" s="166"/>
      <c r="K190" s="166"/>
      <c r="L190" s="166"/>
      <c r="M190" s="166"/>
      <c r="N190" s="166"/>
      <c r="O190" s="166"/>
      <c r="P190" s="166"/>
      <c r="Q190" s="291"/>
      <c r="R190" s="291"/>
      <c r="S190" s="291"/>
      <c r="T190" s="291"/>
      <c r="U190" s="291"/>
      <c r="V190" s="175"/>
    </row>
    <row r="191" spans="1:22" s="245" customFormat="1">
      <c r="A191" s="241"/>
      <c r="B191" s="242" t="s">
        <v>326</v>
      </c>
      <c r="C191" s="243"/>
      <c r="D191" s="244"/>
      <c r="F191" s="248">
        <v>1</v>
      </c>
      <c r="G191" s="295"/>
      <c r="H191" s="249"/>
      <c r="I191" s="250"/>
      <c r="J191" s="250"/>
      <c r="K191" s="250"/>
      <c r="L191" s="250"/>
      <c r="M191" s="250"/>
      <c r="N191" s="250"/>
      <c r="O191" s="250"/>
      <c r="P191" s="250"/>
      <c r="Q191" s="380"/>
      <c r="R191" s="380"/>
      <c r="S191" s="380"/>
      <c r="T191" s="380"/>
      <c r="U191" s="380"/>
      <c r="V191" s="256"/>
    </row>
    <row r="192" spans="1:22" s="245" customFormat="1">
      <c r="A192" s="241"/>
      <c r="B192" s="242" t="s">
        <v>3134</v>
      </c>
      <c r="C192" s="243"/>
      <c r="D192" s="244"/>
      <c r="F192" s="248">
        <f>SUM(H192:V192)</f>
        <v>0</v>
      </c>
      <c r="G192" s="295"/>
      <c r="H192" s="249"/>
      <c r="I192" s="250"/>
      <c r="J192" s="250"/>
      <c r="K192" s="250"/>
      <c r="L192" s="250"/>
      <c r="M192" s="250"/>
      <c r="N192" s="250"/>
      <c r="O192" s="250"/>
      <c r="P192" s="250"/>
      <c r="Q192" s="380"/>
      <c r="R192" s="380"/>
      <c r="S192" s="380"/>
      <c r="T192" s="380"/>
      <c r="U192" s="380"/>
      <c r="V192" s="256"/>
    </row>
    <row r="193" spans="1:22" s="245" customFormat="1">
      <c r="A193" s="241"/>
      <c r="B193" s="242" t="s">
        <v>175</v>
      </c>
      <c r="C193" s="243"/>
      <c r="D193" s="244"/>
      <c r="F193" s="248">
        <f>SUM(H193:V193)</f>
        <v>0</v>
      </c>
      <c r="G193" s="295"/>
      <c r="H193" s="249"/>
      <c r="I193" s="250"/>
      <c r="J193" s="250"/>
      <c r="K193" s="250"/>
      <c r="L193" s="250"/>
      <c r="M193" s="250"/>
      <c r="N193" s="250"/>
      <c r="O193" s="250"/>
      <c r="P193" s="250"/>
      <c r="Q193" s="380"/>
      <c r="R193" s="380"/>
      <c r="S193" s="380"/>
      <c r="T193" s="380"/>
      <c r="U193" s="380"/>
      <c r="V193" s="256"/>
    </row>
    <row r="194" spans="1:22" s="245" customFormat="1">
      <c r="A194" s="241"/>
      <c r="B194" s="242" t="s">
        <v>179</v>
      </c>
      <c r="C194" s="243"/>
      <c r="D194" s="244"/>
      <c r="F194" s="246"/>
      <c r="G194" s="296"/>
      <c r="H194" s="249"/>
      <c r="I194" s="250"/>
      <c r="J194" s="250"/>
      <c r="K194" s="250"/>
      <c r="L194" s="250"/>
      <c r="M194" s="250"/>
      <c r="N194" s="250"/>
      <c r="O194" s="250"/>
      <c r="P194" s="250"/>
      <c r="Q194" s="380"/>
      <c r="R194" s="380"/>
      <c r="S194" s="380"/>
      <c r="T194" s="380"/>
      <c r="U194" s="380"/>
      <c r="V194" s="256"/>
    </row>
    <row r="195" spans="1:22" s="245" customFormat="1" ht="13.8" thickBot="1">
      <c r="A195" s="241"/>
      <c r="B195" s="242" t="s">
        <v>3020</v>
      </c>
      <c r="C195" s="243"/>
      <c r="D195" s="244"/>
      <c r="F195" s="246"/>
      <c r="G195" s="296"/>
      <c r="H195" s="611"/>
      <c r="I195" s="250"/>
      <c r="J195" s="250"/>
      <c r="K195" s="250"/>
      <c r="L195" s="250"/>
      <c r="M195" s="250"/>
      <c r="N195" s="250"/>
      <c r="O195" s="250"/>
      <c r="P195" s="250"/>
      <c r="Q195" s="380"/>
      <c r="R195" s="380"/>
      <c r="S195" s="380"/>
      <c r="T195" s="380"/>
      <c r="U195" s="380"/>
      <c r="V195" s="256"/>
    </row>
    <row r="196" spans="1:22" s="245" customFormat="1" ht="14.4" thickTop="1" thickBot="1">
      <c r="A196" s="241"/>
      <c r="B196" s="242" t="s">
        <v>178</v>
      </c>
      <c r="C196" s="243"/>
      <c r="D196" s="244"/>
      <c r="F196" s="248">
        <f>SUM(H196:V196)</f>
        <v>0</v>
      </c>
      <c r="G196" s="610">
        <f>F196/F191</f>
        <v>0</v>
      </c>
      <c r="H196" s="625"/>
      <c r="I196" s="299"/>
      <c r="J196" s="250"/>
      <c r="K196" s="250"/>
      <c r="L196" s="250"/>
      <c r="M196" s="250"/>
      <c r="N196" s="250"/>
      <c r="O196" s="250"/>
      <c r="P196" s="250"/>
      <c r="Q196" s="380"/>
      <c r="R196" s="380"/>
      <c r="S196" s="380"/>
      <c r="T196" s="380"/>
      <c r="U196" s="380"/>
      <c r="V196" s="256"/>
    </row>
    <row r="197" spans="1:22" s="245" customFormat="1" ht="13.8" thickTop="1">
      <c r="A197" s="241"/>
      <c r="B197" s="242" t="s">
        <v>3021</v>
      </c>
      <c r="C197" s="243"/>
      <c r="D197" s="244"/>
      <c r="F197" s="246"/>
      <c r="G197" s="296"/>
      <c r="H197" s="612"/>
      <c r="I197" s="250"/>
      <c r="J197" s="250"/>
      <c r="K197" s="250"/>
      <c r="L197" s="250"/>
      <c r="M197" s="250"/>
      <c r="N197" s="250"/>
      <c r="O197" s="250"/>
      <c r="P197" s="250"/>
      <c r="Q197" s="380"/>
      <c r="R197" s="380"/>
      <c r="S197" s="380"/>
      <c r="T197" s="380"/>
      <c r="U197" s="380"/>
      <c r="V197" s="256"/>
    </row>
    <row r="198" spans="1:22" s="163" customFormat="1">
      <c r="A198" s="174"/>
      <c r="B198" s="247" t="s">
        <v>117</v>
      </c>
      <c r="C198" s="165"/>
      <c r="D198" s="176"/>
      <c r="F198" s="170"/>
      <c r="G198" s="297"/>
      <c r="H198" s="174"/>
      <c r="I198" s="166"/>
      <c r="J198" s="166"/>
      <c r="K198" s="166"/>
      <c r="L198" s="166"/>
      <c r="M198" s="166"/>
      <c r="N198" s="166"/>
      <c r="O198" s="166"/>
      <c r="P198" s="166"/>
      <c r="Q198" s="291"/>
      <c r="R198" s="291"/>
      <c r="S198" s="291"/>
      <c r="T198" s="291"/>
      <c r="U198" s="291"/>
      <c r="V198" s="175"/>
    </row>
    <row r="199" spans="1:22" s="245" customFormat="1">
      <c r="A199" s="241"/>
      <c r="B199" s="242" t="s">
        <v>326</v>
      </c>
      <c r="C199" s="243"/>
      <c r="D199" s="244"/>
      <c r="F199" s="248">
        <f>SUM(H199:V199)</f>
        <v>0</v>
      </c>
      <c r="G199" s="295"/>
      <c r="H199" s="249"/>
      <c r="I199" s="250"/>
      <c r="J199" s="250"/>
      <c r="K199" s="250"/>
      <c r="L199" s="250"/>
      <c r="M199" s="250"/>
      <c r="N199" s="250"/>
      <c r="O199" s="250"/>
      <c r="P199" s="250"/>
      <c r="Q199" s="380"/>
      <c r="R199" s="380"/>
      <c r="S199" s="380"/>
      <c r="T199" s="380"/>
      <c r="U199" s="380"/>
      <c r="V199" s="256"/>
    </row>
    <row r="200" spans="1:22" s="245" customFormat="1">
      <c r="A200" s="241"/>
      <c r="B200" s="242" t="s">
        <v>3134</v>
      </c>
      <c r="C200" s="243"/>
      <c r="D200" s="244"/>
      <c r="F200" s="248">
        <f>SUM(H200:V200)</f>
        <v>0</v>
      </c>
      <c r="G200" s="295"/>
      <c r="H200" s="249"/>
      <c r="I200" s="250"/>
      <c r="J200" s="250"/>
      <c r="K200" s="250"/>
      <c r="L200" s="250"/>
      <c r="M200" s="250"/>
      <c r="N200" s="250"/>
      <c r="O200" s="250"/>
      <c r="P200" s="250"/>
      <c r="Q200" s="380"/>
      <c r="R200" s="380"/>
      <c r="S200" s="380"/>
      <c r="T200" s="380"/>
      <c r="U200" s="380"/>
      <c r="V200" s="256"/>
    </row>
    <row r="201" spans="1:22" s="245" customFormat="1">
      <c r="A201" s="241"/>
      <c r="B201" s="242" t="s">
        <v>175</v>
      </c>
      <c r="C201" s="243"/>
      <c r="D201" s="244"/>
      <c r="F201" s="248">
        <f>SUM(H201:V201)</f>
        <v>0</v>
      </c>
      <c r="G201" s="295"/>
      <c r="H201" s="249"/>
      <c r="I201" s="250"/>
      <c r="J201" s="250"/>
      <c r="K201" s="250"/>
      <c r="L201" s="250"/>
      <c r="M201" s="250"/>
      <c r="N201" s="250"/>
      <c r="O201" s="250"/>
      <c r="P201" s="250"/>
      <c r="Q201" s="380"/>
      <c r="R201" s="380"/>
      <c r="S201" s="380"/>
      <c r="T201" s="380"/>
      <c r="U201" s="380"/>
      <c r="V201" s="256"/>
    </row>
    <row r="202" spans="1:22" s="245" customFormat="1">
      <c r="A202" s="241"/>
      <c r="B202" s="242" t="s">
        <v>179</v>
      </c>
      <c r="C202" s="243"/>
      <c r="D202" s="244"/>
      <c r="F202" s="246"/>
      <c r="G202" s="296"/>
      <c r="H202" s="249"/>
      <c r="I202" s="250"/>
      <c r="J202" s="250"/>
      <c r="K202" s="250"/>
      <c r="L202" s="250"/>
      <c r="M202" s="250"/>
      <c r="N202" s="250"/>
      <c r="O202" s="250"/>
      <c r="P202" s="250"/>
      <c r="Q202" s="380"/>
      <c r="R202" s="380"/>
      <c r="S202" s="380"/>
      <c r="T202" s="380"/>
      <c r="U202" s="380"/>
      <c r="V202" s="256"/>
    </row>
    <row r="203" spans="1:22" s="245" customFormat="1">
      <c r="A203" s="241"/>
      <c r="B203" s="242" t="s">
        <v>3020</v>
      </c>
      <c r="C203" s="243"/>
      <c r="D203" s="244"/>
      <c r="F203" s="246"/>
      <c r="G203" s="296"/>
      <c r="H203" s="249"/>
      <c r="I203" s="250"/>
      <c r="J203" s="250"/>
      <c r="K203" s="250"/>
      <c r="L203" s="250"/>
      <c r="M203" s="250"/>
      <c r="N203" s="250"/>
      <c r="O203" s="250"/>
      <c r="P203" s="250"/>
      <c r="Q203" s="380"/>
      <c r="R203" s="380"/>
      <c r="S203" s="380"/>
      <c r="T203" s="380"/>
      <c r="U203" s="380"/>
      <c r="V203" s="256"/>
    </row>
    <row r="204" spans="1:22" s="245" customFormat="1">
      <c r="A204" s="241"/>
      <c r="B204" s="242" t="s">
        <v>178</v>
      </c>
      <c r="C204" s="243"/>
      <c r="D204" s="244"/>
      <c r="F204" s="248">
        <f>SUM(H204:V204)</f>
        <v>0</v>
      </c>
      <c r="G204" s="295"/>
      <c r="H204" s="249"/>
      <c r="I204" s="250"/>
      <c r="J204" s="250"/>
      <c r="K204" s="250"/>
      <c r="L204" s="250"/>
      <c r="M204" s="250"/>
      <c r="N204" s="250"/>
      <c r="O204" s="250"/>
      <c r="P204" s="250"/>
      <c r="Q204" s="380"/>
      <c r="R204" s="380"/>
      <c r="S204" s="380"/>
      <c r="T204" s="380"/>
      <c r="U204" s="380"/>
      <c r="V204" s="256"/>
    </row>
    <row r="205" spans="1:22" s="245" customFormat="1">
      <c r="A205" s="241"/>
      <c r="B205" s="242" t="s">
        <v>3021</v>
      </c>
      <c r="C205" s="243"/>
      <c r="D205" s="244"/>
      <c r="F205" s="246"/>
      <c r="G205" s="296"/>
      <c r="H205" s="249"/>
      <c r="I205" s="250"/>
      <c r="J205" s="250"/>
      <c r="K205" s="250"/>
      <c r="L205" s="250"/>
      <c r="M205" s="250"/>
      <c r="N205" s="250"/>
      <c r="O205" s="250"/>
      <c r="P205" s="250"/>
      <c r="Q205" s="380"/>
      <c r="R205" s="380"/>
      <c r="S205" s="380"/>
      <c r="T205" s="380"/>
      <c r="U205" s="380"/>
      <c r="V205" s="256"/>
    </row>
    <row r="206" spans="1:22" s="163" customFormat="1">
      <c r="A206" s="174"/>
      <c r="B206" s="247" t="s">
        <v>118</v>
      </c>
      <c r="C206" s="165"/>
      <c r="D206" s="176"/>
      <c r="F206" s="170"/>
      <c r="G206" s="297"/>
      <c r="H206" s="174"/>
      <c r="I206" s="166"/>
      <c r="J206" s="166"/>
      <c r="K206" s="166"/>
      <c r="L206" s="166"/>
      <c r="M206" s="166"/>
      <c r="N206" s="166"/>
      <c r="O206" s="166"/>
      <c r="P206" s="166"/>
      <c r="Q206" s="291"/>
      <c r="R206" s="291"/>
      <c r="S206" s="291"/>
      <c r="T206" s="291"/>
      <c r="U206" s="291"/>
      <c r="V206" s="175"/>
    </row>
    <row r="207" spans="1:22" s="245" customFormat="1">
      <c r="A207" s="241"/>
      <c r="B207" s="242" t="s">
        <v>326</v>
      </c>
      <c r="C207" s="243"/>
      <c r="D207" s="244"/>
      <c r="F207" s="248">
        <f>SUM(H207:V207)</f>
        <v>0</v>
      </c>
      <c r="G207" s="295"/>
      <c r="H207" s="249"/>
      <c r="I207" s="250"/>
      <c r="J207" s="250"/>
      <c r="K207" s="250"/>
      <c r="L207" s="250"/>
      <c r="M207" s="250"/>
      <c r="N207" s="250"/>
      <c r="O207" s="250"/>
      <c r="P207" s="250"/>
      <c r="Q207" s="380"/>
      <c r="R207" s="380"/>
      <c r="S207" s="380"/>
      <c r="T207" s="380"/>
      <c r="U207" s="380"/>
      <c r="V207" s="256"/>
    </row>
    <row r="208" spans="1:22" s="245" customFormat="1">
      <c r="A208" s="241"/>
      <c r="B208" s="242" t="s">
        <v>3134</v>
      </c>
      <c r="C208" s="243"/>
      <c r="D208" s="244"/>
      <c r="F208" s="248">
        <f>SUM(H208:V208)</f>
        <v>0</v>
      </c>
      <c r="G208" s="295"/>
      <c r="H208" s="249"/>
      <c r="I208" s="250"/>
      <c r="J208" s="250"/>
      <c r="K208" s="250"/>
      <c r="L208" s="250"/>
      <c r="M208" s="250"/>
      <c r="N208" s="250"/>
      <c r="O208" s="250"/>
      <c r="P208" s="250"/>
      <c r="Q208" s="380"/>
      <c r="R208" s="380"/>
      <c r="S208" s="380"/>
      <c r="T208" s="380"/>
      <c r="U208" s="380"/>
      <c r="V208" s="256"/>
    </row>
    <row r="209" spans="1:22" s="245" customFormat="1">
      <c r="A209" s="241"/>
      <c r="B209" s="242" t="s">
        <v>175</v>
      </c>
      <c r="C209" s="243"/>
      <c r="D209" s="244"/>
      <c r="F209" s="248">
        <f>SUM(H209:V209)</f>
        <v>0</v>
      </c>
      <c r="G209" s="295"/>
      <c r="H209" s="249"/>
      <c r="I209" s="250"/>
      <c r="J209" s="250"/>
      <c r="K209" s="250"/>
      <c r="L209" s="250"/>
      <c r="M209" s="250"/>
      <c r="N209" s="250"/>
      <c r="O209" s="250"/>
      <c r="P209" s="250"/>
      <c r="Q209" s="380"/>
      <c r="R209" s="380"/>
      <c r="S209" s="380"/>
      <c r="T209" s="380"/>
      <c r="U209" s="380"/>
      <c r="V209" s="256"/>
    </row>
    <row r="210" spans="1:22" s="245" customFormat="1">
      <c r="A210" s="241"/>
      <c r="B210" s="242" t="s">
        <v>179</v>
      </c>
      <c r="C210" s="243"/>
      <c r="D210" s="244"/>
      <c r="F210" s="246"/>
      <c r="G210" s="296"/>
      <c r="H210" s="249"/>
      <c r="I210" s="250"/>
      <c r="J210" s="250"/>
      <c r="K210" s="250"/>
      <c r="L210" s="250"/>
      <c r="M210" s="250"/>
      <c r="N210" s="250"/>
      <c r="O210" s="250"/>
      <c r="P210" s="250"/>
      <c r="Q210" s="380"/>
      <c r="R210" s="380"/>
      <c r="S210" s="380"/>
      <c r="T210" s="380"/>
      <c r="U210" s="380"/>
      <c r="V210" s="256"/>
    </row>
    <row r="211" spans="1:22" s="245" customFormat="1">
      <c r="A211" s="241"/>
      <c r="B211" s="242" t="s">
        <v>3020</v>
      </c>
      <c r="C211" s="243"/>
      <c r="D211" s="244"/>
      <c r="F211" s="246"/>
      <c r="G211" s="296"/>
      <c r="H211" s="249"/>
      <c r="I211" s="250"/>
      <c r="J211" s="250"/>
      <c r="K211" s="250"/>
      <c r="L211" s="250"/>
      <c r="M211" s="250"/>
      <c r="N211" s="250"/>
      <c r="O211" s="250"/>
      <c r="P211" s="250"/>
      <c r="Q211" s="380"/>
      <c r="R211" s="380"/>
      <c r="S211" s="380"/>
      <c r="T211" s="380"/>
      <c r="U211" s="380"/>
      <c r="V211" s="256"/>
    </row>
    <row r="212" spans="1:22" s="245" customFormat="1">
      <c r="A212" s="241"/>
      <c r="B212" s="242" t="s">
        <v>178</v>
      </c>
      <c r="C212" s="243"/>
      <c r="D212" s="244"/>
      <c r="F212" s="248">
        <f>SUM(H212:V212)</f>
        <v>0</v>
      </c>
      <c r="G212" s="295"/>
      <c r="H212" s="249"/>
      <c r="I212" s="250"/>
      <c r="J212" s="250"/>
      <c r="K212" s="250"/>
      <c r="L212" s="250"/>
      <c r="M212" s="250"/>
      <c r="N212" s="250"/>
      <c r="O212" s="250"/>
      <c r="P212" s="250"/>
      <c r="Q212" s="380"/>
      <c r="R212" s="380"/>
      <c r="S212" s="380"/>
      <c r="T212" s="380"/>
      <c r="U212" s="380"/>
      <c r="V212" s="256"/>
    </row>
    <row r="213" spans="1:22" s="245" customFormat="1">
      <c r="A213" s="241"/>
      <c r="B213" s="242" t="s">
        <v>3021</v>
      </c>
      <c r="C213" s="243"/>
      <c r="D213" s="244"/>
      <c r="F213" s="246"/>
      <c r="G213" s="296"/>
      <c r="H213" s="249"/>
      <c r="I213" s="250"/>
      <c r="J213" s="250"/>
      <c r="K213" s="250"/>
      <c r="L213" s="250"/>
      <c r="M213" s="250"/>
      <c r="N213" s="250"/>
      <c r="O213" s="250"/>
      <c r="P213" s="250"/>
      <c r="Q213" s="380"/>
      <c r="R213" s="380"/>
      <c r="S213" s="380"/>
      <c r="T213" s="380"/>
      <c r="U213" s="380"/>
      <c r="V213" s="256"/>
    </row>
    <row r="214" spans="1:22" s="163" customFormat="1">
      <c r="A214" s="174"/>
      <c r="B214" s="247" t="s">
        <v>119</v>
      </c>
      <c r="C214" s="165"/>
      <c r="D214" s="176"/>
      <c r="F214" s="170"/>
      <c r="G214" s="297"/>
      <c r="H214" s="174"/>
      <c r="I214" s="166"/>
      <c r="J214" s="166"/>
      <c r="K214" s="166"/>
      <c r="L214" s="166"/>
      <c r="M214" s="166"/>
      <c r="N214" s="166"/>
      <c r="O214" s="166"/>
      <c r="P214" s="166"/>
      <c r="Q214" s="291"/>
      <c r="R214" s="291"/>
      <c r="S214" s="291"/>
      <c r="T214" s="291"/>
      <c r="U214" s="291"/>
      <c r="V214" s="175"/>
    </row>
    <row r="215" spans="1:22" s="245" customFormat="1">
      <c r="A215" s="241"/>
      <c r="B215" s="242" t="s">
        <v>326</v>
      </c>
      <c r="C215" s="243"/>
      <c r="D215" s="244"/>
      <c r="F215" s="248">
        <f>SUM(H215:V215)</f>
        <v>0</v>
      </c>
      <c r="G215" s="295"/>
      <c r="H215" s="249"/>
      <c r="I215" s="250"/>
      <c r="J215" s="250"/>
      <c r="K215" s="250"/>
      <c r="L215" s="250"/>
      <c r="M215" s="250"/>
      <c r="N215" s="250"/>
      <c r="O215" s="250"/>
      <c r="P215" s="250"/>
      <c r="Q215" s="380"/>
      <c r="R215" s="380"/>
      <c r="S215" s="380"/>
      <c r="T215" s="380"/>
      <c r="U215" s="380"/>
      <c r="V215" s="256"/>
    </row>
    <row r="216" spans="1:22" s="245" customFormat="1">
      <c r="A216" s="241"/>
      <c r="B216" s="242" t="s">
        <v>3134</v>
      </c>
      <c r="C216" s="243"/>
      <c r="D216" s="244"/>
      <c r="F216" s="248">
        <f>SUM(H216:V216)</f>
        <v>0</v>
      </c>
      <c r="G216" s="295"/>
      <c r="H216" s="249"/>
      <c r="I216" s="250"/>
      <c r="J216" s="250"/>
      <c r="K216" s="250"/>
      <c r="L216" s="250"/>
      <c r="M216" s="250"/>
      <c r="N216" s="250"/>
      <c r="O216" s="250"/>
      <c r="P216" s="250"/>
      <c r="Q216" s="380"/>
      <c r="R216" s="380"/>
      <c r="S216" s="380"/>
      <c r="T216" s="380"/>
      <c r="U216" s="380"/>
      <c r="V216" s="256"/>
    </row>
    <row r="217" spans="1:22" s="245" customFormat="1">
      <c r="A217" s="241"/>
      <c r="B217" s="242" t="s">
        <v>175</v>
      </c>
      <c r="C217" s="243"/>
      <c r="D217" s="244"/>
      <c r="F217" s="248">
        <f>SUM(H217:V217)</f>
        <v>0</v>
      </c>
      <c r="G217" s="295"/>
      <c r="H217" s="249"/>
      <c r="I217" s="250"/>
      <c r="J217" s="250"/>
      <c r="K217" s="250"/>
      <c r="L217" s="250"/>
      <c r="M217" s="250"/>
      <c r="N217" s="250"/>
      <c r="O217" s="250"/>
      <c r="P217" s="250"/>
      <c r="Q217" s="380"/>
      <c r="R217" s="380"/>
      <c r="S217" s="380"/>
      <c r="T217" s="380"/>
      <c r="U217" s="380"/>
      <c r="V217" s="256"/>
    </row>
    <row r="218" spans="1:22" s="245" customFormat="1">
      <c r="A218" s="241"/>
      <c r="B218" s="242" t="s">
        <v>179</v>
      </c>
      <c r="C218" s="243"/>
      <c r="D218" s="244"/>
      <c r="F218" s="246"/>
      <c r="G218" s="296"/>
      <c r="H218" s="249"/>
      <c r="I218" s="250"/>
      <c r="J218" s="250"/>
      <c r="K218" s="250"/>
      <c r="L218" s="250"/>
      <c r="M218" s="250"/>
      <c r="N218" s="250"/>
      <c r="O218" s="250"/>
      <c r="P218" s="250"/>
      <c r="Q218" s="380"/>
      <c r="R218" s="380"/>
      <c r="S218" s="380"/>
      <c r="T218" s="380"/>
      <c r="U218" s="380"/>
      <c r="V218" s="256"/>
    </row>
    <row r="219" spans="1:22" s="245" customFormat="1">
      <c r="A219" s="241"/>
      <c r="B219" s="242" t="s">
        <v>3020</v>
      </c>
      <c r="C219" s="243"/>
      <c r="D219" s="244"/>
      <c r="F219" s="246"/>
      <c r="G219" s="296"/>
      <c r="H219" s="249"/>
      <c r="I219" s="250"/>
      <c r="J219" s="250"/>
      <c r="K219" s="250"/>
      <c r="L219" s="250"/>
      <c r="M219" s="250"/>
      <c r="N219" s="250"/>
      <c r="O219" s="250"/>
      <c r="P219" s="250"/>
      <c r="Q219" s="380"/>
      <c r="R219" s="380"/>
      <c r="S219" s="380"/>
      <c r="T219" s="380"/>
      <c r="U219" s="380"/>
      <c r="V219" s="256"/>
    </row>
    <row r="220" spans="1:22" s="245" customFormat="1">
      <c r="A220" s="241"/>
      <c r="B220" s="242" t="s">
        <v>178</v>
      </c>
      <c r="C220" s="243"/>
      <c r="D220" s="244"/>
      <c r="F220" s="248">
        <f>SUM(H220:V220)</f>
        <v>0</v>
      </c>
      <c r="G220" s="295"/>
      <c r="H220" s="249"/>
      <c r="I220" s="250"/>
      <c r="J220" s="250"/>
      <c r="K220" s="250"/>
      <c r="L220" s="250"/>
      <c r="M220" s="250"/>
      <c r="N220" s="250"/>
      <c r="O220" s="250"/>
      <c r="P220" s="250"/>
      <c r="Q220" s="380"/>
      <c r="R220" s="380"/>
      <c r="S220" s="380"/>
      <c r="T220" s="380"/>
      <c r="U220" s="380"/>
      <c r="V220" s="256"/>
    </row>
    <row r="221" spans="1:22" s="245" customFormat="1">
      <c r="A221" s="241"/>
      <c r="B221" s="242" t="s">
        <v>3021</v>
      </c>
      <c r="C221" s="243"/>
      <c r="D221" s="244"/>
      <c r="F221" s="246"/>
      <c r="G221" s="296"/>
      <c r="H221" s="249"/>
      <c r="I221" s="250"/>
      <c r="J221" s="250"/>
      <c r="K221" s="250"/>
      <c r="L221" s="250"/>
      <c r="M221" s="250"/>
      <c r="N221" s="250"/>
      <c r="O221" s="250"/>
      <c r="P221" s="250"/>
      <c r="Q221" s="380"/>
      <c r="R221" s="380"/>
      <c r="S221" s="380"/>
      <c r="T221" s="380"/>
      <c r="U221" s="380"/>
      <c r="V221" s="256"/>
    </row>
    <row r="222" spans="1:22" s="163" customFormat="1">
      <c r="A222" s="174"/>
      <c r="B222" s="166"/>
      <c r="C222" s="165"/>
      <c r="D222" s="176"/>
      <c r="F222" s="170"/>
      <c r="G222" s="297"/>
      <c r="H222" s="174"/>
      <c r="I222" s="166"/>
      <c r="J222" s="166"/>
      <c r="K222" s="166"/>
      <c r="L222" s="166"/>
      <c r="M222" s="166"/>
      <c r="N222" s="166"/>
      <c r="O222" s="166"/>
      <c r="P222" s="166"/>
      <c r="Q222" s="291"/>
      <c r="R222" s="291"/>
      <c r="S222" s="291"/>
      <c r="T222" s="291"/>
      <c r="U222" s="291"/>
      <c r="V222" s="175"/>
    </row>
    <row r="223" spans="1:22" s="162" customFormat="1">
      <c r="A223" s="279"/>
      <c r="B223" s="280" t="s">
        <v>324</v>
      </c>
      <c r="C223" s="281"/>
      <c r="D223" s="282" t="s">
        <v>325</v>
      </c>
      <c r="E223" s="283"/>
      <c r="F223" s="284">
        <f>SUM(F253,F293,F301,F317,F325,F381,F389)</f>
        <v>18</v>
      </c>
      <c r="G223" s="293"/>
      <c r="H223" s="449"/>
      <c r="I223" s="450"/>
      <c r="J223" s="450"/>
      <c r="K223" s="450"/>
      <c r="L223" s="450"/>
      <c r="M223" s="450"/>
      <c r="N223" s="450"/>
      <c r="O223" s="450"/>
      <c r="P223" s="450"/>
      <c r="Q223" s="451"/>
      <c r="R223" s="451"/>
      <c r="S223" s="451"/>
      <c r="T223" s="451"/>
      <c r="U223" s="451"/>
      <c r="V223" s="452"/>
    </row>
    <row r="224" spans="1:22" s="162" customFormat="1">
      <c r="A224" s="279"/>
      <c r="B224" s="286" t="s">
        <v>3134</v>
      </c>
      <c r="C224" s="281"/>
      <c r="D224" s="282"/>
      <c r="E224" s="283"/>
      <c r="F224" s="290">
        <f>SUM(F254,F294,F302,F318,F326,F382,F390)</f>
        <v>20</v>
      </c>
      <c r="G224" s="294">
        <f>F224/F223</f>
        <v>1.1111111111111112</v>
      </c>
      <c r="H224" s="449"/>
      <c r="I224" s="450"/>
      <c r="J224" s="450"/>
      <c r="K224" s="450"/>
      <c r="L224" s="450"/>
      <c r="M224" s="450"/>
      <c r="N224" s="450"/>
      <c r="O224" s="450"/>
      <c r="P224" s="450"/>
      <c r="Q224" s="451"/>
      <c r="R224" s="451"/>
      <c r="S224" s="451"/>
      <c r="T224" s="451"/>
      <c r="U224" s="451"/>
      <c r="V224" s="452"/>
    </row>
    <row r="225" spans="1:22" s="263" customFormat="1">
      <c r="A225" s="285"/>
      <c r="B225" s="286" t="s">
        <v>175</v>
      </c>
      <c r="C225" s="287"/>
      <c r="D225" s="288"/>
      <c r="E225" s="289"/>
      <c r="F225" s="290">
        <f>SUM(F255,F295,F303,F319,F327,F383,F391)</f>
        <v>20</v>
      </c>
      <c r="G225" s="294">
        <f>F225/F223</f>
        <v>1.1111111111111112</v>
      </c>
      <c r="H225" s="264"/>
      <c r="I225" s="265"/>
      <c r="J225" s="265"/>
      <c r="K225" s="265"/>
      <c r="L225" s="265"/>
      <c r="M225" s="265"/>
      <c r="N225" s="265"/>
      <c r="O225" s="265"/>
      <c r="P225" s="265"/>
      <c r="Q225" s="379"/>
      <c r="R225" s="379"/>
      <c r="S225" s="379"/>
      <c r="T225" s="379"/>
      <c r="U225" s="379"/>
      <c r="V225" s="266"/>
    </row>
    <row r="226" spans="1:22" s="263" customFormat="1">
      <c r="A226" s="285"/>
      <c r="B226" s="286" t="s">
        <v>178</v>
      </c>
      <c r="C226" s="287"/>
      <c r="D226" s="288"/>
      <c r="E226" s="289"/>
      <c r="F226" s="290">
        <f>SUM(F258,F298,F306,F322,F330,F386,F394)</f>
        <v>7</v>
      </c>
      <c r="G226" s="294">
        <f>F226/F223</f>
        <v>0.3888888888888889</v>
      </c>
      <c r="H226" s="264"/>
      <c r="I226" s="265"/>
      <c r="J226" s="265"/>
      <c r="K226" s="265"/>
      <c r="L226" s="265"/>
      <c r="M226" s="265"/>
      <c r="N226" s="265"/>
      <c r="O226" s="265"/>
      <c r="P226" s="265"/>
      <c r="Q226" s="379"/>
      <c r="R226" s="379"/>
      <c r="S226" s="379"/>
      <c r="T226" s="379"/>
      <c r="U226" s="379"/>
      <c r="V226" s="266"/>
    </row>
    <row r="227" spans="1:22" s="263" customFormat="1">
      <c r="A227" s="259"/>
      <c r="B227" s="260"/>
      <c r="C227" s="261"/>
      <c r="D227" s="262"/>
      <c r="F227" s="248"/>
      <c r="G227" s="295"/>
      <c r="H227" s="264"/>
      <c r="I227" s="265"/>
      <c r="J227" s="265"/>
      <c r="K227" s="265"/>
      <c r="L227" s="265"/>
      <c r="M227" s="265"/>
      <c r="N227" s="265"/>
      <c r="O227" s="265"/>
      <c r="P227" s="265"/>
      <c r="Q227" s="379"/>
      <c r="R227" s="379"/>
      <c r="S227" s="379"/>
      <c r="T227" s="379"/>
      <c r="U227" s="379"/>
      <c r="V227" s="266"/>
    </row>
    <row r="228" spans="1:22" s="163" customFormat="1">
      <c r="A228" s="174"/>
      <c r="B228" s="247" t="s">
        <v>93</v>
      </c>
      <c r="C228" s="165"/>
      <c r="D228" s="176"/>
      <c r="F228" s="170"/>
      <c r="G228" s="297"/>
      <c r="H228" s="174"/>
      <c r="I228" s="166"/>
      <c r="J228" s="166"/>
      <c r="K228" s="166"/>
      <c r="L228" s="166"/>
      <c r="M228" s="166"/>
      <c r="N228" s="166"/>
      <c r="O228" s="166"/>
      <c r="P228" s="166"/>
      <c r="Q228" s="291"/>
      <c r="R228" s="291"/>
      <c r="S228" s="291"/>
      <c r="T228" s="291"/>
      <c r="U228" s="291"/>
      <c r="V228" s="175"/>
    </row>
    <row r="229" spans="1:22" s="245" customFormat="1">
      <c r="A229" s="241"/>
      <c r="B229" s="242" t="s">
        <v>326</v>
      </c>
      <c r="C229" s="243"/>
      <c r="D229" s="244"/>
      <c r="F229" s="248">
        <v>7</v>
      </c>
      <c r="G229" s="295"/>
      <c r="H229" s="249"/>
      <c r="I229" s="250"/>
      <c r="J229" s="250"/>
      <c r="K229" s="250"/>
      <c r="L229" s="250"/>
      <c r="M229" s="250"/>
      <c r="N229" s="250"/>
      <c r="O229" s="250"/>
      <c r="P229" s="250"/>
      <c r="Q229" s="380"/>
      <c r="R229" s="380"/>
      <c r="S229" s="380"/>
      <c r="T229" s="380"/>
      <c r="U229" s="380"/>
      <c r="V229" s="256"/>
    </row>
    <row r="230" spans="1:22" s="245" customFormat="1">
      <c r="A230" s="241"/>
      <c r="B230" s="242" t="s">
        <v>3134</v>
      </c>
      <c r="C230" s="243"/>
      <c r="D230" s="244"/>
      <c r="F230" s="248">
        <f>SUM(H230:V230)</f>
        <v>7</v>
      </c>
      <c r="G230" s="295"/>
      <c r="H230" s="249">
        <v>1</v>
      </c>
      <c r="I230" s="250">
        <v>1</v>
      </c>
      <c r="J230" s="250">
        <v>1</v>
      </c>
      <c r="K230" s="250">
        <v>1</v>
      </c>
      <c r="L230" s="250">
        <v>1</v>
      </c>
      <c r="M230" s="250">
        <v>1</v>
      </c>
      <c r="N230" s="250">
        <v>1</v>
      </c>
      <c r="O230" s="250"/>
      <c r="P230" s="250"/>
      <c r="Q230" s="380"/>
      <c r="R230" s="380"/>
      <c r="S230" s="380"/>
      <c r="T230" s="380"/>
      <c r="U230" s="380"/>
      <c r="V230" s="256"/>
    </row>
    <row r="231" spans="1:22" s="245" customFormat="1">
      <c r="A231" s="241"/>
      <c r="B231" s="242" t="s">
        <v>175</v>
      </c>
      <c r="C231" s="243"/>
      <c r="D231" s="244"/>
      <c r="F231" s="248">
        <f>SUM(H231:V231)</f>
        <v>7</v>
      </c>
      <c r="G231" s="295"/>
      <c r="H231" s="249">
        <v>1</v>
      </c>
      <c r="I231" s="250">
        <v>1</v>
      </c>
      <c r="J231" s="250">
        <v>1</v>
      </c>
      <c r="K231" s="250">
        <v>1</v>
      </c>
      <c r="L231" s="250">
        <v>1</v>
      </c>
      <c r="M231" s="250">
        <v>1</v>
      </c>
      <c r="N231" s="250">
        <v>1</v>
      </c>
      <c r="O231" s="250"/>
      <c r="P231" s="250"/>
      <c r="Q231" s="380"/>
      <c r="R231" s="380"/>
      <c r="S231" s="380"/>
      <c r="T231" s="380"/>
      <c r="U231" s="380"/>
      <c r="V231" s="256"/>
    </row>
    <row r="232" spans="1:22" s="245" customFormat="1">
      <c r="A232" s="241"/>
      <c r="B232" s="242" t="s">
        <v>179</v>
      </c>
      <c r="C232" s="243"/>
      <c r="D232" s="244"/>
      <c r="F232" s="246"/>
      <c r="G232" s="296"/>
      <c r="H232" s="576" t="s">
        <v>3704</v>
      </c>
      <c r="I232" s="596" t="s">
        <v>3150</v>
      </c>
      <c r="J232" s="250">
        <v>2050</v>
      </c>
      <c r="K232" s="250">
        <v>2050</v>
      </c>
      <c r="L232" s="250">
        <v>2071</v>
      </c>
      <c r="M232" s="250">
        <v>2071</v>
      </c>
      <c r="N232" s="250"/>
      <c r="O232" s="250"/>
      <c r="P232" s="250"/>
      <c r="Q232" s="380"/>
      <c r="R232" s="380"/>
      <c r="S232" s="380"/>
      <c r="T232" s="380"/>
      <c r="U232" s="380"/>
      <c r="V232" s="256"/>
    </row>
    <row r="233" spans="1:22" s="245" customFormat="1">
      <c r="A233" s="241"/>
      <c r="B233" s="242" t="s">
        <v>3020</v>
      </c>
      <c r="C233" s="243"/>
      <c r="D233" s="244"/>
      <c r="F233" s="246"/>
      <c r="G233" s="296"/>
      <c r="H233" s="249"/>
      <c r="I233" s="250">
        <v>192</v>
      </c>
      <c r="J233" s="250">
        <v>192</v>
      </c>
      <c r="K233" s="250">
        <v>192</v>
      </c>
      <c r="L233" s="251" t="s">
        <v>2852</v>
      </c>
      <c r="M233" s="250">
        <v>194</v>
      </c>
      <c r="N233" s="250"/>
      <c r="O233" s="250"/>
      <c r="P233" s="250"/>
      <c r="Q233" s="380"/>
      <c r="R233" s="380"/>
      <c r="S233" s="380"/>
      <c r="T233" s="380"/>
      <c r="U233" s="380"/>
      <c r="V233" s="256"/>
    </row>
    <row r="234" spans="1:22" s="245" customFormat="1">
      <c r="A234" s="241"/>
      <c r="B234" s="242" t="s">
        <v>178</v>
      </c>
      <c r="C234" s="243"/>
      <c r="D234" s="244"/>
      <c r="F234" s="248">
        <f>SUM(H234:V234)</f>
        <v>7</v>
      </c>
      <c r="G234" s="294">
        <f>F234/F229</f>
        <v>1</v>
      </c>
      <c r="H234" s="249">
        <v>1</v>
      </c>
      <c r="I234" s="250">
        <v>1</v>
      </c>
      <c r="J234" s="250">
        <v>1</v>
      </c>
      <c r="K234" s="250">
        <v>1</v>
      </c>
      <c r="L234" s="250">
        <v>1</v>
      </c>
      <c r="M234" s="250">
        <v>1</v>
      </c>
      <c r="N234" s="250">
        <v>1</v>
      </c>
      <c r="O234" s="250"/>
      <c r="P234" s="250"/>
      <c r="Q234" s="380"/>
      <c r="R234" s="380"/>
      <c r="S234" s="380"/>
      <c r="T234" s="380"/>
      <c r="U234" s="380"/>
      <c r="V234" s="256"/>
    </row>
    <row r="235" spans="1:22" s="245" customFormat="1">
      <c r="A235" s="241"/>
      <c r="B235" s="242" t="s">
        <v>3021</v>
      </c>
      <c r="C235" s="243"/>
      <c r="D235" s="244"/>
      <c r="F235" s="246"/>
      <c r="G235" s="296"/>
      <c r="H235" s="249"/>
      <c r="I235" s="250"/>
      <c r="J235" s="250"/>
      <c r="K235" s="250"/>
      <c r="L235" s="250"/>
      <c r="M235" s="250"/>
      <c r="N235" s="250"/>
      <c r="O235" s="250"/>
      <c r="P235" s="250"/>
      <c r="Q235" s="380"/>
      <c r="R235" s="380"/>
      <c r="S235" s="380"/>
      <c r="T235" s="380"/>
      <c r="U235" s="380"/>
      <c r="V235" s="256"/>
    </row>
    <row r="236" spans="1:22" s="163" customFormat="1">
      <c r="A236" s="174"/>
      <c r="B236" s="247" t="s">
        <v>120</v>
      </c>
      <c r="C236" s="165"/>
      <c r="D236" s="176"/>
      <c r="F236" s="170"/>
      <c r="G236" s="297"/>
      <c r="H236" s="174"/>
      <c r="I236" s="166"/>
      <c r="J236" s="166"/>
      <c r="K236" s="166"/>
      <c r="L236" s="166"/>
      <c r="M236" s="166"/>
      <c r="N236" s="166"/>
      <c r="O236" s="166"/>
      <c r="P236" s="166"/>
      <c r="Q236" s="291"/>
      <c r="R236" s="291"/>
      <c r="S236" s="291"/>
      <c r="T236" s="291"/>
      <c r="U236" s="291"/>
      <c r="V236" s="175"/>
    </row>
    <row r="237" spans="1:22" s="245" customFormat="1">
      <c r="A237" s="241"/>
      <c r="B237" s="242" t="s">
        <v>326</v>
      </c>
      <c r="C237" s="243"/>
      <c r="D237" s="244"/>
      <c r="F237" s="248">
        <v>7</v>
      </c>
      <c r="G237" s="295"/>
      <c r="H237" s="249"/>
      <c r="I237" s="250"/>
      <c r="J237" s="250"/>
      <c r="K237" s="250"/>
      <c r="L237" s="250"/>
      <c r="M237" s="250"/>
      <c r="N237" s="250"/>
      <c r="O237" s="250"/>
      <c r="P237" s="250"/>
      <c r="Q237" s="380"/>
      <c r="R237" s="380"/>
      <c r="S237" s="380"/>
      <c r="T237" s="380"/>
      <c r="U237" s="380"/>
      <c r="V237" s="256"/>
    </row>
    <row r="238" spans="1:22" s="245" customFormat="1">
      <c r="A238" s="241"/>
      <c r="B238" s="242" t="s">
        <v>3134</v>
      </c>
      <c r="C238" s="243"/>
      <c r="D238" s="244"/>
      <c r="F238" s="248">
        <f>SUM(H238:V238)</f>
        <v>7</v>
      </c>
      <c r="G238" s="295"/>
      <c r="H238" s="249">
        <v>1</v>
      </c>
      <c r="I238" s="250">
        <v>1</v>
      </c>
      <c r="J238" s="250">
        <v>1</v>
      </c>
      <c r="K238" s="250">
        <v>1</v>
      </c>
      <c r="L238" s="250">
        <v>1</v>
      </c>
      <c r="M238" s="250">
        <v>1</v>
      </c>
      <c r="N238" s="250">
        <v>1</v>
      </c>
      <c r="O238" s="250"/>
      <c r="P238" s="250"/>
      <c r="Q238" s="380"/>
      <c r="R238" s="380"/>
      <c r="S238" s="380"/>
      <c r="T238" s="380"/>
      <c r="U238" s="380"/>
      <c r="V238" s="256"/>
    </row>
    <row r="239" spans="1:22" s="245" customFormat="1">
      <c r="A239" s="241"/>
      <c r="B239" s="242" t="s">
        <v>175</v>
      </c>
      <c r="C239" s="243"/>
      <c r="D239" s="244"/>
      <c r="F239" s="248">
        <f>SUM(H239:V239)</f>
        <v>7</v>
      </c>
      <c r="G239" s="295"/>
      <c r="H239" s="249">
        <v>1</v>
      </c>
      <c r="I239" s="250">
        <v>1</v>
      </c>
      <c r="J239" s="250">
        <v>1</v>
      </c>
      <c r="K239" s="250">
        <v>1</v>
      </c>
      <c r="L239" s="250">
        <v>1</v>
      </c>
      <c r="M239" s="250">
        <v>1</v>
      </c>
      <c r="N239" s="250">
        <v>1</v>
      </c>
      <c r="O239" s="250"/>
      <c r="P239" s="250"/>
      <c r="Q239" s="380"/>
      <c r="R239" s="380"/>
      <c r="S239" s="380"/>
      <c r="T239" s="380"/>
      <c r="U239" s="380"/>
      <c r="V239" s="256"/>
    </row>
    <row r="240" spans="1:22" s="245" customFormat="1">
      <c r="A240" s="241"/>
      <c r="B240" s="242" t="s">
        <v>179</v>
      </c>
      <c r="C240" s="243"/>
      <c r="D240" s="244"/>
      <c r="F240" s="246"/>
      <c r="G240" s="296"/>
      <c r="H240" s="483" t="s">
        <v>3007</v>
      </c>
      <c r="I240" s="250">
        <v>1543</v>
      </c>
      <c r="J240" s="250">
        <v>1543</v>
      </c>
      <c r="K240" s="250">
        <v>1543</v>
      </c>
      <c r="L240" s="250">
        <v>1553</v>
      </c>
      <c r="M240" s="250">
        <v>1553</v>
      </c>
      <c r="N240" s="250">
        <v>1553</v>
      </c>
      <c r="O240" s="250"/>
      <c r="P240" s="250"/>
      <c r="Q240" s="380"/>
      <c r="R240" s="380"/>
      <c r="S240" s="380"/>
      <c r="T240" s="380"/>
      <c r="U240" s="380"/>
      <c r="V240" s="256"/>
    </row>
    <row r="241" spans="1:22" s="245" customFormat="1">
      <c r="A241" s="241"/>
      <c r="B241" s="242" t="s">
        <v>3020</v>
      </c>
      <c r="C241" s="243"/>
      <c r="D241" s="244"/>
      <c r="F241" s="246"/>
      <c r="G241" s="296"/>
      <c r="H241" s="252" t="s">
        <v>3019</v>
      </c>
      <c r="I241" s="250"/>
      <c r="J241" s="250"/>
      <c r="K241" s="250"/>
      <c r="L241" s="250"/>
      <c r="M241" s="250"/>
      <c r="N241" s="250"/>
      <c r="O241" s="250"/>
      <c r="P241" s="250"/>
      <c r="Q241" s="380"/>
      <c r="R241" s="380"/>
      <c r="S241" s="380"/>
      <c r="T241" s="380"/>
      <c r="U241" s="380"/>
      <c r="V241" s="256"/>
    </row>
    <row r="242" spans="1:22" s="245" customFormat="1">
      <c r="A242" s="241"/>
      <c r="B242" s="242" t="s">
        <v>178</v>
      </c>
      <c r="C242" s="243"/>
      <c r="D242" s="244"/>
      <c r="F242" s="248">
        <f>SUM(H242:V242)</f>
        <v>7</v>
      </c>
      <c r="G242" s="294">
        <f>F242/F237</f>
        <v>1</v>
      </c>
      <c r="H242" s="249">
        <v>1</v>
      </c>
      <c r="I242" s="250">
        <v>1</v>
      </c>
      <c r="J242" s="250">
        <v>1</v>
      </c>
      <c r="K242" s="250">
        <v>1</v>
      </c>
      <c r="L242" s="250">
        <v>1</v>
      </c>
      <c r="M242" s="250">
        <v>1</v>
      </c>
      <c r="N242" s="250">
        <v>1</v>
      </c>
      <c r="O242" s="250"/>
      <c r="P242" s="250"/>
      <c r="Q242" s="380"/>
      <c r="R242" s="380"/>
      <c r="S242" s="380"/>
      <c r="T242" s="380"/>
      <c r="U242" s="380"/>
      <c r="V242" s="256"/>
    </row>
    <row r="243" spans="1:22" s="245" customFormat="1">
      <c r="A243" s="241"/>
      <c r="B243" s="242" t="s">
        <v>3021</v>
      </c>
      <c r="C243" s="243"/>
      <c r="D243" s="244"/>
      <c r="F243" s="246"/>
      <c r="G243" s="296"/>
      <c r="H243" s="249"/>
      <c r="I243" s="250"/>
      <c r="J243" s="250"/>
      <c r="K243" s="250"/>
      <c r="L243" s="250"/>
      <c r="M243" s="250"/>
      <c r="N243" s="250"/>
      <c r="O243" s="250"/>
      <c r="P243" s="250"/>
      <c r="Q243" s="380"/>
      <c r="R243" s="380"/>
      <c r="S243" s="380"/>
      <c r="T243" s="380"/>
      <c r="U243" s="380"/>
      <c r="V243" s="256"/>
    </row>
    <row r="244" spans="1:22" s="163" customFormat="1">
      <c r="A244" s="174"/>
      <c r="B244" s="247" t="s">
        <v>121</v>
      </c>
      <c r="C244" s="165"/>
      <c r="D244" s="176"/>
      <c r="F244" s="170"/>
      <c r="G244" s="297"/>
      <c r="H244" s="174"/>
      <c r="I244" s="166"/>
      <c r="J244" s="166"/>
      <c r="K244" s="166"/>
      <c r="L244" s="166"/>
      <c r="M244" s="166"/>
      <c r="N244" s="166"/>
      <c r="O244" s="166"/>
      <c r="P244" s="166"/>
      <c r="Q244" s="291"/>
      <c r="R244" s="291"/>
      <c r="S244" s="291"/>
      <c r="T244" s="291"/>
      <c r="U244" s="291"/>
      <c r="V244" s="175"/>
    </row>
    <row r="245" spans="1:22" s="245" customFormat="1">
      <c r="A245" s="241"/>
      <c r="B245" s="242" t="s">
        <v>326</v>
      </c>
      <c r="C245" s="243"/>
      <c r="D245" s="244"/>
      <c r="F245" s="248">
        <v>7</v>
      </c>
      <c r="G245" s="295"/>
      <c r="H245" s="249"/>
      <c r="I245" s="250"/>
      <c r="J245" s="250"/>
      <c r="K245" s="250"/>
      <c r="L245" s="250"/>
      <c r="M245" s="250"/>
      <c r="N245" s="250"/>
      <c r="O245" s="250"/>
      <c r="P245" s="250"/>
      <c r="Q245" s="380"/>
      <c r="R245" s="380"/>
      <c r="S245" s="380"/>
      <c r="T245" s="380"/>
      <c r="U245" s="380"/>
      <c r="V245" s="256"/>
    </row>
    <row r="246" spans="1:22" s="245" customFormat="1">
      <c r="A246" s="241"/>
      <c r="B246" s="242" t="s">
        <v>3134</v>
      </c>
      <c r="C246" s="243"/>
      <c r="D246" s="244"/>
      <c r="F246" s="248">
        <f>SUM(H246:V246)</f>
        <v>7</v>
      </c>
      <c r="G246" s="295"/>
      <c r="H246" s="249">
        <v>1</v>
      </c>
      <c r="I246" s="250">
        <v>1</v>
      </c>
      <c r="J246" s="250">
        <v>1</v>
      </c>
      <c r="K246" s="250">
        <v>1</v>
      </c>
      <c r="L246" s="250">
        <v>1</v>
      </c>
      <c r="M246" s="250">
        <v>1</v>
      </c>
      <c r="N246" s="250">
        <v>1</v>
      </c>
      <c r="O246" s="250"/>
      <c r="P246" s="250"/>
      <c r="Q246" s="380"/>
      <c r="R246" s="380"/>
      <c r="S246" s="380"/>
      <c r="T246" s="380"/>
      <c r="U246" s="380"/>
      <c r="V246" s="256"/>
    </row>
    <row r="247" spans="1:22" s="245" customFormat="1">
      <c r="A247" s="241"/>
      <c r="B247" s="242" t="s">
        <v>175</v>
      </c>
      <c r="C247" s="243"/>
      <c r="D247" s="244"/>
      <c r="F247" s="248">
        <f>SUM(H247:V247)</f>
        <v>7</v>
      </c>
      <c r="G247" s="295"/>
      <c r="H247" s="249">
        <v>1</v>
      </c>
      <c r="I247" s="250">
        <v>1</v>
      </c>
      <c r="J247" s="250">
        <v>1</v>
      </c>
      <c r="K247" s="250">
        <v>1</v>
      </c>
      <c r="L247" s="250">
        <v>1</v>
      </c>
      <c r="M247" s="250">
        <v>1</v>
      </c>
      <c r="N247" s="250">
        <v>1</v>
      </c>
      <c r="O247" s="250"/>
      <c r="P247" s="250"/>
      <c r="Q247" s="380"/>
      <c r="R247" s="380"/>
      <c r="S247" s="380"/>
      <c r="T247" s="380"/>
      <c r="U247" s="380"/>
      <c r="V247" s="256"/>
    </row>
    <row r="248" spans="1:22" s="245" customFormat="1">
      <c r="A248" s="241"/>
      <c r="B248" s="242" t="s">
        <v>179</v>
      </c>
      <c r="C248" s="243"/>
      <c r="D248" s="244"/>
      <c r="F248" s="246"/>
      <c r="G248" s="296"/>
      <c r="H248" s="483" t="s">
        <v>3090</v>
      </c>
      <c r="I248" s="575" t="s">
        <v>3097</v>
      </c>
      <c r="J248" s="250">
        <v>1579</v>
      </c>
      <c r="K248" s="250">
        <v>1579</v>
      </c>
      <c r="L248" s="250">
        <v>1579</v>
      </c>
      <c r="M248" s="250">
        <v>1579</v>
      </c>
      <c r="N248" s="250">
        <v>1581</v>
      </c>
      <c r="O248" s="250"/>
      <c r="P248" s="250"/>
      <c r="Q248" s="380"/>
      <c r="R248" s="380"/>
      <c r="S248" s="380"/>
      <c r="T248" s="380"/>
      <c r="U248" s="380"/>
      <c r="V248" s="256"/>
    </row>
    <row r="249" spans="1:22" s="245" customFormat="1">
      <c r="A249" s="241"/>
      <c r="B249" s="242" t="s">
        <v>3020</v>
      </c>
      <c r="C249" s="243"/>
      <c r="D249" s="244"/>
      <c r="F249" s="246"/>
      <c r="G249" s="296"/>
      <c r="H249" s="249"/>
      <c r="I249" s="250"/>
      <c r="J249" s="250"/>
      <c r="K249" s="250"/>
      <c r="L249" s="250"/>
      <c r="M249" s="250"/>
      <c r="N249" s="250">
        <v>139</v>
      </c>
      <c r="O249" s="250"/>
      <c r="P249" s="250"/>
      <c r="Q249" s="380"/>
      <c r="R249" s="380"/>
      <c r="S249" s="380"/>
      <c r="T249" s="380"/>
      <c r="U249" s="380"/>
      <c r="V249" s="256"/>
    </row>
    <row r="250" spans="1:22" s="245" customFormat="1">
      <c r="A250" s="241"/>
      <c r="B250" s="242" t="s">
        <v>178</v>
      </c>
      <c r="C250" s="243"/>
      <c r="D250" s="244"/>
      <c r="F250" s="248">
        <f>SUM(H250:V250)</f>
        <v>7</v>
      </c>
      <c r="G250" s="294">
        <f>F250/F245</f>
        <v>1</v>
      </c>
      <c r="H250" s="249">
        <v>1</v>
      </c>
      <c r="I250" s="250">
        <v>1</v>
      </c>
      <c r="J250" s="250">
        <v>1</v>
      </c>
      <c r="K250" s="250">
        <v>1</v>
      </c>
      <c r="L250" s="250">
        <v>1</v>
      </c>
      <c r="M250" s="250">
        <v>1</v>
      </c>
      <c r="N250" s="250">
        <v>1</v>
      </c>
      <c r="O250" s="250"/>
      <c r="P250" s="250"/>
      <c r="Q250" s="380"/>
      <c r="R250" s="380"/>
      <c r="S250" s="380"/>
      <c r="T250" s="380"/>
      <c r="U250" s="380"/>
      <c r="V250" s="256"/>
    </row>
    <row r="251" spans="1:22" s="245" customFormat="1">
      <c r="A251" s="241"/>
      <c r="B251" s="242" t="s">
        <v>3021</v>
      </c>
      <c r="C251" s="243"/>
      <c r="D251" s="244"/>
      <c r="F251" s="246"/>
      <c r="G251" s="296"/>
      <c r="H251" s="249"/>
      <c r="I251" s="250"/>
      <c r="J251" s="250"/>
      <c r="K251" s="250"/>
      <c r="L251" s="250"/>
      <c r="M251" s="250"/>
      <c r="N251" s="250"/>
      <c r="O251" s="250"/>
      <c r="P251" s="250"/>
      <c r="Q251" s="380"/>
      <c r="R251" s="380"/>
      <c r="S251" s="380"/>
      <c r="T251" s="380"/>
      <c r="U251" s="380"/>
      <c r="V251" s="256"/>
    </row>
    <row r="252" spans="1:22" s="163" customFormat="1">
      <c r="A252" s="174"/>
      <c r="B252" s="247" t="s">
        <v>122</v>
      </c>
      <c r="C252" s="165"/>
      <c r="D252" s="176"/>
      <c r="F252" s="170"/>
      <c r="G252" s="297"/>
      <c r="H252" s="174"/>
      <c r="I252" s="250"/>
      <c r="J252" s="166"/>
      <c r="K252" s="166"/>
      <c r="L252" s="166"/>
      <c r="M252" s="166"/>
      <c r="N252" s="166"/>
      <c r="O252" s="166"/>
      <c r="P252" s="166"/>
      <c r="Q252" s="291"/>
      <c r="R252" s="291"/>
      <c r="S252" s="291"/>
      <c r="T252" s="291"/>
      <c r="U252" s="291"/>
      <c r="V252" s="175"/>
    </row>
    <row r="253" spans="1:22" s="245" customFormat="1">
      <c r="A253" s="241"/>
      <c r="B253" s="242" t="s">
        <v>326</v>
      </c>
      <c r="C253" s="243"/>
      <c r="D253" s="244"/>
      <c r="F253" s="248">
        <v>1</v>
      </c>
      <c r="G253" s="295"/>
      <c r="H253" s="249"/>
      <c r="I253" s="250"/>
      <c r="J253" s="250"/>
      <c r="K253" s="250"/>
      <c r="L253" s="250"/>
      <c r="M253" s="250"/>
      <c r="N253" s="250"/>
      <c r="O253" s="250"/>
      <c r="P253" s="250"/>
      <c r="Q253" s="380"/>
      <c r="R253" s="380"/>
      <c r="S253" s="380"/>
      <c r="T253" s="380"/>
      <c r="U253" s="380"/>
      <c r="V253" s="256"/>
    </row>
    <row r="254" spans="1:22" s="245" customFormat="1">
      <c r="A254" s="241"/>
      <c r="B254" s="242" t="s">
        <v>3134</v>
      </c>
      <c r="C254" s="243"/>
      <c r="D254" s="244"/>
      <c r="F254" s="248">
        <f>SUM(H254:V254)</f>
        <v>1</v>
      </c>
      <c r="G254" s="295"/>
      <c r="H254" s="249"/>
      <c r="I254" s="250">
        <v>1</v>
      </c>
      <c r="J254" s="250"/>
      <c r="K254" s="250"/>
      <c r="L254" s="250"/>
      <c r="M254" s="250"/>
      <c r="N254" s="250"/>
      <c r="O254" s="250"/>
      <c r="P254" s="250"/>
      <c r="Q254" s="380"/>
      <c r="R254" s="380"/>
      <c r="S254" s="380"/>
      <c r="T254" s="380"/>
      <c r="U254" s="380"/>
      <c r="V254" s="256"/>
    </row>
    <row r="255" spans="1:22" s="245" customFormat="1">
      <c r="A255" s="241"/>
      <c r="B255" s="242" t="s">
        <v>175</v>
      </c>
      <c r="C255" s="243"/>
      <c r="D255" s="244"/>
      <c r="F255" s="248">
        <f>SUM(H255:V255)</f>
        <v>1</v>
      </c>
      <c r="G255" s="295"/>
      <c r="H255" s="249"/>
      <c r="I255" s="250">
        <v>1</v>
      </c>
      <c r="J255" s="250"/>
      <c r="K255" s="250"/>
      <c r="L255" s="250"/>
      <c r="M255" s="250"/>
      <c r="N255" s="250"/>
      <c r="O255" s="250"/>
      <c r="P255" s="250"/>
      <c r="Q255" s="380"/>
      <c r="R255" s="380"/>
      <c r="S255" s="380"/>
      <c r="T255" s="380"/>
      <c r="U255" s="380"/>
      <c r="V255" s="256"/>
    </row>
    <row r="256" spans="1:22" s="245" customFormat="1" ht="15.6">
      <c r="A256" s="241"/>
      <c r="B256" s="242" t="s">
        <v>179</v>
      </c>
      <c r="C256" s="243"/>
      <c r="D256" s="244"/>
      <c r="F256" s="246"/>
      <c r="G256" s="296"/>
      <c r="H256" s="574" t="s">
        <v>3094</v>
      </c>
      <c r="I256" s="595" t="s">
        <v>3164</v>
      </c>
      <c r="J256" s="250">
        <v>1581</v>
      </c>
      <c r="K256" s="250">
        <v>1956</v>
      </c>
      <c r="L256" s="250">
        <v>1818</v>
      </c>
      <c r="M256" s="250">
        <v>2023</v>
      </c>
      <c r="N256" s="250">
        <v>1944</v>
      </c>
      <c r="O256" s="250"/>
      <c r="P256" s="250"/>
      <c r="Q256" s="380"/>
      <c r="R256" s="380"/>
      <c r="S256" s="380"/>
      <c r="T256" s="380"/>
      <c r="U256" s="380"/>
      <c r="V256" s="256"/>
    </row>
    <row r="257" spans="1:22" s="245" customFormat="1" ht="13.8" thickBot="1">
      <c r="A257" s="241"/>
      <c r="B257" s="242" t="s">
        <v>3020</v>
      </c>
      <c r="C257" s="243"/>
      <c r="D257" s="244"/>
      <c r="F257" s="246"/>
      <c r="G257" s="296"/>
      <c r="H257" s="249">
        <v>139</v>
      </c>
      <c r="I257" s="614">
        <v>139</v>
      </c>
      <c r="J257" s="250">
        <v>139</v>
      </c>
      <c r="K257" s="250">
        <v>178</v>
      </c>
      <c r="L257" s="250">
        <v>165</v>
      </c>
      <c r="M257" s="250">
        <v>186</v>
      </c>
      <c r="N257" s="250">
        <v>177</v>
      </c>
      <c r="O257" s="250"/>
      <c r="P257" s="250"/>
      <c r="Q257" s="380"/>
      <c r="R257" s="380"/>
      <c r="S257" s="380"/>
      <c r="T257" s="380"/>
      <c r="U257" s="380"/>
      <c r="V257" s="256"/>
    </row>
    <row r="258" spans="1:22" s="245" customFormat="1" ht="14.4" thickTop="1" thickBot="1">
      <c r="A258" s="241"/>
      <c r="B258" s="242" t="s">
        <v>178</v>
      </c>
      <c r="C258" s="243"/>
      <c r="D258" s="244"/>
      <c r="F258" s="248">
        <f>SUM(H258:V258)</f>
        <v>1</v>
      </c>
      <c r="G258" s="610">
        <f>F258/F253</f>
        <v>1</v>
      </c>
      <c r="H258" s="769"/>
      <c r="I258" s="918">
        <v>1</v>
      </c>
      <c r="J258" s="299"/>
      <c r="K258" s="250"/>
      <c r="L258" s="250"/>
      <c r="M258" s="250"/>
      <c r="N258" s="250"/>
      <c r="O258" s="250"/>
      <c r="P258" s="250"/>
      <c r="Q258" s="380"/>
      <c r="R258" s="380"/>
      <c r="S258" s="380"/>
      <c r="T258" s="380"/>
      <c r="U258" s="380"/>
      <c r="V258" s="256"/>
    </row>
    <row r="259" spans="1:22" s="245" customFormat="1" ht="13.8" thickTop="1">
      <c r="A259" s="241"/>
      <c r="B259" s="242" t="s">
        <v>3021</v>
      </c>
      <c r="C259" s="243"/>
      <c r="D259" s="244"/>
      <c r="F259" s="246"/>
      <c r="G259" s="296"/>
      <c r="H259" s="249"/>
      <c r="I259" s="616"/>
      <c r="J259" s="250"/>
      <c r="K259" s="250"/>
      <c r="L259" s="250"/>
      <c r="M259" s="250"/>
      <c r="N259" s="250"/>
      <c r="O259" s="250"/>
      <c r="P259" s="250"/>
      <c r="Q259" s="380"/>
      <c r="R259" s="380"/>
      <c r="S259" s="380"/>
      <c r="T259" s="380"/>
      <c r="U259" s="380"/>
      <c r="V259" s="256"/>
    </row>
    <row r="260" spans="1:22" s="163" customFormat="1">
      <c r="A260" s="174"/>
      <c r="B260" s="247" t="s">
        <v>123</v>
      </c>
      <c r="C260" s="165"/>
      <c r="D260" s="176"/>
      <c r="F260" s="170"/>
      <c r="G260" s="297"/>
      <c r="H260" s="174"/>
      <c r="I260" s="166"/>
      <c r="J260" s="166"/>
      <c r="K260" s="166"/>
      <c r="L260" s="166"/>
      <c r="M260" s="166"/>
      <c r="N260" s="166"/>
      <c r="O260" s="166"/>
      <c r="P260" s="166"/>
      <c r="Q260" s="291"/>
      <c r="R260" s="291"/>
      <c r="S260" s="291"/>
      <c r="T260" s="291"/>
      <c r="U260" s="291"/>
      <c r="V260" s="175"/>
    </row>
    <row r="261" spans="1:22" s="245" customFormat="1">
      <c r="A261" s="241"/>
      <c r="B261" s="242" t="s">
        <v>326</v>
      </c>
      <c r="C261" s="243"/>
      <c r="D261" s="244"/>
      <c r="F261" s="248">
        <v>7</v>
      </c>
      <c r="G261" s="295"/>
      <c r="H261" s="249"/>
      <c r="I261" s="250"/>
      <c r="J261" s="250"/>
      <c r="K261" s="250"/>
      <c r="L261" s="250"/>
      <c r="M261" s="250"/>
      <c r="N261" s="250"/>
      <c r="O261" s="250"/>
      <c r="P261" s="250"/>
      <c r="Q261" s="380"/>
      <c r="R261" s="380"/>
      <c r="S261" s="380"/>
      <c r="T261" s="380"/>
      <c r="U261" s="380"/>
      <c r="V261" s="256"/>
    </row>
    <row r="262" spans="1:22" s="245" customFormat="1">
      <c r="A262" s="241"/>
      <c r="B262" s="242" t="s">
        <v>3134</v>
      </c>
      <c r="C262" s="243"/>
      <c r="D262" s="244"/>
      <c r="F262" s="248">
        <f>SUM(H262:V262)</f>
        <v>7</v>
      </c>
      <c r="G262" s="295"/>
      <c r="H262" s="249">
        <v>1</v>
      </c>
      <c r="I262" s="250">
        <v>1</v>
      </c>
      <c r="J262" s="250">
        <v>1</v>
      </c>
      <c r="K262" s="250">
        <v>1</v>
      </c>
      <c r="L262" s="250">
        <v>1</v>
      </c>
      <c r="M262" s="250">
        <v>1</v>
      </c>
      <c r="N262" s="250">
        <v>1</v>
      </c>
      <c r="O262" s="250"/>
      <c r="P262" s="250"/>
      <c r="Q262" s="380"/>
      <c r="R262" s="380"/>
      <c r="S262" s="380"/>
      <c r="T262" s="380"/>
      <c r="U262" s="380"/>
      <c r="V262" s="256"/>
    </row>
    <row r="263" spans="1:22" s="245" customFormat="1">
      <c r="A263" s="241"/>
      <c r="B263" s="242" t="s">
        <v>175</v>
      </c>
      <c r="C263" s="243"/>
      <c r="D263" s="244"/>
      <c r="F263" s="248">
        <f>SUM(H263:V263)</f>
        <v>7</v>
      </c>
      <c r="G263" s="295"/>
      <c r="H263" s="249">
        <v>1</v>
      </c>
      <c r="I263" s="250">
        <v>1</v>
      </c>
      <c r="J263" s="250">
        <v>1</v>
      </c>
      <c r="K263" s="380">
        <v>1</v>
      </c>
      <c r="L263" s="250">
        <v>1</v>
      </c>
      <c r="M263" s="250">
        <v>1</v>
      </c>
      <c r="N263" s="250">
        <v>1</v>
      </c>
      <c r="O263" s="250"/>
      <c r="P263" s="250"/>
      <c r="Q263" s="380"/>
      <c r="R263" s="380"/>
      <c r="S263" s="380"/>
      <c r="T263" s="380"/>
      <c r="U263" s="380"/>
      <c r="V263" s="256"/>
    </row>
    <row r="264" spans="1:22" s="245" customFormat="1">
      <c r="A264" s="241"/>
      <c r="B264" s="242" t="s">
        <v>179</v>
      </c>
      <c r="C264" s="243"/>
      <c r="D264" s="244"/>
      <c r="F264" s="246"/>
      <c r="G264" s="296"/>
      <c r="H264" s="483" t="s">
        <v>3091</v>
      </c>
      <c r="I264" s="250">
        <v>1944</v>
      </c>
      <c r="J264" s="250">
        <v>1944</v>
      </c>
      <c r="K264" s="380">
        <v>1973</v>
      </c>
      <c r="L264" s="250">
        <v>2080</v>
      </c>
      <c r="M264" s="250">
        <v>2080</v>
      </c>
      <c r="N264" s="250">
        <v>2080</v>
      </c>
      <c r="O264" s="250"/>
      <c r="P264" s="250"/>
      <c r="Q264" s="380"/>
      <c r="R264" s="380"/>
      <c r="S264" s="380"/>
      <c r="T264" s="380"/>
      <c r="U264" s="380"/>
      <c r="V264" s="256"/>
    </row>
    <row r="265" spans="1:22" s="245" customFormat="1" ht="13.8" thickBot="1">
      <c r="A265" s="241"/>
      <c r="B265" s="242" t="s">
        <v>3020</v>
      </c>
      <c r="C265" s="243"/>
      <c r="D265" s="244"/>
      <c r="F265" s="246"/>
      <c r="G265" s="296"/>
      <c r="H265" s="249">
        <v>177</v>
      </c>
      <c r="I265" s="250">
        <v>177</v>
      </c>
      <c r="J265" s="250">
        <v>177</v>
      </c>
      <c r="K265" s="380">
        <v>180</v>
      </c>
      <c r="L265" s="250">
        <v>195</v>
      </c>
      <c r="M265" s="614">
        <v>195</v>
      </c>
      <c r="N265" s="250">
        <v>195</v>
      </c>
      <c r="O265" s="250"/>
      <c r="P265" s="250"/>
      <c r="Q265" s="380"/>
      <c r="R265" s="380"/>
      <c r="S265" s="380"/>
      <c r="T265" s="380"/>
      <c r="U265" s="380"/>
      <c r="V265" s="256"/>
    </row>
    <row r="266" spans="1:22" s="245" customFormat="1" ht="14.4" thickTop="1" thickBot="1">
      <c r="A266" s="241"/>
      <c r="B266" s="242" t="s">
        <v>178</v>
      </c>
      <c r="C266" s="243"/>
      <c r="D266" s="244"/>
      <c r="F266" s="248">
        <f>SUM(H266:V266)</f>
        <v>7</v>
      </c>
      <c r="G266" s="610">
        <f>F266/F261</f>
        <v>1</v>
      </c>
      <c r="H266" s="249">
        <v>1</v>
      </c>
      <c r="I266" s="250">
        <v>1</v>
      </c>
      <c r="J266" s="250">
        <v>1</v>
      </c>
      <c r="K266" s="250">
        <v>1</v>
      </c>
      <c r="L266" s="380">
        <v>1</v>
      </c>
      <c r="M266" s="625">
        <v>1</v>
      </c>
      <c r="N266" s="299">
        <v>1</v>
      </c>
      <c r="O266" s="250"/>
      <c r="P266" s="250"/>
      <c r="Q266" s="380"/>
      <c r="R266" s="380"/>
      <c r="S266" s="380"/>
      <c r="T266" s="380"/>
      <c r="U266" s="380"/>
      <c r="V266" s="256"/>
    </row>
    <row r="267" spans="1:22" s="245" customFormat="1" ht="13.8" thickTop="1">
      <c r="A267" s="241"/>
      <c r="B267" s="242" t="s">
        <v>3021</v>
      </c>
      <c r="C267" s="243"/>
      <c r="D267" s="244"/>
      <c r="F267" s="246"/>
      <c r="G267" s="296"/>
      <c r="H267" s="252" t="s">
        <v>3354</v>
      </c>
      <c r="I267" s="251" t="s">
        <v>3354</v>
      </c>
      <c r="J267" s="251" t="s">
        <v>3354</v>
      </c>
      <c r="K267" s="251" t="s">
        <v>3354</v>
      </c>
      <c r="L267" s="251" t="s">
        <v>3354</v>
      </c>
      <c r="M267" s="251" t="s">
        <v>3354</v>
      </c>
      <c r="N267" s="250"/>
      <c r="O267" s="250"/>
      <c r="P267" s="250"/>
      <c r="Q267" s="380"/>
      <c r="R267" s="380"/>
      <c r="S267" s="380"/>
      <c r="T267" s="380"/>
      <c r="U267" s="380"/>
      <c r="V267" s="256"/>
    </row>
    <row r="268" spans="1:22" s="163" customFormat="1">
      <c r="A268" s="174"/>
      <c r="B268" s="247" t="s">
        <v>124</v>
      </c>
      <c r="C268" s="165"/>
      <c r="D268" s="176"/>
      <c r="F268" s="170"/>
      <c r="G268" s="297"/>
      <c r="H268" s="174"/>
      <c r="I268" s="166"/>
      <c r="J268" s="166"/>
      <c r="K268" s="166"/>
      <c r="L268" s="166"/>
      <c r="M268" s="166"/>
      <c r="N268" s="166"/>
      <c r="O268" s="166"/>
      <c r="P268" s="166"/>
      <c r="Q268" s="291"/>
      <c r="R268" s="291"/>
      <c r="S268" s="291"/>
      <c r="T268" s="291"/>
      <c r="U268" s="291"/>
      <c r="V268" s="175"/>
    </row>
    <row r="269" spans="1:22" s="245" customFormat="1">
      <c r="A269" s="241"/>
      <c r="B269" s="242" t="s">
        <v>326</v>
      </c>
      <c r="C269" s="243"/>
      <c r="D269" s="244"/>
      <c r="F269" s="248">
        <v>15</v>
      </c>
      <c r="G269" s="295"/>
      <c r="H269" s="249"/>
      <c r="I269" s="250"/>
      <c r="J269" s="250"/>
      <c r="K269" s="250"/>
      <c r="L269" s="250"/>
      <c r="M269" s="250"/>
      <c r="N269" s="250"/>
      <c r="O269" s="250"/>
      <c r="P269" s="250"/>
      <c r="Q269" s="380"/>
      <c r="R269" s="380"/>
      <c r="S269" s="380"/>
      <c r="T269" s="380"/>
      <c r="U269" s="380"/>
      <c r="V269" s="256"/>
    </row>
    <row r="270" spans="1:22" s="245" customFormat="1">
      <c r="A270" s="241"/>
      <c r="B270" s="242" t="s">
        <v>3134</v>
      </c>
      <c r="C270" s="243"/>
      <c r="D270" s="244"/>
      <c r="F270" s="248">
        <f>SUM(H270:V270)</f>
        <v>15</v>
      </c>
      <c r="G270" s="295"/>
      <c r="H270" s="249">
        <v>1</v>
      </c>
      <c r="I270" s="250">
        <v>1</v>
      </c>
      <c r="J270" s="250">
        <v>1</v>
      </c>
      <c r="K270" s="250">
        <v>1</v>
      </c>
      <c r="L270" s="250">
        <v>1</v>
      </c>
      <c r="M270" s="250">
        <v>1</v>
      </c>
      <c r="N270" s="250">
        <v>1</v>
      </c>
      <c r="O270" s="250">
        <v>1</v>
      </c>
      <c r="P270" s="380">
        <v>1</v>
      </c>
      <c r="Q270" s="380">
        <v>1</v>
      </c>
      <c r="R270" s="380">
        <v>1</v>
      </c>
      <c r="S270" s="380">
        <v>1</v>
      </c>
      <c r="T270" s="380">
        <v>1</v>
      </c>
      <c r="U270" s="380">
        <v>1</v>
      </c>
      <c r="V270" s="380">
        <v>1</v>
      </c>
    </row>
    <row r="271" spans="1:22" s="245" customFormat="1">
      <c r="A271" s="241"/>
      <c r="B271" s="242" t="s">
        <v>175</v>
      </c>
      <c r="C271" s="243"/>
      <c r="D271" s="244"/>
      <c r="F271" s="248">
        <f>SUM(H271:V271)</f>
        <v>15</v>
      </c>
      <c r="G271" s="295"/>
      <c r="H271" s="249">
        <v>1</v>
      </c>
      <c r="I271" s="250">
        <v>1</v>
      </c>
      <c r="J271" s="250">
        <v>1</v>
      </c>
      <c r="K271" s="380">
        <v>1</v>
      </c>
      <c r="L271" s="250">
        <v>1</v>
      </c>
      <c r="M271" s="250">
        <v>1</v>
      </c>
      <c r="N271" s="250">
        <v>1</v>
      </c>
      <c r="O271" s="250">
        <v>1</v>
      </c>
      <c r="P271" s="380">
        <v>1</v>
      </c>
      <c r="Q271" s="380">
        <v>1</v>
      </c>
      <c r="R271" s="380">
        <v>1</v>
      </c>
      <c r="S271" s="380">
        <v>1</v>
      </c>
      <c r="T271" s="380">
        <v>1</v>
      </c>
      <c r="U271" s="380">
        <v>1</v>
      </c>
      <c r="V271" s="380">
        <v>1</v>
      </c>
    </row>
    <row r="272" spans="1:22" s="245" customFormat="1" ht="23.4">
      <c r="A272" s="241"/>
      <c r="B272" s="242" t="s">
        <v>179</v>
      </c>
      <c r="C272" s="243"/>
      <c r="D272" s="244"/>
      <c r="F272" s="246"/>
      <c r="G272" s="296"/>
      <c r="H272" s="573" t="s">
        <v>3106</v>
      </c>
      <c r="I272" s="595" t="s">
        <v>3162</v>
      </c>
      <c r="J272" s="473" t="s">
        <v>2843</v>
      </c>
      <c r="K272" s="380">
        <v>1973</v>
      </c>
      <c r="L272" s="250">
        <v>1956</v>
      </c>
      <c r="M272" s="250">
        <v>2080</v>
      </c>
      <c r="N272" s="250">
        <v>2082</v>
      </c>
      <c r="O272" s="250">
        <v>2083</v>
      </c>
      <c r="P272" s="250">
        <v>1863</v>
      </c>
      <c r="Q272" s="380">
        <v>1863</v>
      </c>
      <c r="R272" s="380">
        <v>1863</v>
      </c>
      <c r="S272" s="380"/>
      <c r="T272" s="380">
        <v>1863</v>
      </c>
      <c r="U272" s="380">
        <v>1863</v>
      </c>
      <c r="V272" s="256">
        <v>1863</v>
      </c>
    </row>
    <row r="273" spans="1:22" s="245" customFormat="1">
      <c r="A273" s="241"/>
      <c r="B273" s="242" t="s">
        <v>3020</v>
      </c>
      <c r="C273" s="243"/>
      <c r="D273" s="244"/>
      <c r="F273" s="246"/>
      <c r="G273" s="296"/>
      <c r="H273" s="484" t="s">
        <v>3031</v>
      </c>
      <c r="I273" s="473" t="s">
        <v>2844</v>
      </c>
      <c r="J273" s="473" t="s">
        <v>2844</v>
      </c>
      <c r="K273" s="380">
        <v>180</v>
      </c>
      <c r="L273" s="250">
        <v>178</v>
      </c>
      <c r="M273" s="250">
        <v>195</v>
      </c>
      <c r="N273" s="250">
        <v>196</v>
      </c>
      <c r="O273" s="250">
        <v>196</v>
      </c>
      <c r="P273" s="250">
        <v>169</v>
      </c>
      <c r="Q273" s="250">
        <v>169</v>
      </c>
      <c r="R273" s="250">
        <v>169</v>
      </c>
      <c r="S273" s="380"/>
      <c r="T273" s="250">
        <v>169</v>
      </c>
      <c r="U273" s="250">
        <v>169</v>
      </c>
      <c r="V273" s="250">
        <v>169</v>
      </c>
    </row>
    <row r="274" spans="1:22" s="245" customFormat="1">
      <c r="A274" s="241"/>
      <c r="B274" s="242" t="s">
        <v>178</v>
      </c>
      <c r="C274" s="243"/>
      <c r="D274" s="244"/>
      <c r="F274" s="248">
        <f>SUM(H274:V274)</f>
        <v>15</v>
      </c>
      <c r="G274" s="294">
        <f>F274/F269</f>
        <v>1</v>
      </c>
      <c r="H274" s="249">
        <v>1</v>
      </c>
      <c r="I274" s="250">
        <v>1</v>
      </c>
      <c r="J274" s="250">
        <v>1</v>
      </c>
      <c r="K274" s="250">
        <v>1</v>
      </c>
      <c r="L274" s="250">
        <v>1</v>
      </c>
      <c r="M274" s="250">
        <v>1</v>
      </c>
      <c r="N274" s="250">
        <v>1</v>
      </c>
      <c r="O274" s="250">
        <v>1</v>
      </c>
      <c r="P274" s="250">
        <v>1</v>
      </c>
      <c r="Q274" s="380">
        <v>1</v>
      </c>
      <c r="R274" s="380">
        <v>1</v>
      </c>
      <c r="S274" s="380">
        <v>1</v>
      </c>
      <c r="T274" s="380">
        <v>1</v>
      </c>
      <c r="U274" s="380">
        <v>1</v>
      </c>
      <c r="V274" s="256">
        <v>1</v>
      </c>
    </row>
    <row r="275" spans="1:22" s="245" customFormat="1">
      <c r="A275" s="241"/>
      <c r="B275" s="242" t="s">
        <v>3021</v>
      </c>
      <c r="C275" s="243"/>
      <c r="D275" s="244"/>
      <c r="F275" s="246"/>
      <c r="G275" s="296"/>
      <c r="H275" s="249"/>
      <c r="I275" s="250"/>
      <c r="J275" s="250"/>
      <c r="K275" s="250"/>
      <c r="L275" s="250"/>
      <c r="M275" s="250"/>
      <c r="N275" s="250"/>
      <c r="O275" s="250"/>
      <c r="P275" s="250"/>
      <c r="Q275" s="380"/>
      <c r="R275" s="380"/>
      <c r="S275" s="380"/>
      <c r="T275" s="380"/>
      <c r="U275" s="380"/>
      <c r="V275" s="256"/>
    </row>
    <row r="276" spans="1:22" s="163" customFormat="1" collapsed="1">
      <c r="A276" s="174"/>
      <c r="B276" s="247" t="s">
        <v>125</v>
      </c>
      <c r="C276" s="165"/>
      <c r="D276" s="176"/>
      <c r="F276" s="170"/>
      <c r="G276" s="297"/>
      <c r="H276" s="650" t="s">
        <v>3474</v>
      </c>
      <c r="I276" s="166"/>
      <c r="J276" s="166"/>
      <c r="K276" s="166"/>
      <c r="L276" s="166"/>
      <c r="M276" s="166"/>
      <c r="N276" s="166"/>
      <c r="O276" s="166"/>
      <c r="P276" s="166"/>
      <c r="Q276" s="291"/>
      <c r="R276" s="291"/>
      <c r="S276" s="291"/>
      <c r="T276" s="291"/>
      <c r="U276" s="291"/>
      <c r="V276" s="175"/>
    </row>
    <row r="277" spans="1:22" s="245" customFormat="1">
      <c r="A277" s="241"/>
      <c r="B277" s="242" t="s">
        <v>326</v>
      </c>
      <c r="C277" s="243"/>
      <c r="D277" s="244"/>
      <c r="F277" s="248">
        <v>15</v>
      </c>
      <c r="G277" s="295"/>
      <c r="H277" s="249"/>
      <c r="I277" s="250"/>
      <c r="J277" s="250"/>
      <c r="K277" s="250"/>
      <c r="L277" s="250"/>
      <c r="M277" s="250"/>
      <c r="N277" s="250"/>
      <c r="O277" s="250"/>
      <c r="P277" s="250"/>
      <c r="Q277" s="380"/>
      <c r="R277" s="380"/>
      <c r="S277" s="380"/>
      <c r="T277" s="380"/>
      <c r="U277" s="380"/>
      <c r="V277" s="256"/>
    </row>
    <row r="278" spans="1:22" s="245" customFormat="1">
      <c r="A278" s="241"/>
      <c r="B278" s="242" t="s">
        <v>3134</v>
      </c>
      <c r="C278" s="243"/>
      <c r="D278" s="244"/>
      <c r="F278" s="248">
        <f>SUM(H278:V278)</f>
        <v>15</v>
      </c>
      <c r="G278" s="295"/>
      <c r="H278" s="249">
        <v>1</v>
      </c>
      <c r="I278" s="250">
        <v>1</v>
      </c>
      <c r="J278" s="250">
        <v>1</v>
      </c>
      <c r="K278" s="250">
        <v>1</v>
      </c>
      <c r="L278" s="250">
        <v>1</v>
      </c>
      <c r="M278" s="250">
        <v>1</v>
      </c>
      <c r="N278" s="250">
        <v>1</v>
      </c>
      <c r="O278" s="250">
        <v>1</v>
      </c>
      <c r="P278" s="250">
        <v>1</v>
      </c>
      <c r="Q278" s="380">
        <v>1</v>
      </c>
      <c r="R278" s="380">
        <v>1</v>
      </c>
      <c r="S278" s="380">
        <v>1</v>
      </c>
      <c r="T278" s="380">
        <v>1</v>
      </c>
      <c r="U278" s="380">
        <v>1</v>
      </c>
      <c r="V278" s="256">
        <v>1</v>
      </c>
    </row>
    <row r="279" spans="1:22" s="245" customFormat="1">
      <c r="A279" s="241"/>
      <c r="B279" s="242" t="s">
        <v>175</v>
      </c>
      <c r="C279" s="243"/>
      <c r="D279" s="244"/>
      <c r="F279" s="248">
        <f>SUM(H279:V279)</f>
        <v>15</v>
      </c>
      <c r="G279" s="295"/>
      <c r="H279" s="249">
        <v>1</v>
      </c>
      <c r="I279" s="250">
        <v>1</v>
      </c>
      <c r="J279" s="250">
        <v>1</v>
      </c>
      <c r="K279" s="250">
        <v>1</v>
      </c>
      <c r="L279" s="250">
        <v>1</v>
      </c>
      <c r="M279" s="250">
        <v>1</v>
      </c>
      <c r="N279" s="250">
        <v>1</v>
      </c>
      <c r="O279" s="250">
        <v>1</v>
      </c>
      <c r="P279" s="250">
        <v>1</v>
      </c>
      <c r="Q279" s="250">
        <v>1</v>
      </c>
      <c r="R279" s="250">
        <v>1</v>
      </c>
      <c r="S279" s="380">
        <v>1</v>
      </c>
      <c r="T279" s="380">
        <v>1</v>
      </c>
      <c r="U279" s="250">
        <v>1</v>
      </c>
      <c r="V279" s="256">
        <v>1</v>
      </c>
    </row>
    <row r="280" spans="1:22" s="245" customFormat="1" ht="15.6">
      <c r="A280" s="241"/>
      <c r="B280" s="242" t="s">
        <v>179</v>
      </c>
      <c r="C280" s="243"/>
      <c r="D280" s="244"/>
      <c r="F280" s="246"/>
      <c r="G280" s="296"/>
      <c r="H280" s="249">
        <v>2083</v>
      </c>
      <c r="I280" s="595" t="s">
        <v>3161</v>
      </c>
      <c r="J280" s="250">
        <v>2051</v>
      </c>
      <c r="K280" s="250">
        <v>2051</v>
      </c>
      <c r="L280" s="250">
        <v>2051</v>
      </c>
      <c r="M280" s="250"/>
      <c r="N280" s="250">
        <v>2082</v>
      </c>
      <c r="O280" s="250">
        <v>2051</v>
      </c>
      <c r="P280" s="250">
        <v>2052</v>
      </c>
      <c r="Q280" s="250">
        <v>2052</v>
      </c>
      <c r="R280" s="250">
        <v>2052</v>
      </c>
      <c r="S280" s="380">
        <v>2100</v>
      </c>
      <c r="T280" s="380">
        <v>2092</v>
      </c>
      <c r="U280" s="380">
        <v>2083</v>
      </c>
      <c r="V280" s="256">
        <v>2092</v>
      </c>
    </row>
    <row r="281" spans="1:22" s="245" customFormat="1" ht="13.8" thickBot="1">
      <c r="A281" s="241"/>
      <c r="B281" s="242" t="s">
        <v>3020</v>
      </c>
      <c r="C281" s="243"/>
      <c r="D281" s="244"/>
      <c r="F281" s="246"/>
      <c r="G281" s="296"/>
      <c r="H281" s="611">
        <v>196</v>
      </c>
      <c r="I281" s="250">
        <v>190</v>
      </c>
      <c r="J281" s="250">
        <v>190</v>
      </c>
      <c r="K281" s="250">
        <v>190</v>
      </c>
      <c r="L281" s="250">
        <v>190</v>
      </c>
      <c r="M281" s="250"/>
      <c r="N281" s="250">
        <v>196</v>
      </c>
      <c r="O281" s="250">
        <v>190</v>
      </c>
      <c r="P281" s="250">
        <v>190</v>
      </c>
      <c r="Q281" s="250">
        <v>190</v>
      </c>
      <c r="R281" s="250">
        <v>190</v>
      </c>
      <c r="S281" s="380">
        <v>199</v>
      </c>
      <c r="T281" s="380">
        <v>1</v>
      </c>
      <c r="U281" s="380">
        <v>196</v>
      </c>
      <c r="V281" s="256">
        <v>198</v>
      </c>
    </row>
    <row r="282" spans="1:22" s="245" customFormat="1" ht="14.4" thickTop="1" thickBot="1">
      <c r="A282" s="241"/>
      <c r="B282" s="242" t="s">
        <v>178</v>
      </c>
      <c r="C282" s="243"/>
      <c r="D282" s="244"/>
      <c r="F282" s="248">
        <f>SUM(H282:V282)</f>
        <v>15</v>
      </c>
      <c r="G282" s="610">
        <f>F282/F277</f>
        <v>1</v>
      </c>
      <c r="H282" s="873">
        <v>1</v>
      </c>
      <c r="I282" s="299">
        <v>1</v>
      </c>
      <c r="J282" s="250">
        <v>1</v>
      </c>
      <c r="K282" s="250">
        <v>1</v>
      </c>
      <c r="L282" s="250">
        <v>1</v>
      </c>
      <c r="M282" s="250">
        <v>1</v>
      </c>
      <c r="N282" s="250">
        <v>1</v>
      </c>
      <c r="O282" s="250">
        <v>1</v>
      </c>
      <c r="P282" s="250">
        <v>1</v>
      </c>
      <c r="Q282" s="380">
        <v>1</v>
      </c>
      <c r="R282" s="380">
        <v>1</v>
      </c>
      <c r="S282" s="380">
        <v>1</v>
      </c>
      <c r="T282" s="250">
        <v>1</v>
      </c>
      <c r="U282" s="250">
        <v>1</v>
      </c>
      <c r="V282" s="256">
        <v>1</v>
      </c>
    </row>
    <row r="283" spans="1:22" s="245" customFormat="1" ht="13.8" thickTop="1">
      <c r="A283" s="241"/>
      <c r="B283" s="242" t="s">
        <v>3021</v>
      </c>
      <c r="C283" s="243"/>
      <c r="D283" s="244"/>
      <c r="F283" s="246"/>
      <c r="G283" s="296"/>
      <c r="H283" s="612"/>
      <c r="I283" s="250"/>
      <c r="J283" s="250"/>
      <c r="K283" s="250"/>
      <c r="L283" s="250"/>
      <c r="M283" s="250"/>
      <c r="N283" s="250"/>
      <c r="O283" s="250"/>
      <c r="P283" s="250"/>
      <c r="Q283" s="380"/>
      <c r="R283" s="380"/>
      <c r="S283" s="380"/>
      <c r="T283" s="380"/>
      <c r="U283" s="380"/>
      <c r="V283" s="256"/>
    </row>
    <row r="284" spans="1:22" s="163" customFormat="1">
      <c r="A284" s="174"/>
      <c r="B284" s="247" t="s">
        <v>126</v>
      </c>
      <c r="C284" s="165"/>
      <c r="D284" s="176"/>
      <c r="F284" s="170"/>
      <c r="G284" s="297"/>
      <c r="H284" s="174"/>
      <c r="I284" s="166"/>
      <c r="J284" s="166"/>
      <c r="K284" s="166"/>
      <c r="L284" s="166"/>
      <c r="M284" s="166"/>
      <c r="N284" s="166"/>
      <c r="O284" s="166"/>
      <c r="P284" s="166"/>
      <c r="Q284" s="291"/>
      <c r="R284" s="291"/>
      <c r="S284" s="291"/>
      <c r="T284" s="291"/>
      <c r="U284" s="291"/>
      <c r="V284" s="175"/>
    </row>
    <row r="285" spans="1:22" s="245" customFormat="1">
      <c r="A285" s="241"/>
      <c r="B285" s="242" t="s">
        <v>326</v>
      </c>
      <c r="C285" s="243"/>
      <c r="D285" s="244"/>
      <c r="F285" s="248">
        <v>14</v>
      </c>
      <c r="G285" s="295"/>
      <c r="H285" s="249"/>
      <c r="I285" s="250"/>
      <c r="J285" s="250"/>
      <c r="K285" s="250"/>
      <c r="L285" s="250"/>
      <c r="M285" s="250"/>
      <c r="N285" s="250"/>
      <c r="O285" s="250"/>
      <c r="P285" s="250"/>
      <c r="Q285" s="380"/>
      <c r="R285" s="380"/>
      <c r="S285" s="380"/>
      <c r="T285" s="380"/>
      <c r="U285" s="380"/>
      <c r="V285" s="256"/>
    </row>
    <row r="286" spans="1:22" s="245" customFormat="1">
      <c r="A286" s="241"/>
      <c r="B286" s="242" t="s">
        <v>3134</v>
      </c>
      <c r="C286" s="243"/>
      <c r="D286" s="244"/>
      <c r="F286" s="248">
        <f>SUM(H286:V286)</f>
        <v>14</v>
      </c>
      <c r="G286" s="295"/>
      <c r="H286" s="249">
        <v>1</v>
      </c>
      <c r="I286" s="250">
        <v>1</v>
      </c>
      <c r="J286" s="250">
        <v>1</v>
      </c>
      <c r="K286" s="250">
        <v>1</v>
      </c>
      <c r="L286" s="250">
        <v>1</v>
      </c>
      <c r="M286" s="250">
        <v>1</v>
      </c>
      <c r="N286" s="250">
        <v>1</v>
      </c>
      <c r="O286" s="250">
        <v>1</v>
      </c>
      <c r="P286" s="250">
        <v>1</v>
      </c>
      <c r="Q286" s="380">
        <v>1</v>
      </c>
      <c r="R286" s="380">
        <v>1</v>
      </c>
      <c r="S286" s="380">
        <v>1</v>
      </c>
      <c r="T286" s="250">
        <v>1</v>
      </c>
      <c r="U286" s="380">
        <v>1</v>
      </c>
      <c r="V286" s="256"/>
    </row>
    <row r="287" spans="1:22" s="245" customFormat="1">
      <c r="A287" s="241"/>
      <c r="B287" s="242" t="s">
        <v>175</v>
      </c>
      <c r="C287" s="243"/>
      <c r="D287" s="244"/>
      <c r="F287" s="248">
        <f>SUM(H287:V287)</f>
        <v>14</v>
      </c>
      <c r="G287" s="295"/>
      <c r="H287" s="249">
        <v>1</v>
      </c>
      <c r="I287" s="250">
        <v>1</v>
      </c>
      <c r="J287" s="250">
        <v>1</v>
      </c>
      <c r="K287" s="250">
        <v>1</v>
      </c>
      <c r="L287" s="250">
        <v>1</v>
      </c>
      <c r="M287" s="250">
        <v>1</v>
      </c>
      <c r="N287" s="250">
        <v>1</v>
      </c>
      <c r="O287" s="250">
        <v>1</v>
      </c>
      <c r="P287" s="250">
        <v>1</v>
      </c>
      <c r="Q287" s="380">
        <v>1</v>
      </c>
      <c r="R287" s="380">
        <v>1</v>
      </c>
      <c r="S287" s="380">
        <v>1</v>
      </c>
      <c r="T287" s="250">
        <v>1</v>
      </c>
      <c r="U287" s="250">
        <v>1</v>
      </c>
      <c r="V287" s="256"/>
    </row>
    <row r="288" spans="1:22" s="245" customFormat="1">
      <c r="A288" s="241"/>
      <c r="B288" s="242" t="s">
        <v>179</v>
      </c>
      <c r="C288" s="243"/>
      <c r="D288" s="244"/>
      <c r="F288" s="246"/>
      <c r="G288" s="296"/>
      <c r="H288" s="249">
        <v>2051</v>
      </c>
      <c r="I288" s="250">
        <v>2052</v>
      </c>
      <c r="J288" s="250"/>
      <c r="K288" s="250">
        <v>1944</v>
      </c>
      <c r="L288" s="250">
        <v>1978</v>
      </c>
      <c r="M288" s="250">
        <v>2023</v>
      </c>
      <c r="N288" s="250">
        <v>1956</v>
      </c>
      <c r="O288" s="250">
        <v>1978</v>
      </c>
      <c r="P288" s="250">
        <v>1978</v>
      </c>
      <c r="Q288" s="380">
        <v>1978</v>
      </c>
      <c r="R288" s="380">
        <v>1981</v>
      </c>
      <c r="S288" s="380">
        <v>1996</v>
      </c>
      <c r="T288" s="250">
        <v>2082</v>
      </c>
      <c r="U288" s="250">
        <v>1978</v>
      </c>
      <c r="V288" s="256"/>
    </row>
    <row r="289" spans="1:22" s="245" customFormat="1" ht="13.8" thickBot="1">
      <c r="A289" s="241"/>
      <c r="B289" s="242" t="s">
        <v>3020</v>
      </c>
      <c r="C289" s="243"/>
      <c r="D289" s="244"/>
      <c r="F289" s="246"/>
      <c r="G289" s="296"/>
      <c r="H289" s="249">
        <v>190</v>
      </c>
      <c r="I289" s="250">
        <v>190</v>
      </c>
      <c r="J289" s="250"/>
      <c r="K289" s="250">
        <v>177</v>
      </c>
      <c r="L289" s="250">
        <v>181</v>
      </c>
      <c r="M289" s="250">
        <v>186</v>
      </c>
      <c r="N289" s="250">
        <v>178</v>
      </c>
      <c r="O289" s="614">
        <v>181</v>
      </c>
      <c r="P289" s="614">
        <v>181</v>
      </c>
      <c r="Q289" s="614">
        <v>181</v>
      </c>
      <c r="R289" s="615">
        <v>182</v>
      </c>
      <c r="S289" s="614">
        <v>183</v>
      </c>
      <c r="T289" s="615">
        <v>196</v>
      </c>
      <c r="U289" s="614">
        <v>181</v>
      </c>
      <c r="V289" s="256"/>
    </row>
    <row r="290" spans="1:22" s="245" customFormat="1" ht="14.4" thickTop="1" thickBot="1">
      <c r="A290" s="241"/>
      <c r="B290" s="242" t="s">
        <v>178</v>
      </c>
      <c r="C290" s="243"/>
      <c r="D290" s="244"/>
      <c r="F290" s="248">
        <f>SUM(H290:V290)</f>
        <v>14</v>
      </c>
      <c r="G290" s="610">
        <f>F290/F285</f>
        <v>1</v>
      </c>
      <c r="H290" s="249">
        <v>1</v>
      </c>
      <c r="I290" s="250">
        <v>1</v>
      </c>
      <c r="J290" s="250">
        <v>1</v>
      </c>
      <c r="K290" s="250">
        <v>1</v>
      </c>
      <c r="L290" s="250">
        <v>1</v>
      </c>
      <c r="M290" s="250">
        <v>1</v>
      </c>
      <c r="N290" s="380">
        <v>1</v>
      </c>
      <c r="O290" s="625">
        <v>1</v>
      </c>
      <c r="P290" s="625">
        <v>1</v>
      </c>
      <c r="Q290" s="625">
        <v>1</v>
      </c>
      <c r="R290" s="625">
        <v>1</v>
      </c>
      <c r="S290" s="625">
        <v>1</v>
      </c>
      <c r="T290" s="625">
        <v>1</v>
      </c>
      <c r="U290" s="625">
        <v>1</v>
      </c>
      <c r="V290" s="613"/>
    </row>
    <row r="291" spans="1:22" s="245" customFormat="1" ht="13.8" thickTop="1">
      <c r="A291" s="241"/>
      <c r="B291" s="242" t="s">
        <v>3021</v>
      </c>
      <c r="C291" s="243"/>
      <c r="D291" s="244"/>
      <c r="F291" s="246"/>
      <c r="G291" s="296"/>
      <c r="H291" s="252" t="s">
        <v>3353</v>
      </c>
      <c r="I291" s="251" t="s">
        <v>3353</v>
      </c>
      <c r="J291" s="251" t="s">
        <v>3353</v>
      </c>
      <c r="K291" s="251" t="s">
        <v>3353</v>
      </c>
      <c r="L291" s="250">
        <v>1004</v>
      </c>
      <c r="M291" s="251" t="s">
        <v>3353</v>
      </c>
      <c r="N291" s="251" t="s">
        <v>3353</v>
      </c>
      <c r="O291" s="616">
        <v>1004</v>
      </c>
      <c r="P291" s="251" t="s">
        <v>3353</v>
      </c>
      <c r="Q291" s="251" t="s">
        <v>3353</v>
      </c>
      <c r="R291" s="251" t="s">
        <v>3353</v>
      </c>
      <c r="S291" s="251" t="s">
        <v>3353</v>
      </c>
      <c r="T291" s="251" t="s">
        <v>3353</v>
      </c>
      <c r="U291" s="251" t="s">
        <v>3353</v>
      </c>
      <c r="V291" s="256"/>
    </row>
    <row r="292" spans="1:22" s="163" customFormat="1">
      <c r="A292" s="174"/>
      <c r="B292" s="247" t="s">
        <v>127</v>
      </c>
      <c r="C292" s="165"/>
      <c r="D292" s="176"/>
      <c r="F292" s="170"/>
      <c r="G292" s="297"/>
      <c r="H292" s="249"/>
      <c r="I292" s="637"/>
      <c r="J292" s="166"/>
      <c r="K292" s="166"/>
      <c r="L292" s="166"/>
      <c r="M292" s="166"/>
      <c r="N292" s="166"/>
      <c r="O292" s="166"/>
      <c r="P292" s="166"/>
      <c r="Q292" s="291"/>
      <c r="R292" s="291"/>
      <c r="S292" s="291"/>
      <c r="T292" s="291"/>
      <c r="U292" s="291"/>
      <c r="V292" s="175"/>
    </row>
    <row r="293" spans="1:22" s="245" customFormat="1">
      <c r="A293" s="241"/>
      <c r="B293" s="242" t="s">
        <v>326</v>
      </c>
      <c r="C293" s="243"/>
      <c r="D293" s="244"/>
      <c r="F293" s="248">
        <v>1</v>
      </c>
      <c r="G293" s="295"/>
      <c r="H293" s="249"/>
      <c r="I293" s="250"/>
      <c r="J293" s="250"/>
      <c r="K293" s="250"/>
      <c r="L293" s="250"/>
      <c r="M293" s="250"/>
      <c r="N293" s="250"/>
      <c r="O293" s="250"/>
      <c r="P293" s="250"/>
      <c r="Q293" s="380"/>
      <c r="R293" s="380"/>
      <c r="S293" s="380"/>
      <c r="T293" s="380"/>
      <c r="U293" s="380"/>
      <c r="V293" s="256"/>
    </row>
    <row r="294" spans="1:22" s="245" customFormat="1">
      <c r="A294" s="241"/>
      <c r="B294" s="242" t="s">
        <v>3134</v>
      </c>
      <c r="C294" s="243"/>
      <c r="D294" s="244"/>
      <c r="F294" s="248">
        <f>SUM(H294:V294)</f>
        <v>1</v>
      </c>
      <c r="G294" s="295"/>
      <c r="H294" s="249">
        <v>1</v>
      </c>
      <c r="I294" s="250"/>
      <c r="J294" s="250"/>
      <c r="K294" s="250"/>
      <c r="L294" s="250"/>
      <c r="M294" s="250"/>
      <c r="N294" s="250"/>
      <c r="O294" s="250"/>
      <c r="P294" s="250"/>
      <c r="Q294" s="250"/>
      <c r="R294" s="250"/>
      <c r="S294" s="250"/>
      <c r="T294" s="250"/>
      <c r="U294" s="250"/>
      <c r="V294" s="256"/>
    </row>
    <row r="295" spans="1:22" s="245" customFormat="1">
      <c r="A295" s="241"/>
      <c r="B295" s="242" t="s">
        <v>175</v>
      </c>
      <c r="C295" s="243"/>
      <c r="D295" s="244"/>
      <c r="F295" s="248">
        <f>SUM(H295:V295)</f>
        <v>1</v>
      </c>
      <c r="G295" s="295"/>
      <c r="H295" s="249">
        <v>1</v>
      </c>
      <c r="I295" s="250"/>
      <c r="J295" s="250"/>
      <c r="K295" s="250"/>
      <c r="L295" s="380"/>
      <c r="M295" s="380"/>
      <c r="N295" s="250"/>
      <c r="O295" s="250"/>
      <c r="P295" s="250"/>
      <c r="Q295" s="250"/>
      <c r="R295" s="380"/>
      <c r="S295" s="380"/>
      <c r="T295" s="380"/>
      <c r="U295" s="380"/>
      <c r="V295" s="256"/>
    </row>
    <row r="296" spans="1:22" s="245" customFormat="1" ht="15.6">
      <c r="A296" s="241"/>
      <c r="B296" s="242" t="s">
        <v>179</v>
      </c>
      <c r="C296" s="243"/>
      <c r="D296" s="244"/>
      <c r="F296" s="246"/>
      <c r="G296" s="296"/>
      <c r="H296" s="249">
        <v>1956</v>
      </c>
      <c r="I296" s="595" t="s">
        <v>3163</v>
      </c>
      <c r="J296" s="250">
        <v>2083</v>
      </c>
      <c r="K296" s="250">
        <v>1944</v>
      </c>
      <c r="L296" s="380">
        <v>1981</v>
      </c>
      <c r="M296" s="380">
        <v>1981</v>
      </c>
      <c r="N296" s="250"/>
      <c r="O296" s="250"/>
      <c r="P296" s="250">
        <v>2023</v>
      </c>
      <c r="Q296" s="250">
        <v>2082</v>
      </c>
      <c r="R296" s="380">
        <v>1973</v>
      </c>
      <c r="S296" s="380">
        <v>1973</v>
      </c>
      <c r="T296" s="380">
        <v>1981</v>
      </c>
      <c r="U296" s="380">
        <v>1973</v>
      </c>
      <c r="V296" s="256">
        <v>1981</v>
      </c>
    </row>
    <row r="297" spans="1:22" s="245" customFormat="1" ht="13.8" thickBot="1">
      <c r="A297" s="241"/>
      <c r="B297" s="242" t="s">
        <v>3020</v>
      </c>
      <c r="C297" s="243"/>
      <c r="D297" s="244"/>
      <c r="F297" s="246"/>
      <c r="G297" s="296"/>
      <c r="H297" s="611">
        <v>178</v>
      </c>
      <c r="I297" s="250">
        <v>186</v>
      </c>
      <c r="J297" s="250">
        <v>196</v>
      </c>
      <c r="K297" s="250">
        <v>177</v>
      </c>
      <c r="L297" s="380">
        <v>182</v>
      </c>
      <c r="M297" s="380">
        <v>182</v>
      </c>
      <c r="N297" s="250"/>
      <c r="O297" s="250"/>
      <c r="P297" s="250">
        <v>186</v>
      </c>
      <c r="Q297" s="380">
        <v>196</v>
      </c>
      <c r="R297" s="380">
        <v>180</v>
      </c>
      <c r="S297" s="380">
        <v>180</v>
      </c>
      <c r="T297" s="380">
        <v>182</v>
      </c>
      <c r="U297" s="380">
        <v>180</v>
      </c>
      <c r="V297" s="380">
        <v>182</v>
      </c>
    </row>
    <row r="298" spans="1:22" s="245" customFormat="1" ht="14.4" thickTop="1" thickBot="1">
      <c r="A298" s="241"/>
      <c r="B298" s="242" t="s">
        <v>178</v>
      </c>
      <c r="C298" s="243"/>
      <c r="D298" s="244"/>
      <c r="F298" s="248">
        <f>SUM(H298:V298)</f>
        <v>0</v>
      </c>
      <c r="G298" s="610">
        <f>F298/F293</f>
        <v>0</v>
      </c>
      <c r="H298" s="660"/>
      <c r="I298" s="299"/>
      <c r="J298" s="250"/>
      <c r="K298" s="250"/>
      <c r="L298" s="250"/>
      <c r="M298" s="250"/>
      <c r="N298" s="250"/>
      <c r="O298" s="250"/>
      <c r="P298" s="250"/>
      <c r="Q298" s="250"/>
      <c r="R298" s="250"/>
      <c r="S298" s="250"/>
      <c r="T298" s="250"/>
      <c r="U298" s="250"/>
      <c r="V298" s="250"/>
    </row>
    <row r="299" spans="1:22" s="245" customFormat="1" ht="13.8" thickTop="1">
      <c r="A299" s="241"/>
      <c r="B299" s="242" t="s">
        <v>3021</v>
      </c>
      <c r="C299" s="243"/>
      <c r="D299" s="244"/>
      <c r="F299" s="246"/>
      <c r="G299" s="296"/>
      <c r="H299" s="612"/>
      <c r="I299" s="250"/>
      <c r="J299" s="250"/>
      <c r="K299" s="250"/>
      <c r="L299" s="250"/>
      <c r="M299" s="250"/>
      <c r="N299" s="250"/>
      <c r="O299" s="250"/>
      <c r="P299" s="250">
        <v>860</v>
      </c>
      <c r="Q299" s="250">
        <v>860</v>
      </c>
      <c r="R299" s="250">
        <v>860</v>
      </c>
      <c r="S299" s="250">
        <v>860</v>
      </c>
      <c r="T299" s="250">
        <v>860</v>
      </c>
      <c r="U299" s="250">
        <v>860</v>
      </c>
      <c r="V299" s="256">
        <v>860</v>
      </c>
    </row>
    <row r="300" spans="1:22" s="163" customFormat="1">
      <c r="A300" s="174"/>
      <c r="B300" s="247" t="s">
        <v>128</v>
      </c>
      <c r="C300" s="165"/>
      <c r="D300" s="176"/>
      <c r="F300" s="170"/>
      <c r="G300" s="297"/>
      <c r="H300" s="174"/>
      <c r="I300" s="166"/>
      <c r="J300" s="166"/>
      <c r="K300" s="166"/>
      <c r="L300" s="166"/>
      <c r="M300" s="166"/>
      <c r="N300" s="166"/>
      <c r="O300" s="166"/>
      <c r="P300" s="166"/>
      <c r="Q300" s="291"/>
      <c r="R300" s="291"/>
      <c r="S300" s="291"/>
      <c r="T300" s="291"/>
      <c r="U300" s="291"/>
      <c r="V300" s="175"/>
    </row>
    <row r="301" spans="1:22" s="245" customFormat="1">
      <c r="A301" s="241"/>
      <c r="B301" s="242" t="s">
        <v>326</v>
      </c>
      <c r="C301" s="243"/>
      <c r="D301" s="244"/>
      <c r="F301" s="248">
        <v>3</v>
      </c>
      <c r="G301" s="295"/>
      <c r="H301" s="249"/>
      <c r="I301" s="250"/>
      <c r="J301" s="250"/>
      <c r="K301" s="250"/>
      <c r="L301" s="250"/>
      <c r="M301" s="250"/>
      <c r="N301" s="250"/>
      <c r="O301" s="250"/>
      <c r="P301" s="250"/>
      <c r="Q301" s="380"/>
      <c r="R301" s="380"/>
      <c r="S301" s="380"/>
      <c r="T301" s="380"/>
      <c r="U301" s="380"/>
      <c r="V301" s="256"/>
    </row>
    <row r="302" spans="1:22" s="245" customFormat="1">
      <c r="A302" s="241"/>
      <c r="B302" s="242" t="s">
        <v>3134</v>
      </c>
      <c r="C302" s="243"/>
      <c r="D302" s="244"/>
      <c r="F302" s="248">
        <f>SUM(H302:V302)</f>
        <v>3</v>
      </c>
      <c r="G302" s="295"/>
      <c r="H302" s="249"/>
      <c r="I302" s="250"/>
      <c r="J302" s="250"/>
      <c r="K302" s="250"/>
      <c r="L302" s="250"/>
      <c r="M302" s="250">
        <v>1</v>
      </c>
      <c r="N302" s="250">
        <v>1</v>
      </c>
      <c r="O302" s="250">
        <v>1</v>
      </c>
      <c r="P302" s="250"/>
      <c r="Q302" s="250"/>
      <c r="R302" s="250"/>
      <c r="S302" s="250"/>
      <c r="T302" s="250"/>
      <c r="U302" s="250"/>
      <c r="V302" s="256"/>
    </row>
    <row r="303" spans="1:22" s="245" customFormat="1">
      <c r="A303" s="241"/>
      <c r="B303" s="242" t="s">
        <v>175</v>
      </c>
      <c r="C303" s="243"/>
      <c r="D303" s="244"/>
      <c r="F303" s="248">
        <f>SUM(H303:V303)</f>
        <v>3</v>
      </c>
      <c r="G303" s="295"/>
      <c r="H303" s="249"/>
      <c r="I303" s="250"/>
      <c r="J303" s="250"/>
      <c r="K303" s="250"/>
      <c r="L303" s="250"/>
      <c r="M303" s="250">
        <v>1</v>
      </c>
      <c r="N303" s="250">
        <v>1</v>
      </c>
      <c r="O303" s="250">
        <v>1</v>
      </c>
      <c r="P303" s="250"/>
      <c r="Q303" s="380"/>
      <c r="R303" s="380"/>
      <c r="S303" s="380"/>
      <c r="T303" s="380"/>
      <c r="U303" s="380"/>
      <c r="V303" s="256"/>
    </row>
    <row r="304" spans="1:22" s="245" customFormat="1">
      <c r="A304" s="241"/>
      <c r="B304" s="242" t="s">
        <v>179</v>
      </c>
      <c r="C304" s="243"/>
      <c r="D304" s="244"/>
      <c r="F304" s="246"/>
      <c r="G304" s="296"/>
      <c r="H304" s="249">
        <v>2067</v>
      </c>
      <c r="I304" s="250">
        <v>2071</v>
      </c>
      <c r="J304" s="250">
        <v>2067</v>
      </c>
      <c r="K304" s="251" t="s">
        <v>2769</v>
      </c>
      <c r="L304" s="251" t="s">
        <v>2769</v>
      </c>
      <c r="M304" s="250">
        <v>2067</v>
      </c>
      <c r="N304" s="250">
        <v>2099</v>
      </c>
      <c r="O304" s="250">
        <v>2067</v>
      </c>
      <c r="P304" s="250">
        <v>2509</v>
      </c>
      <c r="Q304" s="250">
        <v>2509</v>
      </c>
      <c r="R304" s="250">
        <v>2509</v>
      </c>
      <c r="S304" s="250">
        <v>2509</v>
      </c>
      <c r="T304" s="486" t="s">
        <v>3209</v>
      </c>
      <c r="U304" s="486" t="s">
        <v>3209</v>
      </c>
      <c r="V304" s="256"/>
    </row>
    <row r="305" spans="1:22" s="245" customFormat="1" ht="13.8" thickBot="1">
      <c r="A305" s="241"/>
      <c r="B305" s="242" t="s">
        <v>3020</v>
      </c>
      <c r="C305" s="243"/>
      <c r="D305" s="244"/>
      <c r="F305" s="246"/>
      <c r="G305" s="296"/>
      <c r="H305" s="249">
        <v>194</v>
      </c>
      <c r="I305" s="250">
        <v>194</v>
      </c>
      <c r="J305" s="250">
        <v>194</v>
      </c>
      <c r="K305" s="614"/>
      <c r="L305" s="614"/>
      <c r="M305" s="250">
        <v>194</v>
      </c>
      <c r="N305" s="614">
        <v>199</v>
      </c>
      <c r="O305" s="614">
        <v>194</v>
      </c>
      <c r="P305" s="250"/>
      <c r="Q305" s="380"/>
      <c r="R305" s="380"/>
      <c r="S305" s="380"/>
      <c r="T305" s="380"/>
      <c r="U305" s="380"/>
      <c r="V305" s="256"/>
    </row>
    <row r="306" spans="1:22" s="245" customFormat="1" ht="14.4" thickTop="1" thickBot="1">
      <c r="A306" s="241"/>
      <c r="B306" s="242" t="s">
        <v>178</v>
      </c>
      <c r="C306" s="243"/>
      <c r="D306" s="244"/>
      <c r="F306" s="248">
        <f>SUM(H306:V306)</f>
        <v>0</v>
      </c>
      <c r="G306" s="610">
        <f>F306/F301</f>
        <v>0</v>
      </c>
      <c r="H306" s="249"/>
      <c r="I306" s="250"/>
      <c r="J306" s="380"/>
      <c r="K306" s="250"/>
      <c r="L306" s="250"/>
      <c r="M306" s="625"/>
      <c r="N306" s="625"/>
      <c r="O306" s="625"/>
      <c r="P306" s="299"/>
      <c r="Q306" s="250"/>
      <c r="R306" s="250"/>
      <c r="S306" s="250"/>
      <c r="T306" s="250"/>
      <c r="U306" s="380"/>
      <c r="V306" s="256"/>
    </row>
    <row r="307" spans="1:22" s="245" customFormat="1" ht="13.8" thickTop="1">
      <c r="A307" s="241"/>
      <c r="B307" s="242" t="s">
        <v>3021</v>
      </c>
      <c r="C307" s="243"/>
      <c r="D307" s="244"/>
      <c r="F307" s="246"/>
      <c r="G307" s="296"/>
      <c r="H307" s="249"/>
      <c r="I307" s="250"/>
      <c r="J307" s="250"/>
      <c r="K307" s="616"/>
      <c r="L307" s="616"/>
      <c r="M307" s="250"/>
      <c r="N307" s="616"/>
      <c r="O307" s="616"/>
      <c r="P307" s="250"/>
      <c r="Q307" s="380"/>
      <c r="R307" s="380"/>
      <c r="S307" s="380"/>
      <c r="T307" s="380"/>
      <c r="U307" s="380"/>
      <c r="V307" s="256"/>
    </row>
    <row r="308" spans="1:22" s="163" customFormat="1">
      <c r="A308" s="174"/>
      <c r="B308" s="247" t="s">
        <v>129</v>
      </c>
      <c r="C308" s="165"/>
      <c r="D308" s="176"/>
      <c r="F308" s="170"/>
      <c r="G308" s="297"/>
      <c r="H308" s="174"/>
      <c r="I308" s="166"/>
      <c r="J308" s="166"/>
      <c r="K308" s="166"/>
      <c r="L308" s="166"/>
      <c r="M308" s="166"/>
      <c r="N308" s="166"/>
      <c r="O308" s="166"/>
      <c r="P308" s="166"/>
      <c r="Q308" s="291"/>
      <c r="R308" s="291"/>
      <c r="S308" s="291"/>
      <c r="T308" s="291"/>
      <c r="U308" s="291"/>
      <c r="V308" s="175"/>
    </row>
    <row r="309" spans="1:22" s="245" customFormat="1">
      <c r="A309" s="241"/>
      <c r="B309" s="242" t="s">
        <v>326</v>
      </c>
      <c r="C309" s="243"/>
      <c r="D309" s="244"/>
      <c r="F309" s="248">
        <v>0</v>
      </c>
      <c r="G309" s="295"/>
      <c r="H309" s="249"/>
      <c r="I309" s="250"/>
      <c r="J309" s="250"/>
      <c r="K309" s="250"/>
      <c r="L309" s="250"/>
      <c r="M309" s="250"/>
      <c r="N309" s="250"/>
      <c r="O309" s="250"/>
      <c r="P309" s="250"/>
      <c r="Q309" s="380"/>
      <c r="R309" s="380"/>
      <c r="S309" s="380"/>
      <c r="T309" s="380"/>
      <c r="U309" s="380"/>
      <c r="V309" s="256"/>
    </row>
    <row r="310" spans="1:22" s="245" customFormat="1">
      <c r="A310" s="241"/>
      <c r="B310" s="242" t="s">
        <v>3134</v>
      </c>
      <c r="C310" s="243"/>
      <c r="D310" s="244"/>
      <c r="F310" s="248">
        <f>SUM(H310:V310)</f>
        <v>0</v>
      </c>
      <c r="G310" s="295"/>
      <c r="H310" s="249"/>
      <c r="I310" s="250"/>
      <c r="J310" s="250"/>
      <c r="K310" s="250"/>
      <c r="L310" s="250"/>
      <c r="M310" s="250"/>
      <c r="N310" s="250"/>
      <c r="O310" s="250"/>
      <c r="P310" s="250"/>
      <c r="Q310" s="380"/>
      <c r="R310" s="380"/>
      <c r="S310" s="380"/>
      <c r="T310" s="380"/>
      <c r="U310" s="380"/>
      <c r="V310" s="256"/>
    </row>
    <row r="311" spans="1:22" s="245" customFormat="1">
      <c r="A311" s="241"/>
      <c r="B311" s="242" t="s">
        <v>175</v>
      </c>
      <c r="C311" s="243"/>
      <c r="D311" s="244"/>
      <c r="F311" s="248">
        <f>SUM(H311:V311)</f>
        <v>0</v>
      </c>
      <c r="G311" s="295"/>
      <c r="H311" s="249"/>
      <c r="I311" s="250"/>
      <c r="J311" s="250"/>
      <c r="K311" s="250"/>
      <c r="L311" s="250"/>
      <c r="M311" s="250"/>
      <c r="N311" s="250"/>
      <c r="O311" s="250"/>
      <c r="P311" s="250"/>
      <c r="Q311" s="380"/>
      <c r="R311" s="380"/>
      <c r="S311" s="380"/>
      <c r="T311" s="380"/>
      <c r="U311" s="380"/>
      <c r="V311" s="256"/>
    </row>
    <row r="312" spans="1:22" s="245" customFormat="1">
      <c r="A312" s="241"/>
      <c r="B312" s="242" t="s">
        <v>179</v>
      </c>
      <c r="C312" s="243"/>
      <c r="D312" s="244"/>
      <c r="F312" s="246"/>
      <c r="G312" s="296"/>
      <c r="H312" s="249"/>
      <c r="I312" s="250"/>
      <c r="J312" s="250"/>
      <c r="K312" s="250"/>
      <c r="L312" s="250"/>
      <c r="M312" s="250"/>
      <c r="N312" s="250"/>
      <c r="O312" s="250"/>
      <c r="P312" s="250"/>
      <c r="Q312" s="380"/>
      <c r="R312" s="380"/>
      <c r="S312" s="380"/>
      <c r="T312" s="380"/>
      <c r="U312" s="380"/>
      <c r="V312" s="256"/>
    </row>
    <row r="313" spans="1:22" s="245" customFormat="1">
      <c r="A313" s="241"/>
      <c r="B313" s="242" t="s">
        <v>3020</v>
      </c>
      <c r="C313" s="243"/>
      <c r="D313" s="244"/>
      <c r="F313" s="246"/>
      <c r="G313" s="296"/>
      <c r="H313" s="249"/>
      <c r="I313" s="250"/>
      <c r="J313" s="250"/>
      <c r="K313" s="250"/>
      <c r="L313" s="250"/>
      <c r="M313" s="250"/>
      <c r="N313" s="250"/>
      <c r="O313" s="250"/>
      <c r="P313" s="250"/>
      <c r="Q313" s="380"/>
      <c r="R313" s="380"/>
      <c r="S313" s="380"/>
      <c r="T313" s="380"/>
      <c r="U313" s="380"/>
      <c r="V313" s="256"/>
    </row>
    <row r="314" spans="1:22" s="245" customFormat="1">
      <c r="A314" s="241"/>
      <c r="B314" s="242" t="s">
        <v>178</v>
      </c>
      <c r="C314" s="243"/>
      <c r="D314" s="244"/>
      <c r="F314" s="248">
        <f>SUM(H314:V314)</f>
        <v>0</v>
      </c>
      <c r="G314" s="294"/>
      <c r="H314" s="249"/>
      <c r="I314" s="250"/>
      <c r="J314" s="250"/>
      <c r="K314" s="250"/>
      <c r="L314" s="250"/>
      <c r="M314" s="250"/>
      <c r="N314" s="250"/>
      <c r="O314" s="250"/>
      <c r="P314" s="250"/>
      <c r="Q314" s="380"/>
      <c r="R314" s="380"/>
      <c r="S314" s="380"/>
      <c r="T314" s="380"/>
      <c r="U314" s="380"/>
      <c r="V314" s="256"/>
    </row>
    <row r="315" spans="1:22" s="245" customFormat="1">
      <c r="A315" s="241"/>
      <c r="B315" s="242" t="s">
        <v>3021</v>
      </c>
      <c r="C315" s="243"/>
      <c r="D315" s="244"/>
      <c r="F315" s="246"/>
      <c r="G315" s="296"/>
      <c r="H315" s="249"/>
      <c r="I315" s="250"/>
      <c r="J315" s="250"/>
      <c r="K315" s="250"/>
      <c r="L315" s="250"/>
      <c r="M315" s="250"/>
      <c r="N315" s="250"/>
      <c r="O315" s="250"/>
      <c r="P315" s="250"/>
      <c r="Q315" s="380"/>
      <c r="R315" s="380"/>
      <c r="S315" s="380"/>
      <c r="T315" s="380"/>
      <c r="U315" s="380"/>
      <c r="V315" s="256"/>
    </row>
    <row r="316" spans="1:22" s="163" customFormat="1">
      <c r="A316" s="174"/>
      <c r="B316" s="247" t="s">
        <v>130</v>
      </c>
      <c r="C316" s="165"/>
      <c r="D316" s="176"/>
      <c r="F316" s="170"/>
      <c r="G316" s="297"/>
      <c r="H316" s="174"/>
      <c r="I316" s="166"/>
      <c r="J316" s="166"/>
      <c r="K316" s="166"/>
      <c r="L316" s="166"/>
      <c r="M316" s="166"/>
      <c r="N316" s="166"/>
      <c r="O316" s="166"/>
      <c r="P316" s="166"/>
      <c r="Q316" s="291"/>
      <c r="R316" s="291"/>
      <c r="S316" s="291"/>
      <c r="T316" s="291"/>
      <c r="U316" s="291"/>
      <c r="V316" s="175"/>
    </row>
    <row r="317" spans="1:22" s="245" customFormat="1">
      <c r="A317" s="241"/>
      <c r="B317" s="242" t="s">
        <v>326</v>
      </c>
      <c r="C317" s="243"/>
      <c r="D317" s="244"/>
      <c r="F317" s="248">
        <v>2</v>
      </c>
      <c r="G317" s="295"/>
      <c r="H317" s="249"/>
      <c r="I317" s="250"/>
      <c r="J317" s="250"/>
      <c r="K317" s="250"/>
      <c r="L317" s="250"/>
      <c r="M317" s="250"/>
      <c r="N317" s="250"/>
      <c r="O317" s="250"/>
      <c r="P317" s="250"/>
      <c r="Q317" s="380"/>
      <c r="R317" s="380"/>
      <c r="S317" s="380"/>
      <c r="T317" s="380"/>
      <c r="U317" s="380"/>
      <c r="V317" s="256"/>
    </row>
    <row r="318" spans="1:22" s="245" customFormat="1">
      <c r="A318" s="241"/>
      <c r="B318" s="242" t="s">
        <v>3134</v>
      </c>
      <c r="C318" s="243"/>
      <c r="D318" s="244"/>
      <c r="F318" s="248">
        <f>SUM(H318:V318)</f>
        <v>0</v>
      </c>
      <c r="G318" s="295"/>
      <c r="H318" s="249"/>
      <c r="I318" s="250"/>
      <c r="J318" s="250"/>
      <c r="K318" s="250"/>
      <c r="L318" s="250"/>
      <c r="M318" s="250"/>
      <c r="N318" s="250"/>
      <c r="O318" s="250"/>
      <c r="P318" s="250"/>
      <c r="Q318" s="380"/>
      <c r="R318" s="380"/>
      <c r="S318" s="380"/>
      <c r="T318" s="380"/>
      <c r="U318" s="380"/>
      <c r="V318" s="256"/>
    </row>
    <row r="319" spans="1:22" s="245" customFormat="1">
      <c r="A319" s="241"/>
      <c r="B319" s="242" t="s">
        <v>175</v>
      </c>
      <c r="C319" s="243"/>
      <c r="D319" s="244"/>
      <c r="F319" s="248">
        <f>SUM(H319:V319)</f>
        <v>0</v>
      </c>
      <c r="G319" s="295"/>
      <c r="H319" s="249"/>
      <c r="I319" s="250"/>
      <c r="J319" s="250"/>
      <c r="K319" s="250"/>
      <c r="L319" s="250"/>
      <c r="M319" s="250"/>
      <c r="N319" s="250"/>
      <c r="O319" s="250"/>
      <c r="P319" s="250"/>
      <c r="Q319" s="380"/>
      <c r="R319" s="380"/>
      <c r="S319" s="380"/>
      <c r="T319" s="380"/>
      <c r="U319" s="380"/>
      <c r="V319" s="256"/>
    </row>
    <row r="320" spans="1:22" s="245" customFormat="1">
      <c r="A320" s="241"/>
      <c r="B320" s="242" t="s">
        <v>179</v>
      </c>
      <c r="C320" s="243"/>
      <c r="D320" s="244"/>
      <c r="F320" s="246"/>
      <c r="G320" s="296"/>
      <c r="H320" s="249"/>
      <c r="I320" s="250"/>
      <c r="J320" s="250"/>
      <c r="K320" s="250"/>
      <c r="L320" s="250"/>
      <c r="M320" s="250"/>
      <c r="N320" s="250"/>
      <c r="O320" s="250"/>
      <c r="P320" s="250"/>
      <c r="Q320" s="380"/>
      <c r="R320" s="380"/>
      <c r="S320" s="380"/>
      <c r="T320" s="380"/>
      <c r="U320" s="380"/>
      <c r="V320" s="256"/>
    </row>
    <row r="321" spans="1:22" s="245" customFormat="1" ht="13.8" thickBot="1">
      <c r="A321" s="241"/>
      <c r="B321" s="242" t="s">
        <v>3020</v>
      </c>
      <c r="C321" s="243"/>
      <c r="D321" s="244"/>
      <c r="F321" s="246"/>
      <c r="G321" s="296"/>
      <c r="H321" s="611"/>
      <c r="I321" s="250"/>
      <c r="J321" s="250"/>
      <c r="K321" s="250"/>
      <c r="L321" s="250"/>
      <c r="M321" s="250"/>
      <c r="N321" s="250"/>
      <c r="O321" s="250"/>
      <c r="P321" s="250"/>
      <c r="Q321" s="380"/>
      <c r="R321" s="380"/>
      <c r="S321" s="380"/>
      <c r="T321" s="380"/>
      <c r="U321" s="380"/>
      <c r="V321" s="256"/>
    </row>
    <row r="322" spans="1:22" s="245" customFormat="1" ht="14.4" thickTop="1" thickBot="1">
      <c r="A322" s="241"/>
      <c r="B322" s="242" t="s">
        <v>178</v>
      </c>
      <c r="C322" s="243"/>
      <c r="D322" s="244"/>
      <c r="F322" s="248">
        <f>SUM(H322:V322)</f>
        <v>0</v>
      </c>
      <c r="G322" s="610">
        <f>F322/F317</f>
        <v>0</v>
      </c>
      <c r="H322" s="625"/>
      <c r="I322" s="625"/>
      <c r="J322" s="250"/>
      <c r="K322" s="250"/>
      <c r="L322" s="250"/>
      <c r="M322" s="250"/>
      <c r="N322" s="250"/>
      <c r="O322" s="250"/>
      <c r="P322" s="250"/>
      <c r="Q322" s="380"/>
      <c r="R322" s="380"/>
      <c r="S322" s="380"/>
      <c r="T322" s="380"/>
      <c r="U322" s="380"/>
      <c r="V322" s="256"/>
    </row>
    <row r="323" spans="1:22" s="245" customFormat="1" ht="13.8" thickTop="1">
      <c r="A323" s="241"/>
      <c r="B323" s="242" t="s">
        <v>3021</v>
      </c>
      <c r="C323" s="243"/>
      <c r="D323" s="244"/>
      <c r="F323" s="246"/>
      <c r="G323" s="296"/>
      <c r="H323" s="612"/>
      <c r="I323" s="250"/>
      <c r="J323" s="250"/>
      <c r="K323" s="250"/>
      <c r="L323" s="250"/>
      <c r="M323" s="250"/>
      <c r="N323" s="250"/>
      <c r="O323" s="250"/>
      <c r="P323" s="250"/>
      <c r="Q323" s="380"/>
      <c r="R323" s="380"/>
      <c r="S323" s="380"/>
      <c r="T323" s="380"/>
      <c r="U323" s="380"/>
      <c r="V323" s="256"/>
    </row>
    <row r="324" spans="1:22" s="163" customFormat="1">
      <c r="A324" s="174"/>
      <c r="B324" s="247" t="s">
        <v>131</v>
      </c>
      <c r="C324" s="165"/>
      <c r="D324" s="176"/>
      <c r="F324" s="170"/>
      <c r="G324" s="297"/>
      <c r="H324" s="174"/>
      <c r="I324" s="250"/>
      <c r="J324" s="166"/>
      <c r="K324" s="166"/>
      <c r="L324" s="166"/>
      <c r="M324" s="166"/>
      <c r="N324" s="166"/>
      <c r="O324" s="166"/>
      <c r="P324" s="166"/>
      <c r="Q324" s="291"/>
      <c r="R324" s="291"/>
      <c r="S324" s="291"/>
      <c r="T324" s="291"/>
      <c r="U324" s="291"/>
      <c r="V324" s="175"/>
    </row>
    <row r="325" spans="1:22" s="245" customFormat="1">
      <c r="A325" s="241"/>
      <c r="B325" s="242" t="s">
        <v>326</v>
      </c>
      <c r="C325" s="243"/>
      <c r="D325" s="244"/>
      <c r="F325" s="248">
        <v>1</v>
      </c>
      <c r="G325" s="295"/>
      <c r="H325" s="249"/>
      <c r="I325" s="250"/>
      <c r="J325" s="250"/>
      <c r="K325" s="250"/>
      <c r="L325" s="250"/>
      <c r="M325" s="250"/>
      <c r="N325" s="250"/>
      <c r="O325" s="250"/>
      <c r="P325" s="250"/>
      <c r="Q325" s="380"/>
      <c r="R325" s="380"/>
      <c r="S325" s="380"/>
      <c r="T325" s="380"/>
      <c r="U325" s="380"/>
      <c r="V325" s="256"/>
    </row>
    <row r="326" spans="1:22" s="245" customFormat="1">
      <c r="A326" s="241"/>
      <c r="B326" s="242" t="s">
        <v>3134</v>
      </c>
      <c r="C326" s="243"/>
      <c r="D326" s="244"/>
      <c r="F326" s="248">
        <f>SUM(H326:V326)</f>
        <v>1</v>
      </c>
      <c r="G326" s="295"/>
      <c r="H326" s="249"/>
      <c r="I326" s="250">
        <v>1</v>
      </c>
      <c r="J326" s="250"/>
      <c r="K326" s="250"/>
      <c r="L326" s="250"/>
      <c r="M326" s="250"/>
      <c r="N326" s="250"/>
      <c r="O326" s="250"/>
      <c r="P326" s="250"/>
      <c r="Q326" s="380"/>
      <c r="R326" s="380"/>
      <c r="S326" s="380"/>
      <c r="T326" s="380"/>
      <c r="U326" s="380"/>
      <c r="V326" s="256"/>
    </row>
    <row r="327" spans="1:22" s="245" customFormat="1">
      <c r="A327" s="241"/>
      <c r="B327" s="242" t="s">
        <v>175</v>
      </c>
      <c r="C327" s="243"/>
      <c r="D327" s="244"/>
      <c r="F327" s="248">
        <f>SUM(H327:V327)</f>
        <v>1</v>
      </c>
      <c r="G327" s="466"/>
      <c r="H327" s="249"/>
      <c r="I327" s="250">
        <v>1</v>
      </c>
      <c r="J327" s="250"/>
      <c r="K327" s="250"/>
      <c r="L327" s="250"/>
      <c r="M327" s="250"/>
      <c r="N327" s="250"/>
      <c r="O327" s="250"/>
      <c r="P327" s="250"/>
      <c r="Q327" s="380"/>
      <c r="R327" s="380"/>
      <c r="S327" s="380"/>
      <c r="T327" s="380"/>
      <c r="U327" s="380"/>
      <c r="V327" s="256"/>
    </row>
    <row r="328" spans="1:22" s="245" customFormat="1">
      <c r="A328" s="241"/>
      <c r="B328" s="242" t="s">
        <v>179</v>
      </c>
      <c r="C328" s="243"/>
      <c r="D328" s="244"/>
      <c r="F328" s="246"/>
      <c r="G328" s="467"/>
      <c r="H328" s="249">
        <v>2071</v>
      </c>
      <c r="I328" s="250">
        <v>2074</v>
      </c>
      <c r="J328" s="250"/>
      <c r="K328" s="250"/>
      <c r="L328" s="250"/>
      <c r="M328" s="250"/>
      <c r="N328" s="250"/>
      <c r="O328" s="250"/>
      <c r="P328" s="250"/>
      <c r="Q328" s="380"/>
      <c r="R328" s="380"/>
      <c r="S328" s="380"/>
      <c r="T328" s="380"/>
      <c r="U328" s="380"/>
      <c r="V328" s="256"/>
    </row>
    <row r="329" spans="1:22" s="245" customFormat="1" ht="13.8" thickBot="1">
      <c r="A329" s="241"/>
      <c r="B329" s="242" t="s">
        <v>3020</v>
      </c>
      <c r="C329" s="243"/>
      <c r="D329" s="244"/>
      <c r="F329" s="246"/>
      <c r="G329" s="296"/>
      <c r="H329" s="249">
        <v>194</v>
      </c>
      <c r="I329" s="614">
        <v>195</v>
      </c>
      <c r="J329" s="250"/>
      <c r="K329" s="250"/>
      <c r="L329" s="250"/>
      <c r="M329" s="250"/>
      <c r="N329" s="250"/>
      <c r="O329" s="250"/>
      <c r="P329" s="250"/>
      <c r="Q329" s="380"/>
      <c r="R329" s="380"/>
      <c r="S329" s="380"/>
      <c r="T329" s="380"/>
      <c r="U329" s="380"/>
      <c r="V329" s="256"/>
    </row>
    <row r="330" spans="1:22" s="245" customFormat="1" ht="14.4" thickTop="1" thickBot="1">
      <c r="A330" s="241"/>
      <c r="B330" s="242" t="s">
        <v>178</v>
      </c>
      <c r="C330" s="243"/>
      <c r="D330" s="244"/>
      <c r="F330" s="248">
        <f>SUM(H330:V330)</f>
        <v>1</v>
      </c>
      <c r="G330" s="610">
        <f>F330/F325</f>
        <v>1</v>
      </c>
      <c r="H330" s="769"/>
      <c r="I330" s="918">
        <v>1</v>
      </c>
      <c r="J330" s="299"/>
      <c r="K330" s="250"/>
      <c r="L330" s="250"/>
      <c r="M330" s="250"/>
      <c r="N330" s="250"/>
      <c r="O330" s="250"/>
      <c r="P330" s="250"/>
      <c r="Q330" s="380"/>
      <c r="R330" s="380"/>
      <c r="S330" s="380"/>
      <c r="T330" s="380"/>
      <c r="U330" s="380"/>
      <c r="V330" s="256"/>
    </row>
    <row r="331" spans="1:22" s="245" customFormat="1" ht="13.8" thickTop="1">
      <c r="A331" s="241"/>
      <c r="B331" s="242" t="s">
        <v>3021</v>
      </c>
      <c r="C331" s="243"/>
      <c r="D331" s="244"/>
      <c r="F331" s="246"/>
      <c r="G331" s="296"/>
      <c r="H331" s="249"/>
      <c r="I331" s="616"/>
      <c r="J331" s="250"/>
      <c r="K331" s="250"/>
      <c r="L331" s="250"/>
      <c r="M331" s="250"/>
      <c r="N331" s="250"/>
      <c r="O331" s="250"/>
      <c r="P331" s="250"/>
      <c r="Q331" s="380"/>
      <c r="R331" s="380"/>
      <c r="S331" s="380"/>
      <c r="T331" s="380"/>
      <c r="U331" s="380"/>
      <c r="V331" s="256"/>
    </row>
    <row r="332" spans="1:22" s="163" customFormat="1">
      <c r="A332" s="174"/>
      <c r="B332" s="247" t="s">
        <v>132</v>
      </c>
      <c r="C332" s="165"/>
      <c r="D332" s="176"/>
      <c r="F332" s="170"/>
      <c r="G332" s="297"/>
      <c r="H332" s="174"/>
      <c r="I332" s="166"/>
      <c r="J332" s="166"/>
      <c r="K332" s="166"/>
      <c r="L332" s="166"/>
      <c r="M332" s="166"/>
      <c r="N332" s="166"/>
      <c r="O332" s="166"/>
      <c r="P332" s="166"/>
      <c r="Q332" s="291"/>
      <c r="R332" s="291"/>
      <c r="S332" s="291"/>
      <c r="T332" s="291"/>
      <c r="U332" s="291"/>
      <c r="V332" s="175"/>
    </row>
    <row r="333" spans="1:22" s="245" customFormat="1">
      <c r="A333" s="241"/>
      <c r="B333" s="242" t="s">
        <v>326</v>
      </c>
      <c r="C333" s="243"/>
      <c r="D333" s="244"/>
      <c r="F333" s="248">
        <v>4</v>
      </c>
      <c r="G333" s="295"/>
      <c r="H333" s="249"/>
      <c r="I333" s="250"/>
      <c r="J333" s="250"/>
      <c r="K333" s="250"/>
      <c r="L333" s="250"/>
      <c r="M333" s="250"/>
      <c r="N333" s="250"/>
      <c r="O333" s="250"/>
      <c r="P333" s="250"/>
      <c r="Q333" s="380"/>
      <c r="R333" s="380"/>
      <c r="S333" s="380"/>
      <c r="T333" s="380"/>
      <c r="U333" s="380"/>
      <c r="V333" s="256"/>
    </row>
    <row r="334" spans="1:22" s="245" customFormat="1">
      <c r="A334" s="241"/>
      <c r="B334" s="242" t="s">
        <v>3134</v>
      </c>
      <c r="C334" s="243"/>
      <c r="D334" s="244"/>
      <c r="F334" s="248">
        <f>SUM(H334:V334)</f>
        <v>4</v>
      </c>
      <c r="G334" s="295"/>
      <c r="H334" s="249">
        <v>1</v>
      </c>
      <c r="I334" s="250">
        <v>1</v>
      </c>
      <c r="J334" s="250">
        <v>1</v>
      </c>
      <c r="K334" s="250">
        <v>1</v>
      </c>
      <c r="L334" s="250"/>
      <c r="M334" s="250"/>
      <c r="N334" s="250"/>
      <c r="O334" s="250"/>
      <c r="P334" s="250"/>
      <c r="Q334" s="380"/>
      <c r="R334" s="380"/>
      <c r="S334" s="380"/>
      <c r="T334" s="380"/>
      <c r="U334" s="380"/>
      <c r="V334" s="256"/>
    </row>
    <row r="335" spans="1:22" s="245" customFormat="1">
      <c r="A335" s="241"/>
      <c r="B335" s="242" t="s">
        <v>175</v>
      </c>
      <c r="C335" s="243"/>
      <c r="D335" s="244"/>
      <c r="F335" s="248">
        <f>SUM(H335:V335)</f>
        <v>4</v>
      </c>
      <c r="G335" s="295"/>
      <c r="H335" s="249">
        <v>1</v>
      </c>
      <c r="I335" s="380">
        <v>1</v>
      </c>
      <c r="J335" s="380">
        <v>1</v>
      </c>
      <c r="K335" s="380">
        <v>1</v>
      </c>
      <c r="L335" s="250"/>
      <c r="M335" s="250"/>
      <c r="N335" s="250"/>
      <c r="O335" s="250"/>
      <c r="P335" s="250"/>
      <c r="Q335" s="380"/>
      <c r="R335" s="380"/>
      <c r="S335" s="380"/>
      <c r="T335" s="380"/>
      <c r="U335" s="380"/>
      <c r="V335" s="256"/>
    </row>
    <row r="336" spans="1:22" s="245" customFormat="1">
      <c r="A336" s="241"/>
      <c r="B336" s="242" t="s">
        <v>179</v>
      </c>
      <c r="C336" s="243"/>
      <c r="D336" s="244"/>
      <c r="F336" s="246"/>
      <c r="G336" s="296"/>
      <c r="H336" s="249">
        <v>2023</v>
      </c>
      <c r="I336" s="594" t="s">
        <v>3160</v>
      </c>
      <c r="J336" s="380">
        <v>1996</v>
      </c>
      <c r="K336" s="380">
        <v>1996</v>
      </c>
      <c r="L336" s="250"/>
      <c r="M336" s="250"/>
      <c r="N336" s="250"/>
      <c r="O336" s="250"/>
      <c r="P336" s="250"/>
      <c r="Q336" s="380"/>
      <c r="R336" s="380"/>
      <c r="S336" s="380"/>
      <c r="T336" s="380"/>
      <c r="U336" s="380"/>
      <c r="V336" s="256"/>
    </row>
    <row r="337" spans="1:22" s="245" customFormat="1">
      <c r="A337" s="241"/>
      <c r="B337" s="242" t="s">
        <v>3020</v>
      </c>
      <c r="C337" s="243"/>
      <c r="D337" s="244"/>
      <c r="F337" s="246"/>
      <c r="G337" s="296"/>
      <c r="H337" s="249">
        <v>186</v>
      </c>
      <c r="I337" s="250">
        <v>183</v>
      </c>
      <c r="J337" s="250">
        <v>183</v>
      </c>
      <c r="K337" s="250">
        <v>183</v>
      </c>
      <c r="L337" s="250"/>
      <c r="M337" s="250"/>
      <c r="N337" s="250"/>
      <c r="O337" s="250"/>
      <c r="P337" s="250"/>
      <c r="Q337" s="380"/>
      <c r="R337" s="380"/>
      <c r="S337" s="380"/>
      <c r="T337" s="380"/>
      <c r="U337" s="380"/>
      <c r="V337" s="256"/>
    </row>
    <row r="338" spans="1:22" s="245" customFormat="1">
      <c r="A338" s="241"/>
      <c r="B338" s="242" t="s">
        <v>178</v>
      </c>
      <c r="C338" s="243"/>
      <c r="D338" s="244"/>
      <c r="F338" s="248">
        <f>SUM(H338:V338)</f>
        <v>4</v>
      </c>
      <c r="G338" s="294">
        <f>F338/F333</f>
        <v>1</v>
      </c>
      <c r="H338" s="249">
        <v>1</v>
      </c>
      <c r="I338" s="250">
        <v>1</v>
      </c>
      <c r="J338" s="250">
        <v>1</v>
      </c>
      <c r="K338" s="250">
        <v>1</v>
      </c>
      <c r="L338" s="250"/>
      <c r="M338" s="250"/>
      <c r="N338" s="250"/>
      <c r="O338" s="250"/>
      <c r="P338" s="250"/>
      <c r="Q338" s="380"/>
      <c r="R338" s="380"/>
      <c r="S338" s="380"/>
      <c r="T338" s="380"/>
      <c r="U338" s="380"/>
      <c r="V338" s="256"/>
    </row>
    <row r="339" spans="1:22" s="245" customFormat="1">
      <c r="A339" s="241"/>
      <c r="B339" s="242" t="s">
        <v>3021</v>
      </c>
      <c r="C339" s="243"/>
      <c r="D339" s="244"/>
      <c r="F339" s="246"/>
      <c r="G339" s="296"/>
      <c r="H339" s="249"/>
      <c r="I339" s="250"/>
      <c r="J339" s="250"/>
      <c r="K339" s="250"/>
      <c r="L339" s="250"/>
      <c r="M339" s="250"/>
      <c r="N339" s="250"/>
      <c r="O339" s="250"/>
      <c r="P339" s="250"/>
      <c r="Q339" s="380"/>
      <c r="R339" s="380"/>
      <c r="S339" s="380"/>
      <c r="T339" s="380"/>
      <c r="U339" s="380"/>
      <c r="V339" s="256"/>
    </row>
    <row r="340" spans="1:22" s="163" customFormat="1">
      <c r="A340" s="174"/>
      <c r="B340" s="247" t="s">
        <v>133</v>
      </c>
      <c r="C340" s="165"/>
      <c r="D340" s="176"/>
      <c r="F340" s="170"/>
      <c r="G340" s="297"/>
      <c r="H340" s="174"/>
      <c r="I340" s="166"/>
      <c r="J340" s="166"/>
      <c r="K340" s="166"/>
      <c r="L340" s="166"/>
      <c r="M340" s="166"/>
      <c r="N340" s="166"/>
      <c r="O340" s="166"/>
      <c r="P340" s="166"/>
      <c r="Q340" s="291"/>
      <c r="R340" s="291"/>
      <c r="S340" s="291"/>
      <c r="T340" s="291"/>
      <c r="U340" s="291"/>
      <c r="V340" s="175"/>
    </row>
    <row r="341" spans="1:22" s="245" customFormat="1">
      <c r="A341" s="241"/>
      <c r="B341" s="242" t="s">
        <v>326</v>
      </c>
      <c r="C341" s="243"/>
      <c r="D341" s="244"/>
      <c r="F341" s="248">
        <v>4</v>
      </c>
      <c r="G341" s="295"/>
      <c r="H341" s="249"/>
      <c r="I341" s="250"/>
      <c r="J341" s="250"/>
      <c r="K341" s="250"/>
      <c r="L341" s="250"/>
      <c r="M341" s="250"/>
      <c r="N341" s="250"/>
      <c r="O341" s="250"/>
      <c r="P341" s="250"/>
      <c r="Q341" s="380"/>
      <c r="R341" s="380"/>
      <c r="S341" s="380"/>
      <c r="T341" s="380"/>
      <c r="U341" s="380"/>
      <c r="V341" s="256"/>
    </row>
    <row r="342" spans="1:22" s="245" customFormat="1">
      <c r="A342" s="241"/>
      <c r="B342" s="242" t="s">
        <v>3134</v>
      </c>
      <c r="C342" s="243"/>
      <c r="D342" s="244"/>
      <c r="F342" s="248">
        <f>SUM(H342:V342)</f>
        <v>4</v>
      </c>
      <c r="G342" s="466"/>
      <c r="H342" s="249">
        <v>1</v>
      </c>
      <c r="I342" s="250">
        <v>1</v>
      </c>
      <c r="J342" s="250">
        <v>1</v>
      </c>
      <c r="K342" s="250">
        <v>1</v>
      </c>
      <c r="L342" s="250"/>
      <c r="M342" s="250"/>
      <c r="N342" s="250"/>
      <c r="O342" s="250"/>
      <c r="P342" s="250"/>
      <c r="Q342" s="380"/>
      <c r="R342" s="380"/>
      <c r="S342" s="380"/>
      <c r="T342" s="380"/>
      <c r="U342" s="380"/>
      <c r="V342" s="256"/>
    </row>
    <row r="343" spans="1:22" s="245" customFormat="1">
      <c r="A343" s="241"/>
      <c r="B343" s="242" t="s">
        <v>175</v>
      </c>
      <c r="C343" s="243"/>
      <c r="D343" s="244"/>
      <c r="F343" s="248">
        <f>SUM(H343:V343)</f>
        <v>4</v>
      </c>
      <c r="G343" s="466"/>
      <c r="H343" s="249">
        <v>1</v>
      </c>
      <c r="I343" s="380">
        <v>1</v>
      </c>
      <c r="J343" s="380">
        <v>1</v>
      </c>
      <c r="K343" s="380">
        <v>1</v>
      </c>
      <c r="L343" s="250"/>
      <c r="M343" s="250"/>
      <c r="N343" s="250"/>
      <c r="O343" s="250"/>
      <c r="P343" s="250"/>
      <c r="Q343" s="380"/>
      <c r="R343" s="380"/>
      <c r="S343" s="380"/>
      <c r="T343" s="380"/>
      <c r="U343" s="380"/>
      <c r="V343" s="256"/>
    </row>
    <row r="344" spans="1:22" s="245" customFormat="1">
      <c r="A344" s="241"/>
      <c r="B344" s="242" t="s">
        <v>179</v>
      </c>
      <c r="C344" s="243"/>
      <c r="D344" s="244"/>
      <c r="F344" s="246"/>
      <c r="G344" s="467"/>
      <c r="H344" s="249">
        <v>1997</v>
      </c>
      <c r="I344" s="380">
        <v>1997</v>
      </c>
      <c r="J344" s="380">
        <v>1997</v>
      </c>
      <c r="K344" s="380">
        <v>1997</v>
      </c>
      <c r="L344" s="250"/>
      <c r="M344" s="250"/>
      <c r="N344" s="250"/>
      <c r="O344" s="250"/>
      <c r="P344" s="250"/>
      <c r="Q344" s="380"/>
      <c r="R344" s="380"/>
      <c r="S344" s="380"/>
      <c r="T344" s="380"/>
      <c r="U344" s="380"/>
      <c r="V344" s="256"/>
    </row>
    <row r="345" spans="1:22" s="245" customFormat="1">
      <c r="A345" s="241"/>
      <c r="B345" s="242" t="s">
        <v>3020</v>
      </c>
      <c r="C345" s="243"/>
      <c r="D345" s="244"/>
      <c r="F345" s="246"/>
      <c r="G345" s="467"/>
      <c r="H345" s="249">
        <v>183</v>
      </c>
      <c r="I345" s="250">
        <v>183</v>
      </c>
      <c r="J345" s="250">
        <v>183</v>
      </c>
      <c r="K345" s="250">
        <v>183</v>
      </c>
      <c r="L345" s="250"/>
      <c r="M345" s="250"/>
      <c r="N345" s="250"/>
      <c r="O345" s="250"/>
      <c r="P345" s="250"/>
      <c r="Q345" s="380"/>
      <c r="R345" s="380"/>
      <c r="S345" s="380"/>
      <c r="T345" s="380"/>
      <c r="U345" s="380"/>
      <c r="V345" s="256"/>
    </row>
    <row r="346" spans="1:22" s="245" customFormat="1">
      <c r="A346" s="241"/>
      <c r="B346" s="242" t="s">
        <v>178</v>
      </c>
      <c r="C346" s="243"/>
      <c r="D346" s="244"/>
      <c r="F346" s="248">
        <f>SUM(H346:V346)</f>
        <v>4</v>
      </c>
      <c r="G346" s="294">
        <f>F346/F341</f>
        <v>1</v>
      </c>
      <c r="H346" s="249">
        <v>1</v>
      </c>
      <c r="I346" s="250">
        <v>1</v>
      </c>
      <c r="J346" s="250">
        <v>1</v>
      </c>
      <c r="K346" s="250">
        <v>1</v>
      </c>
      <c r="L346" s="250"/>
      <c r="M346" s="250"/>
      <c r="N346" s="250"/>
      <c r="O346" s="250"/>
      <c r="P346" s="250"/>
      <c r="Q346" s="380"/>
      <c r="R346" s="380"/>
      <c r="S346" s="380"/>
      <c r="T346" s="380"/>
      <c r="U346" s="380"/>
      <c r="V346" s="256"/>
    </row>
    <row r="347" spans="1:22" s="245" customFormat="1">
      <c r="A347" s="241"/>
      <c r="B347" s="242" t="s">
        <v>3021</v>
      </c>
      <c r="C347" s="243"/>
      <c r="D347" s="244"/>
      <c r="F347" s="246"/>
      <c r="G347" s="296"/>
      <c r="H347" s="249"/>
      <c r="I347" s="250"/>
      <c r="J347" s="250"/>
      <c r="K347" s="250"/>
      <c r="L347" s="250"/>
      <c r="M347" s="250"/>
      <c r="N347" s="250"/>
      <c r="O347" s="250"/>
      <c r="P347" s="250"/>
      <c r="Q347" s="380"/>
      <c r="R347" s="380"/>
      <c r="S347" s="380"/>
      <c r="T347" s="380"/>
      <c r="U347" s="380"/>
      <c r="V347" s="256"/>
    </row>
    <row r="348" spans="1:22" s="163" customFormat="1">
      <c r="A348" s="174"/>
      <c r="B348" s="247" t="s">
        <v>134</v>
      </c>
      <c r="C348" s="165"/>
      <c r="D348" s="176"/>
      <c r="F348" s="170"/>
      <c r="G348" s="297"/>
      <c r="H348" s="174"/>
      <c r="I348" s="166"/>
      <c r="J348" s="166"/>
      <c r="K348" s="166"/>
      <c r="L348" s="166"/>
      <c r="M348" s="166"/>
      <c r="N348" s="166"/>
      <c r="O348" s="166"/>
      <c r="P348" s="166"/>
      <c r="Q348" s="291"/>
      <c r="R348" s="291"/>
      <c r="S348" s="291"/>
      <c r="T348" s="291"/>
      <c r="U348" s="291"/>
      <c r="V348" s="175"/>
    </row>
    <row r="349" spans="1:22" s="245" customFormat="1">
      <c r="A349" s="241"/>
      <c r="B349" s="242" t="s">
        <v>326</v>
      </c>
      <c r="C349" s="243"/>
      <c r="D349" s="244"/>
      <c r="F349" s="248">
        <v>4</v>
      </c>
      <c r="G349" s="295"/>
      <c r="H349" s="249"/>
      <c r="I349" s="250"/>
      <c r="J349" s="250"/>
      <c r="K349" s="250"/>
      <c r="L349" s="250"/>
      <c r="M349" s="250"/>
      <c r="N349" s="250"/>
      <c r="O349" s="250"/>
      <c r="P349" s="250"/>
      <c r="Q349" s="380"/>
      <c r="R349" s="380"/>
      <c r="S349" s="380"/>
      <c r="T349" s="380"/>
      <c r="U349" s="380"/>
      <c r="V349" s="256"/>
    </row>
    <row r="350" spans="1:22" s="245" customFormat="1">
      <c r="A350" s="241"/>
      <c r="B350" s="242" t="s">
        <v>3134</v>
      </c>
      <c r="C350" s="243"/>
      <c r="D350" s="244"/>
      <c r="F350" s="248">
        <f>SUM(H350:V350)</f>
        <v>4</v>
      </c>
      <c r="G350" s="295"/>
      <c r="H350" s="249">
        <v>1</v>
      </c>
      <c r="I350" s="250">
        <v>1</v>
      </c>
      <c r="J350" s="250">
        <v>1</v>
      </c>
      <c r="K350" s="250">
        <v>1</v>
      </c>
      <c r="L350" s="250"/>
      <c r="M350" s="250"/>
      <c r="N350" s="250"/>
      <c r="O350" s="250"/>
      <c r="P350" s="250"/>
      <c r="Q350" s="380"/>
      <c r="R350" s="380"/>
      <c r="S350" s="380"/>
      <c r="T350" s="380"/>
      <c r="U350" s="380"/>
      <c r="V350" s="256"/>
    </row>
    <row r="351" spans="1:22" s="245" customFormat="1">
      <c r="A351" s="241"/>
      <c r="B351" s="242" t="s">
        <v>175</v>
      </c>
      <c r="C351" s="243"/>
      <c r="D351" s="244"/>
      <c r="F351" s="248">
        <f>SUM(H351:V351)</f>
        <v>4</v>
      </c>
      <c r="G351" s="295"/>
      <c r="H351" s="249">
        <v>1</v>
      </c>
      <c r="I351" s="250">
        <v>1</v>
      </c>
      <c r="J351" s="250">
        <v>1</v>
      </c>
      <c r="K351" s="250">
        <v>1</v>
      </c>
      <c r="L351" s="250"/>
      <c r="M351" s="250"/>
      <c r="N351" s="250"/>
      <c r="O351" s="250"/>
      <c r="P351" s="250"/>
      <c r="Q351" s="380"/>
      <c r="R351" s="380"/>
      <c r="S351" s="380"/>
      <c r="T351" s="380"/>
      <c r="U351" s="380"/>
      <c r="V351" s="256"/>
    </row>
    <row r="352" spans="1:22" s="245" customFormat="1">
      <c r="A352" s="241"/>
      <c r="B352" s="242" t="s">
        <v>179</v>
      </c>
      <c r="C352" s="243"/>
      <c r="D352" s="244"/>
      <c r="F352" s="246"/>
      <c r="G352" s="296"/>
      <c r="H352" s="249">
        <v>2040</v>
      </c>
      <c r="I352" s="250">
        <v>2040</v>
      </c>
      <c r="J352" s="250">
        <v>2040</v>
      </c>
      <c r="K352" s="250">
        <v>2053</v>
      </c>
      <c r="L352" s="250"/>
      <c r="M352" s="250"/>
      <c r="N352" s="250"/>
      <c r="O352" s="250"/>
      <c r="P352" s="250"/>
      <c r="Q352" s="380"/>
      <c r="R352" s="380"/>
      <c r="S352" s="380"/>
      <c r="T352" s="380"/>
      <c r="U352" s="380"/>
      <c r="V352" s="256"/>
    </row>
    <row r="353" spans="1:22" s="245" customFormat="1">
      <c r="A353" s="241"/>
      <c r="B353" s="242" t="s">
        <v>3020</v>
      </c>
      <c r="C353" s="243"/>
      <c r="D353" s="244"/>
      <c r="F353" s="246"/>
      <c r="G353" s="296"/>
      <c r="H353" s="249">
        <v>188</v>
      </c>
      <c r="I353" s="250">
        <v>188</v>
      </c>
      <c r="J353" s="250">
        <v>188</v>
      </c>
      <c r="K353" s="250">
        <v>190</v>
      </c>
      <c r="L353" s="250"/>
      <c r="M353" s="250"/>
      <c r="N353" s="250"/>
      <c r="O353" s="250"/>
      <c r="P353" s="250"/>
      <c r="Q353" s="380"/>
      <c r="R353" s="380"/>
      <c r="S353" s="380"/>
      <c r="T353" s="380"/>
      <c r="U353" s="380"/>
      <c r="V353" s="256"/>
    </row>
    <row r="354" spans="1:22" s="245" customFormat="1">
      <c r="A354" s="241"/>
      <c r="B354" s="242" t="s">
        <v>178</v>
      </c>
      <c r="C354" s="243"/>
      <c r="D354" s="244"/>
      <c r="F354" s="248">
        <f>SUM(H354:V354)</f>
        <v>4</v>
      </c>
      <c r="G354" s="294">
        <f>F354/F349</f>
        <v>1</v>
      </c>
      <c r="H354" s="249">
        <v>1</v>
      </c>
      <c r="I354" s="250">
        <v>1</v>
      </c>
      <c r="J354" s="250">
        <v>1</v>
      </c>
      <c r="K354" s="250">
        <v>1</v>
      </c>
      <c r="L354" s="250"/>
      <c r="M354" s="250"/>
      <c r="N354" s="250"/>
      <c r="O354" s="250"/>
      <c r="P354" s="250"/>
      <c r="Q354" s="380"/>
      <c r="R354" s="380"/>
      <c r="S354" s="380"/>
      <c r="T354" s="380"/>
      <c r="U354" s="380"/>
      <c r="V354" s="256"/>
    </row>
    <row r="355" spans="1:22" s="245" customFormat="1">
      <c r="A355" s="241"/>
      <c r="B355" s="242" t="s">
        <v>3021</v>
      </c>
      <c r="C355" s="243"/>
      <c r="D355" s="244"/>
      <c r="F355" s="246"/>
      <c r="G355" s="296"/>
      <c r="H355" s="249"/>
      <c r="I355" s="250"/>
      <c r="J355" s="250"/>
      <c r="K355" s="250"/>
      <c r="L355" s="250"/>
      <c r="M355" s="250"/>
      <c r="N355" s="250"/>
      <c r="O355" s="250"/>
      <c r="P355" s="250"/>
      <c r="Q355" s="380"/>
      <c r="R355" s="380"/>
      <c r="S355" s="380"/>
      <c r="T355" s="380"/>
      <c r="U355" s="380"/>
      <c r="V355" s="256"/>
    </row>
    <row r="356" spans="1:22" s="163" customFormat="1">
      <c r="A356" s="174"/>
      <c r="B356" s="247" t="s">
        <v>135</v>
      </c>
      <c r="C356" s="165"/>
      <c r="D356" s="176"/>
      <c r="F356" s="170"/>
      <c r="G356" s="297"/>
      <c r="H356" s="174"/>
      <c r="I356" s="166"/>
      <c r="J356" s="166"/>
      <c r="K356" s="166"/>
      <c r="L356" s="166"/>
      <c r="M356" s="166"/>
      <c r="N356" s="166"/>
      <c r="O356" s="166"/>
      <c r="P356" s="166"/>
      <c r="Q356" s="291"/>
      <c r="R356" s="291"/>
      <c r="S356" s="291"/>
      <c r="T356" s="291"/>
      <c r="U356" s="291"/>
      <c r="V356" s="175"/>
    </row>
    <row r="357" spans="1:22" s="245" customFormat="1">
      <c r="A357" s="241"/>
      <c r="B357" s="242" t="s">
        <v>326</v>
      </c>
      <c r="C357" s="243"/>
      <c r="D357" s="244"/>
      <c r="F357" s="248">
        <v>4</v>
      </c>
      <c r="G357" s="295"/>
      <c r="H357" s="249"/>
      <c r="I357" s="250"/>
      <c r="J357" s="250"/>
      <c r="K357" s="250"/>
      <c r="L357" s="250"/>
      <c r="M357" s="250"/>
      <c r="N357" s="250"/>
      <c r="O357" s="250"/>
      <c r="P357" s="250"/>
      <c r="Q357" s="380"/>
      <c r="R357" s="380"/>
      <c r="S357" s="380"/>
      <c r="T357" s="380"/>
      <c r="U357" s="380"/>
      <c r="V357" s="256"/>
    </row>
    <row r="358" spans="1:22" s="245" customFormat="1">
      <c r="A358" s="241"/>
      <c r="B358" s="242" t="s">
        <v>3134</v>
      </c>
      <c r="C358" s="243"/>
      <c r="D358" s="244"/>
      <c r="F358" s="248">
        <f>SUM(H358:V358)</f>
        <v>4</v>
      </c>
      <c r="G358" s="295"/>
      <c r="H358" s="249">
        <v>1</v>
      </c>
      <c r="I358" s="250">
        <v>1</v>
      </c>
      <c r="J358" s="250">
        <v>1</v>
      </c>
      <c r="K358" s="250">
        <v>1</v>
      </c>
      <c r="L358" s="250"/>
      <c r="M358" s="250"/>
      <c r="N358" s="250"/>
      <c r="O358" s="250"/>
      <c r="P358" s="250"/>
      <c r="Q358" s="380"/>
      <c r="R358" s="380"/>
      <c r="S358" s="380"/>
      <c r="T358" s="380"/>
      <c r="U358" s="380"/>
      <c r="V358" s="256"/>
    </row>
    <row r="359" spans="1:22" s="245" customFormat="1">
      <c r="A359" s="241"/>
      <c r="B359" s="242" t="s">
        <v>175</v>
      </c>
      <c r="C359" s="243"/>
      <c r="D359" s="244"/>
      <c r="F359" s="248">
        <f>SUM(H359:V359)</f>
        <v>4</v>
      </c>
      <c r="G359" s="466"/>
      <c r="H359" s="249">
        <v>1</v>
      </c>
      <c r="I359" s="250">
        <v>1</v>
      </c>
      <c r="J359" s="250">
        <v>1</v>
      </c>
      <c r="K359" s="250">
        <v>1</v>
      </c>
      <c r="L359" s="250"/>
      <c r="M359" s="250"/>
      <c r="N359" s="250"/>
      <c r="O359" s="250"/>
      <c r="P359" s="250"/>
      <c r="Q359" s="380"/>
      <c r="R359" s="380"/>
      <c r="S359" s="380"/>
      <c r="T359" s="380"/>
      <c r="U359" s="380"/>
      <c r="V359" s="256"/>
    </row>
    <row r="360" spans="1:22" s="245" customFormat="1">
      <c r="A360" s="241"/>
      <c r="B360" s="242" t="s">
        <v>179</v>
      </c>
      <c r="C360" s="243"/>
      <c r="D360" s="244"/>
      <c r="F360" s="246"/>
      <c r="G360" s="467"/>
      <c r="H360" s="249">
        <v>2053</v>
      </c>
      <c r="I360" s="250">
        <v>2040</v>
      </c>
      <c r="J360" s="250">
        <v>2053</v>
      </c>
      <c r="K360" s="250">
        <v>2053</v>
      </c>
      <c r="L360" s="250"/>
      <c r="M360" s="250"/>
      <c r="N360" s="250"/>
      <c r="O360" s="250"/>
      <c r="P360" s="250"/>
      <c r="Q360" s="380"/>
      <c r="R360" s="380"/>
      <c r="S360" s="380"/>
      <c r="T360" s="380"/>
      <c r="U360" s="380"/>
      <c r="V360" s="256"/>
    </row>
    <row r="361" spans="1:22" s="245" customFormat="1">
      <c r="A361" s="241"/>
      <c r="B361" s="242" t="s">
        <v>3020</v>
      </c>
      <c r="C361" s="243"/>
      <c r="D361" s="244"/>
      <c r="F361" s="246"/>
      <c r="G361" s="467"/>
      <c r="H361" s="249">
        <v>190</v>
      </c>
      <c r="I361" s="250">
        <v>188</v>
      </c>
      <c r="J361" s="250">
        <v>190</v>
      </c>
      <c r="K361" s="250">
        <v>190</v>
      </c>
      <c r="L361" s="250"/>
      <c r="M361" s="250"/>
      <c r="N361" s="250"/>
      <c r="O361" s="250"/>
      <c r="P361" s="250"/>
      <c r="Q361" s="380"/>
      <c r="R361" s="380"/>
      <c r="S361" s="380"/>
      <c r="T361" s="380"/>
      <c r="U361" s="380"/>
      <c r="V361" s="256"/>
    </row>
    <row r="362" spans="1:22" s="245" customFormat="1">
      <c r="A362" s="241"/>
      <c r="B362" s="242" t="s">
        <v>178</v>
      </c>
      <c r="C362" s="243"/>
      <c r="D362" s="244"/>
      <c r="F362" s="248">
        <f>SUM(H362:V362)</f>
        <v>4</v>
      </c>
      <c r="G362" s="294">
        <f>F362/F357</f>
        <v>1</v>
      </c>
      <c r="H362" s="249">
        <v>1</v>
      </c>
      <c r="I362" s="250">
        <v>1</v>
      </c>
      <c r="J362" s="250">
        <v>1</v>
      </c>
      <c r="K362" s="250">
        <v>1</v>
      </c>
      <c r="L362" s="250"/>
      <c r="M362" s="250"/>
      <c r="N362" s="250"/>
      <c r="O362" s="250"/>
      <c r="P362" s="250"/>
      <c r="Q362" s="380"/>
      <c r="R362" s="380"/>
      <c r="S362" s="380"/>
      <c r="T362" s="380"/>
      <c r="U362" s="380"/>
      <c r="V362" s="256"/>
    </row>
    <row r="363" spans="1:22" s="245" customFormat="1">
      <c r="A363" s="241"/>
      <c r="B363" s="242" t="s">
        <v>3021</v>
      </c>
      <c r="C363" s="243"/>
      <c r="D363" s="244"/>
      <c r="F363" s="246"/>
      <c r="G363" s="296"/>
      <c r="H363" s="249"/>
      <c r="I363" s="250"/>
      <c r="J363" s="250"/>
      <c r="K363" s="250"/>
      <c r="L363" s="250"/>
      <c r="M363" s="250"/>
      <c r="N363" s="250"/>
      <c r="O363" s="250"/>
      <c r="P363" s="250"/>
      <c r="Q363" s="380"/>
      <c r="R363" s="380"/>
      <c r="S363" s="380"/>
      <c r="T363" s="380"/>
      <c r="U363" s="380"/>
      <c r="V363" s="256"/>
    </row>
    <row r="364" spans="1:22" s="163" customFormat="1">
      <c r="A364" s="174"/>
      <c r="B364" s="247" t="s">
        <v>136</v>
      </c>
      <c r="C364" s="165"/>
      <c r="D364" s="176"/>
      <c r="F364" s="170"/>
      <c r="G364" s="297"/>
      <c r="H364" s="174"/>
      <c r="I364" s="166"/>
      <c r="J364" s="166"/>
      <c r="K364" s="166"/>
      <c r="L364" s="166"/>
      <c r="M364" s="166"/>
      <c r="N364" s="166"/>
      <c r="O364" s="166"/>
      <c r="P364" s="166"/>
      <c r="Q364" s="291"/>
      <c r="R364" s="291"/>
      <c r="S364" s="291"/>
      <c r="T364" s="291"/>
      <c r="U364" s="291"/>
      <c r="V364" s="175"/>
    </row>
    <row r="365" spans="1:22" s="245" customFormat="1">
      <c r="A365" s="241"/>
      <c r="B365" s="242" t="s">
        <v>326</v>
      </c>
      <c r="C365" s="243"/>
      <c r="D365" s="244"/>
      <c r="F365" s="248">
        <v>15</v>
      </c>
      <c r="G365" s="295"/>
      <c r="H365" s="249"/>
      <c r="I365" s="250"/>
      <c r="J365" s="250"/>
      <c r="K365" s="250"/>
      <c r="L365" s="250"/>
      <c r="M365" s="250"/>
      <c r="N365" s="250"/>
      <c r="O365" s="250"/>
      <c r="P365" s="250"/>
      <c r="Q365" s="380"/>
      <c r="R365" s="380"/>
      <c r="S365" s="380"/>
      <c r="T365" s="380"/>
      <c r="U365" s="380"/>
      <c r="V365" s="256"/>
    </row>
    <row r="366" spans="1:22" s="245" customFormat="1">
      <c r="A366" s="241"/>
      <c r="B366" s="242" t="s">
        <v>3134</v>
      </c>
      <c r="C366" s="243"/>
      <c r="D366" s="244"/>
      <c r="F366" s="248">
        <f>SUM(H366:V366)</f>
        <v>15</v>
      </c>
      <c r="G366" s="295"/>
      <c r="H366" s="249">
        <v>1</v>
      </c>
      <c r="I366" s="250">
        <v>1</v>
      </c>
      <c r="J366" s="250">
        <v>1</v>
      </c>
      <c r="K366" s="250">
        <v>1</v>
      </c>
      <c r="L366" s="250">
        <v>1</v>
      </c>
      <c r="M366" s="250">
        <v>1</v>
      </c>
      <c r="N366" s="250">
        <v>1</v>
      </c>
      <c r="O366" s="250">
        <v>1</v>
      </c>
      <c r="P366" s="250">
        <v>1</v>
      </c>
      <c r="Q366" s="250">
        <v>1</v>
      </c>
      <c r="R366" s="250">
        <v>1</v>
      </c>
      <c r="S366" s="250">
        <v>1</v>
      </c>
      <c r="T366" s="250">
        <v>1</v>
      </c>
      <c r="U366" s="250">
        <v>1</v>
      </c>
      <c r="V366" s="256">
        <v>1</v>
      </c>
    </row>
    <row r="367" spans="1:22" s="245" customFormat="1">
      <c r="A367" s="241"/>
      <c r="B367" s="242" t="s">
        <v>175</v>
      </c>
      <c r="C367" s="243"/>
      <c r="D367" s="244"/>
      <c r="F367" s="248">
        <f>SUM(H367:V367)</f>
        <v>15</v>
      </c>
      <c r="G367" s="295"/>
      <c r="H367" s="249">
        <v>1</v>
      </c>
      <c r="I367" s="250">
        <v>1</v>
      </c>
      <c r="J367" s="250">
        <v>1</v>
      </c>
      <c r="K367" s="250">
        <v>1</v>
      </c>
      <c r="L367" s="250">
        <v>1</v>
      </c>
      <c r="M367" s="250">
        <v>1</v>
      </c>
      <c r="N367" s="250">
        <v>1</v>
      </c>
      <c r="O367" s="250">
        <v>1</v>
      </c>
      <c r="P367" s="250">
        <v>1</v>
      </c>
      <c r="Q367" s="380">
        <v>1</v>
      </c>
      <c r="R367" s="380">
        <v>1</v>
      </c>
      <c r="S367" s="380">
        <v>1</v>
      </c>
      <c r="T367" s="380">
        <v>1</v>
      </c>
      <c r="U367" s="380">
        <v>1</v>
      </c>
      <c r="V367" s="256">
        <v>1</v>
      </c>
    </row>
    <row r="368" spans="1:22" s="245" customFormat="1">
      <c r="A368" s="241"/>
      <c r="B368" s="242" t="s">
        <v>179</v>
      </c>
      <c r="C368" s="243"/>
      <c r="D368" s="244"/>
      <c r="F368" s="246"/>
      <c r="G368" s="296"/>
      <c r="H368" s="252" t="s">
        <v>2791</v>
      </c>
      <c r="I368" s="575" t="s">
        <v>3149</v>
      </c>
      <c r="J368" s="251" t="s">
        <v>2791</v>
      </c>
      <c r="K368" s="251" t="s">
        <v>2791</v>
      </c>
      <c r="L368" s="250">
        <v>2074</v>
      </c>
      <c r="M368" s="250">
        <v>2074</v>
      </c>
      <c r="N368" s="250">
        <v>2068</v>
      </c>
      <c r="O368" s="250">
        <v>2068</v>
      </c>
      <c r="P368" s="250">
        <v>2068</v>
      </c>
      <c r="Q368" s="486" t="s">
        <v>3070</v>
      </c>
      <c r="R368" s="380">
        <v>2356</v>
      </c>
      <c r="S368" s="380">
        <v>2356</v>
      </c>
      <c r="T368" s="380">
        <v>2356</v>
      </c>
      <c r="U368" s="380">
        <v>2356</v>
      </c>
      <c r="V368" s="488" t="s">
        <v>3075</v>
      </c>
    </row>
    <row r="369" spans="1:22" s="245" customFormat="1">
      <c r="A369" s="241"/>
      <c r="B369" s="242" t="s">
        <v>3020</v>
      </c>
      <c r="C369" s="243"/>
      <c r="D369" s="244"/>
      <c r="F369" s="246"/>
      <c r="G369" s="296"/>
      <c r="H369" s="249">
        <v>191</v>
      </c>
      <c r="I369" s="250">
        <v>191</v>
      </c>
      <c r="J369" s="250">
        <v>191</v>
      </c>
      <c r="K369" s="250">
        <v>191</v>
      </c>
      <c r="L369" s="250">
        <v>195</v>
      </c>
      <c r="M369" s="250">
        <v>195</v>
      </c>
      <c r="N369" s="250">
        <v>194</v>
      </c>
      <c r="O369" s="250">
        <v>194</v>
      </c>
      <c r="P369" s="250">
        <v>194</v>
      </c>
      <c r="Q369" s="380"/>
      <c r="R369" s="380">
        <v>230</v>
      </c>
      <c r="S369" s="380">
        <v>230</v>
      </c>
      <c r="T369" s="380">
        <v>230</v>
      </c>
      <c r="U369" s="380">
        <v>230</v>
      </c>
      <c r="V369" s="256"/>
    </row>
    <row r="370" spans="1:22" s="245" customFormat="1">
      <c r="A370" s="241"/>
      <c r="B370" s="242" t="s">
        <v>178</v>
      </c>
      <c r="C370" s="243"/>
      <c r="D370" s="244"/>
      <c r="F370" s="248">
        <f>SUM(H370:V370)</f>
        <v>15</v>
      </c>
      <c r="G370" s="294">
        <f>F370/F365</f>
        <v>1</v>
      </c>
      <c r="H370" s="249">
        <v>1</v>
      </c>
      <c r="I370" s="250">
        <v>1</v>
      </c>
      <c r="J370" s="250">
        <v>1</v>
      </c>
      <c r="K370" s="250">
        <v>1</v>
      </c>
      <c r="L370" s="250">
        <v>1</v>
      </c>
      <c r="M370" s="250">
        <v>1</v>
      </c>
      <c r="N370" s="250">
        <v>1</v>
      </c>
      <c r="O370" s="250">
        <v>1</v>
      </c>
      <c r="P370" s="250">
        <v>1</v>
      </c>
      <c r="Q370" s="380">
        <v>1</v>
      </c>
      <c r="R370" s="250">
        <v>1</v>
      </c>
      <c r="S370" s="250">
        <v>1</v>
      </c>
      <c r="T370" s="250">
        <v>1</v>
      </c>
      <c r="U370" s="250">
        <v>1</v>
      </c>
      <c r="V370" s="256">
        <v>1</v>
      </c>
    </row>
    <row r="371" spans="1:22" s="245" customFormat="1">
      <c r="A371" s="241"/>
      <c r="B371" s="242" t="s">
        <v>3021</v>
      </c>
      <c r="C371" s="243"/>
      <c r="D371" s="244"/>
      <c r="F371" s="246"/>
      <c r="G371" s="296"/>
      <c r="H371" s="249"/>
      <c r="I371" s="250"/>
      <c r="J371" s="250"/>
      <c r="K371" s="250"/>
      <c r="L371" s="250"/>
      <c r="M371" s="250"/>
      <c r="N371" s="250"/>
      <c r="O371" s="250"/>
      <c r="P371" s="250"/>
      <c r="Q371" s="380">
        <v>1170</v>
      </c>
      <c r="R371" s="380"/>
      <c r="S371" s="380"/>
      <c r="T371" s="380"/>
      <c r="U371" s="380"/>
      <c r="V371" s="256"/>
    </row>
    <row r="372" spans="1:22" s="163" customFormat="1">
      <c r="A372" s="174"/>
      <c r="B372" s="247" t="s">
        <v>137</v>
      </c>
      <c r="C372" s="165"/>
      <c r="D372" s="176"/>
      <c r="F372" s="170"/>
      <c r="G372" s="297"/>
      <c r="H372" s="174"/>
      <c r="I372" s="166"/>
      <c r="J372" s="166"/>
      <c r="K372" s="166"/>
      <c r="L372" s="166"/>
      <c r="M372" s="166"/>
      <c r="N372" s="166"/>
      <c r="O372" s="166"/>
      <c r="P372" s="166"/>
      <c r="Q372" s="291"/>
      <c r="R372" s="291"/>
      <c r="S372" s="291"/>
      <c r="T372" s="291"/>
      <c r="U372" s="291"/>
      <c r="V372" s="175"/>
    </row>
    <row r="373" spans="1:22" s="245" customFormat="1">
      <c r="A373" s="241"/>
      <c r="B373" s="242" t="s">
        <v>326</v>
      </c>
      <c r="C373" s="243"/>
      <c r="D373" s="244"/>
      <c r="F373" s="248">
        <v>15</v>
      </c>
      <c r="G373" s="295"/>
      <c r="H373" s="249"/>
      <c r="I373" s="250"/>
      <c r="J373" s="250"/>
      <c r="K373" s="250"/>
      <c r="L373" s="250"/>
      <c r="M373" s="250"/>
      <c r="N373" s="250"/>
      <c r="O373" s="250"/>
      <c r="P373" s="250"/>
      <c r="Q373" s="380"/>
      <c r="R373" s="380"/>
      <c r="S373" s="380"/>
      <c r="T373" s="380"/>
      <c r="U373" s="380"/>
      <c r="V373" s="256"/>
    </row>
    <row r="374" spans="1:22" s="245" customFormat="1">
      <c r="A374" s="241"/>
      <c r="B374" s="242" t="s">
        <v>3134</v>
      </c>
      <c r="C374" s="243"/>
      <c r="D374" s="244"/>
      <c r="F374" s="248">
        <f>SUM(H374:V374)</f>
        <v>15</v>
      </c>
      <c r="G374" s="295"/>
      <c r="H374" s="249">
        <v>1</v>
      </c>
      <c r="I374" s="250">
        <v>1</v>
      </c>
      <c r="J374" s="250">
        <v>1</v>
      </c>
      <c r="K374" s="250">
        <v>1</v>
      </c>
      <c r="L374" s="250">
        <v>1</v>
      </c>
      <c r="M374" s="250">
        <v>1</v>
      </c>
      <c r="N374" s="250">
        <v>1</v>
      </c>
      <c r="O374" s="250">
        <v>1</v>
      </c>
      <c r="P374" s="250">
        <v>1</v>
      </c>
      <c r="Q374" s="380">
        <v>1</v>
      </c>
      <c r="R374" s="250">
        <v>1</v>
      </c>
      <c r="S374" s="250">
        <v>1</v>
      </c>
      <c r="T374" s="250">
        <v>1</v>
      </c>
      <c r="U374" s="250">
        <v>1</v>
      </c>
      <c r="V374" s="256">
        <v>1</v>
      </c>
    </row>
    <row r="375" spans="1:22" s="245" customFormat="1">
      <c r="A375" s="241"/>
      <c r="B375" s="242" t="s">
        <v>175</v>
      </c>
      <c r="C375" s="243"/>
      <c r="D375" s="244"/>
      <c r="F375" s="248">
        <f>SUM(H375:V375)</f>
        <v>15</v>
      </c>
      <c r="G375" s="295"/>
      <c r="H375" s="249">
        <v>1</v>
      </c>
      <c r="I375" s="250">
        <v>1</v>
      </c>
      <c r="J375" s="250">
        <v>1</v>
      </c>
      <c r="K375" s="250">
        <v>1</v>
      </c>
      <c r="L375" s="250">
        <v>1</v>
      </c>
      <c r="M375" s="250">
        <v>1</v>
      </c>
      <c r="N375" s="250">
        <v>1</v>
      </c>
      <c r="O375" s="250">
        <v>1</v>
      </c>
      <c r="P375" s="250">
        <v>1</v>
      </c>
      <c r="Q375" s="380">
        <v>1</v>
      </c>
      <c r="R375" s="250">
        <v>1</v>
      </c>
      <c r="S375" s="250">
        <v>1</v>
      </c>
      <c r="T375" s="250">
        <v>1</v>
      </c>
      <c r="U375" s="250">
        <v>1</v>
      </c>
      <c r="V375" s="256">
        <v>1</v>
      </c>
    </row>
    <row r="376" spans="1:22" s="245" customFormat="1">
      <c r="A376" s="241"/>
      <c r="B376" s="242" t="s">
        <v>179</v>
      </c>
      <c r="C376" s="243"/>
      <c r="D376" s="244"/>
      <c r="F376" s="246"/>
      <c r="G376" s="296"/>
      <c r="H376" s="249">
        <v>2066</v>
      </c>
      <c r="I376" s="250">
        <v>2066</v>
      </c>
      <c r="J376" s="250">
        <v>2075</v>
      </c>
      <c r="K376" s="250">
        <v>2075</v>
      </c>
      <c r="L376" s="250">
        <v>2075</v>
      </c>
      <c r="M376" s="250">
        <v>2068</v>
      </c>
      <c r="N376" s="250">
        <v>2075</v>
      </c>
      <c r="O376" s="250">
        <v>2074</v>
      </c>
      <c r="P376" s="486" t="s">
        <v>3075</v>
      </c>
      <c r="Q376" s="380">
        <v>2506</v>
      </c>
      <c r="R376" s="486" t="s">
        <v>3075</v>
      </c>
      <c r="S376" s="486" t="s">
        <v>3075</v>
      </c>
      <c r="T376" s="380">
        <v>2506</v>
      </c>
      <c r="U376" s="380">
        <v>2506</v>
      </c>
      <c r="V376" s="256">
        <v>2506</v>
      </c>
    </row>
    <row r="377" spans="1:22" s="245" customFormat="1">
      <c r="A377" s="241"/>
      <c r="B377" s="242" t="s">
        <v>3020</v>
      </c>
      <c r="C377" s="243"/>
      <c r="D377" s="244"/>
      <c r="F377" s="246"/>
      <c r="G377" s="296"/>
      <c r="H377" s="249">
        <v>193</v>
      </c>
      <c r="I377" s="250">
        <v>193</v>
      </c>
      <c r="J377" s="250">
        <v>195</v>
      </c>
      <c r="K377" s="250">
        <v>195</v>
      </c>
      <c r="L377" s="250">
        <v>195</v>
      </c>
      <c r="M377" s="250">
        <v>194</v>
      </c>
      <c r="N377" s="250">
        <v>195</v>
      </c>
      <c r="O377" s="250">
        <v>195</v>
      </c>
      <c r="P377" s="250"/>
      <c r="Q377" s="380"/>
      <c r="R377" s="380"/>
      <c r="S377" s="380"/>
      <c r="T377" s="380"/>
      <c r="U377" s="380"/>
      <c r="V377" s="256"/>
    </row>
    <row r="378" spans="1:22" s="245" customFormat="1">
      <c r="A378" s="241"/>
      <c r="B378" s="242" t="s">
        <v>178</v>
      </c>
      <c r="C378" s="243"/>
      <c r="D378" s="244"/>
      <c r="F378" s="248">
        <f>SUM(H378:V378)</f>
        <v>15</v>
      </c>
      <c r="G378" s="294">
        <f>F378/F373</f>
        <v>1</v>
      </c>
      <c r="H378" s="249">
        <v>1</v>
      </c>
      <c r="I378" s="250">
        <v>1</v>
      </c>
      <c r="J378" s="250">
        <v>1</v>
      </c>
      <c r="K378" s="250">
        <v>1</v>
      </c>
      <c r="L378" s="250">
        <v>1</v>
      </c>
      <c r="M378" s="250">
        <v>1</v>
      </c>
      <c r="N378" s="250">
        <v>1</v>
      </c>
      <c r="O378" s="250">
        <v>1</v>
      </c>
      <c r="P378" s="250">
        <v>1</v>
      </c>
      <c r="Q378" s="250">
        <v>1</v>
      </c>
      <c r="R378" s="250">
        <v>1</v>
      </c>
      <c r="S378" s="250">
        <v>1</v>
      </c>
      <c r="T378" s="250">
        <v>1</v>
      </c>
      <c r="U378" s="250">
        <v>1</v>
      </c>
      <c r="V378" s="256">
        <v>1</v>
      </c>
    </row>
    <row r="379" spans="1:22" s="245" customFormat="1">
      <c r="A379" s="241"/>
      <c r="B379" s="242" t="s">
        <v>3021</v>
      </c>
      <c r="C379" s="243"/>
      <c r="D379" s="244"/>
      <c r="F379" s="246"/>
      <c r="G379" s="296"/>
      <c r="H379" s="249">
        <v>1171</v>
      </c>
      <c r="I379" s="250">
        <v>1171</v>
      </c>
      <c r="J379" s="250">
        <v>1171</v>
      </c>
      <c r="K379" s="250">
        <v>1171</v>
      </c>
      <c r="L379" s="250">
        <v>1171</v>
      </c>
      <c r="M379" s="250">
        <v>1171</v>
      </c>
      <c r="N379" s="250">
        <v>1171</v>
      </c>
      <c r="O379" s="250">
        <v>1171</v>
      </c>
      <c r="P379" s="250">
        <v>1171</v>
      </c>
      <c r="Q379" s="380">
        <v>1171</v>
      </c>
      <c r="R379" s="380">
        <v>1171</v>
      </c>
      <c r="S379" s="380">
        <v>1171</v>
      </c>
      <c r="T379" s="380">
        <v>1171</v>
      </c>
      <c r="U379" s="380">
        <v>1171</v>
      </c>
      <c r="V379" s="256">
        <v>1171</v>
      </c>
    </row>
    <row r="380" spans="1:22" s="163" customFormat="1">
      <c r="A380" s="174"/>
      <c r="B380" s="247" t="s">
        <v>138</v>
      </c>
      <c r="C380" s="165"/>
      <c r="D380" s="176"/>
      <c r="F380" s="170"/>
      <c r="G380" s="297"/>
      <c r="H380" s="174"/>
      <c r="I380" s="166"/>
      <c r="J380" s="166"/>
      <c r="K380" s="166"/>
      <c r="L380" s="166"/>
      <c r="M380" s="166"/>
      <c r="N380" s="166"/>
      <c r="O380" s="166"/>
      <c r="P380" s="166"/>
      <c r="Q380" s="291"/>
      <c r="R380" s="291"/>
      <c r="S380" s="291"/>
      <c r="T380" s="291"/>
      <c r="U380" s="291"/>
      <c r="V380" s="175"/>
    </row>
    <row r="381" spans="1:22" s="245" customFormat="1">
      <c r="A381" s="241"/>
      <c r="B381" s="242" t="s">
        <v>326</v>
      </c>
      <c r="C381" s="243"/>
      <c r="D381" s="244"/>
      <c r="F381" s="248">
        <v>1</v>
      </c>
      <c r="G381" s="295"/>
      <c r="H381" s="249"/>
      <c r="I381" s="250"/>
      <c r="J381" s="250"/>
      <c r="K381" s="250"/>
      <c r="L381" s="250"/>
      <c r="M381" s="250"/>
      <c r="N381" s="250"/>
      <c r="O381" s="250"/>
      <c r="P381" s="250"/>
      <c r="Q381" s="380"/>
      <c r="R381" s="380"/>
      <c r="S381" s="380"/>
      <c r="T381" s="380"/>
      <c r="U381" s="380"/>
      <c r="V381" s="256"/>
    </row>
    <row r="382" spans="1:22" s="245" customFormat="1">
      <c r="A382" s="241"/>
      <c r="B382" s="242" t="s">
        <v>3134</v>
      </c>
      <c r="C382" s="243"/>
      <c r="D382" s="244"/>
      <c r="F382" s="248">
        <f>SUM(H382:V382)</f>
        <v>1</v>
      </c>
      <c r="G382" s="295"/>
      <c r="H382" s="249"/>
      <c r="I382" s="250"/>
      <c r="J382" s="250"/>
      <c r="K382" s="250"/>
      <c r="L382" s="250"/>
      <c r="M382" s="250"/>
      <c r="N382" s="250"/>
      <c r="O382" s="250">
        <v>1</v>
      </c>
      <c r="P382" s="250"/>
      <c r="Q382" s="250"/>
      <c r="R382" s="250"/>
      <c r="S382" s="250"/>
      <c r="T382" s="250"/>
      <c r="U382" s="250"/>
      <c r="V382" s="256"/>
    </row>
    <row r="383" spans="1:22" s="245" customFormat="1">
      <c r="A383" s="241"/>
      <c r="B383" s="242" t="s">
        <v>175</v>
      </c>
      <c r="C383" s="243"/>
      <c r="D383" s="244"/>
      <c r="F383" s="248">
        <f>SUM(H383:V383)</f>
        <v>1</v>
      </c>
      <c r="G383" s="466"/>
      <c r="H383" s="299"/>
      <c r="I383" s="250"/>
      <c r="J383" s="250"/>
      <c r="K383" s="250"/>
      <c r="L383" s="250"/>
      <c r="M383" s="250"/>
      <c r="N383" s="250"/>
      <c r="O383" s="250">
        <v>1</v>
      </c>
      <c r="P383" s="250"/>
      <c r="Q383" s="380"/>
      <c r="R383" s="380"/>
      <c r="S383" s="380"/>
      <c r="T383" s="380"/>
      <c r="U383" s="380"/>
      <c r="V383" s="256"/>
    </row>
    <row r="384" spans="1:22" s="245" customFormat="1">
      <c r="A384" s="241"/>
      <c r="B384" s="242" t="s">
        <v>179</v>
      </c>
      <c r="C384" s="243"/>
      <c r="D384" s="244"/>
      <c r="F384" s="246"/>
      <c r="G384" s="467"/>
      <c r="H384" s="299">
        <v>2032</v>
      </c>
      <c r="I384" s="250">
        <v>2066</v>
      </c>
      <c r="J384" s="250">
        <v>2066</v>
      </c>
      <c r="K384" s="250">
        <v>2032</v>
      </c>
      <c r="L384" s="250">
        <v>2032</v>
      </c>
      <c r="M384" s="250">
        <v>2032</v>
      </c>
      <c r="N384" s="250">
        <v>2050</v>
      </c>
      <c r="O384" s="250">
        <v>2032</v>
      </c>
      <c r="P384" s="250">
        <v>2382</v>
      </c>
      <c r="Q384" s="380">
        <v>2382</v>
      </c>
      <c r="R384" s="380">
        <v>2382</v>
      </c>
      <c r="S384" s="486" t="s">
        <v>3209</v>
      </c>
      <c r="T384" s="486" t="s">
        <v>3209</v>
      </c>
      <c r="U384" s="380">
        <v>2382</v>
      </c>
      <c r="V384" s="256"/>
    </row>
    <row r="385" spans="1:22" s="245" customFormat="1" ht="13.8" thickBot="1">
      <c r="A385" s="241"/>
      <c r="B385" s="242" t="s">
        <v>3020</v>
      </c>
      <c r="C385" s="243"/>
      <c r="D385" s="244"/>
      <c r="F385" s="246"/>
      <c r="G385" s="296"/>
      <c r="H385" s="249">
        <v>189</v>
      </c>
      <c r="I385" s="251" t="s">
        <v>2859</v>
      </c>
      <c r="J385" s="251" t="s">
        <v>2859</v>
      </c>
      <c r="K385" s="250">
        <v>189</v>
      </c>
      <c r="L385" s="250">
        <v>189</v>
      </c>
      <c r="M385" s="250">
        <v>189</v>
      </c>
      <c r="N385" s="250">
        <v>192</v>
      </c>
      <c r="O385" s="614">
        <v>189</v>
      </c>
      <c r="P385" s="250">
        <v>234</v>
      </c>
      <c r="Q385" s="250">
        <v>234</v>
      </c>
      <c r="R385" s="250">
        <v>234</v>
      </c>
      <c r="S385" s="380"/>
      <c r="T385" s="380"/>
      <c r="U385" s="380">
        <v>234</v>
      </c>
      <c r="V385" s="256"/>
    </row>
    <row r="386" spans="1:22" s="245" customFormat="1" ht="14.4" thickTop="1" thickBot="1">
      <c r="A386" s="241"/>
      <c r="B386" s="242" t="s">
        <v>178</v>
      </c>
      <c r="C386" s="243"/>
      <c r="D386" s="244"/>
      <c r="F386" s="248">
        <f>SUM(H386:V386)</f>
        <v>1</v>
      </c>
      <c r="G386" s="610">
        <f>F386/F381</f>
        <v>1</v>
      </c>
      <c r="H386" s="249"/>
      <c r="I386" s="250"/>
      <c r="J386" s="250"/>
      <c r="K386" s="250"/>
      <c r="L386" s="250"/>
      <c r="M386" s="250"/>
      <c r="N386" s="380"/>
      <c r="O386" s="625">
        <v>1</v>
      </c>
      <c r="P386" s="299"/>
      <c r="Q386" s="250"/>
      <c r="R386" s="250"/>
      <c r="S386" s="250"/>
      <c r="T386" s="250"/>
      <c r="U386" s="250"/>
      <c r="V386" s="256"/>
    </row>
    <row r="387" spans="1:22" s="245" customFormat="1" ht="13.8" thickTop="1">
      <c r="A387" s="241"/>
      <c r="B387" s="242" t="s">
        <v>3021</v>
      </c>
      <c r="C387" s="243"/>
      <c r="D387" s="244"/>
      <c r="F387" s="246"/>
      <c r="G387" s="296"/>
      <c r="H387" s="249"/>
      <c r="I387" s="250"/>
      <c r="J387" s="250"/>
      <c r="K387" s="250"/>
      <c r="L387" s="250"/>
      <c r="M387" s="250"/>
      <c r="N387" s="250"/>
      <c r="O387" s="616"/>
      <c r="P387" s="250"/>
      <c r="Q387" s="380"/>
      <c r="R387" s="380"/>
      <c r="S387" s="380"/>
      <c r="T387" s="380"/>
      <c r="U387" s="380"/>
      <c r="V387" s="256"/>
    </row>
    <row r="388" spans="1:22" s="163" customFormat="1">
      <c r="A388" s="174"/>
      <c r="B388" s="247" t="s">
        <v>139</v>
      </c>
      <c r="C388" s="165"/>
      <c r="D388" s="176"/>
      <c r="F388" s="170"/>
      <c r="G388" s="297"/>
      <c r="H388" s="174"/>
      <c r="I388" s="166"/>
      <c r="J388" s="166"/>
      <c r="K388" s="166"/>
      <c r="L388" s="166"/>
      <c r="M388" s="166"/>
      <c r="N388" s="250"/>
      <c r="O388" s="250"/>
      <c r="P388" s="250"/>
      <c r="Q388" s="291"/>
      <c r="R388" s="291"/>
      <c r="S388" s="291"/>
      <c r="T388" s="291"/>
      <c r="U388" s="291"/>
      <c r="V388" s="175"/>
    </row>
    <row r="389" spans="1:22" s="245" customFormat="1">
      <c r="A389" s="241"/>
      <c r="B389" s="242" t="s">
        <v>326</v>
      </c>
      <c r="C389" s="243"/>
      <c r="D389" s="244"/>
      <c r="F389" s="248">
        <v>9</v>
      </c>
      <c r="G389" s="295"/>
      <c r="H389" s="249"/>
      <c r="I389" s="250"/>
      <c r="J389" s="250"/>
      <c r="K389" s="250"/>
      <c r="L389" s="250"/>
      <c r="M389" s="250"/>
      <c r="N389" s="250"/>
      <c r="O389" s="250"/>
      <c r="P389" s="250"/>
      <c r="Q389" s="380"/>
      <c r="R389" s="380"/>
      <c r="S389" s="380"/>
      <c r="T389" s="380"/>
      <c r="U389" s="380"/>
      <c r="V389" s="256"/>
    </row>
    <row r="390" spans="1:22" s="245" customFormat="1">
      <c r="A390" s="241"/>
      <c r="B390" s="242" t="s">
        <v>3134</v>
      </c>
      <c r="C390" s="243"/>
      <c r="D390" s="244"/>
      <c r="F390" s="248">
        <f>SUM(H390:V390)</f>
        <v>13</v>
      </c>
      <c r="G390" s="295"/>
      <c r="H390" s="249">
        <v>1</v>
      </c>
      <c r="I390" s="250">
        <v>1</v>
      </c>
      <c r="J390" s="250">
        <v>1</v>
      </c>
      <c r="K390" s="250">
        <v>1</v>
      </c>
      <c r="L390" s="250">
        <v>1</v>
      </c>
      <c r="M390" s="250">
        <v>1</v>
      </c>
      <c r="N390" s="250">
        <v>1</v>
      </c>
      <c r="O390" s="250">
        <v>1</v>
      </c>
      <c r="P390" s="250">
        <v>1</v>
      </c>
      <c r="Q390" s="250">
        <v>1</v>
      </c>
      <c r="R390" s="250">
        <v>1</v>
      </c>
      <c r="S390" s="250">
        <v>1</v>
      </c>
      <c r="T390" s="250">
        <v>1</v>
      </c>
      <c r="U390" s="250"/>
      <c r="V390" s="256"/>
    </row>
    <row r="391" spans="1:22" s="245" customFormat="1">
      <c r="A391" s="241"/>
      <c r="B391" s="242" t="s">
        <v>175</v>
      </c>
      <c r="C391" s="243"/>
      <c r="D391" s="244"/>
      <c r="F391" s="248">
        <f>SUM(H391:V391)</f>
        <v>13</v>
      </c>
      <c r="G391" s="295"/>
      <c r="H391" s="249">
        <v>1</v>
      </c>
      <c r="I391" s="250">
        <v>1</v>
      </c>
      <c r="J391" s="250">
        <v>1</v>
      </c>
      <c r="K391" s="250">
        <v>1</v>
      </c>
      <c r="L391" s="250">
        <v>1</v>
      </c>
      <c r="M391" s="250">
        <v>1</v>
      </c>
      <c r="N391" s="250">
        <v>1</v>
      </c>
      <c r="O391" s="380">
        <v>1</v>
      </c>
      <c r="P391" s="380">
        <v>1</v>
      </c>
      <c r="Q391" s="380">
        <v>1</v>
      </c>
      <c r="R391" s="380">
        <v>1</v>
      </c>
      <c r="S391" s="380">
        <v>1</v>
      </c>
      <c r="T391" s="380">
        <v>1</v>
      </c>
      <c r="U391" s="380"/>
      <c r="V391" s="256"/>
    </row>
    <row r="392" spans="1:22" s="245" customFormat="1">
      <c r="A392" s="241"/>
      <c r="B392" s="242" t="s">
        <v>179</v>
      </c>
      <c r="C392" s="243"/>
      <c r="D392" s="244"/>
      <c r="F392" s="246"/>
      <c r="G392" s="296"/>
      <c r="H392" s="249">
        <v>2107</v>
      </c>
      <c r="I392" s="250">
        <v>2107</v>
      </c>
      <c r="J392" s="250">
        <v>2099</v>
      </c>
      <c r="K392" s="250">
        <v>2099</v>
      </c>
      <c r="L392" s="250">
        <v>2099</v>
      </c>
      <c r="M392" s="250">
        <v>2107</v>
      </c>
      <c r="N392" s="250">
        <v>2107</v>
      </c>
      <c r="O392" s="486" t="s">
        <v>3290</v>
      </c>
      <c r="P392" s="486" t="s">
        <v>3290</v>
      </c>
      <c r="Q392" s="486" t="s">
        <v>3290</v>
      </c>
      <c r="R392" s="486" t="s">
        <v>3290</v>
      </c>
      <c r="S392" s="486" t="s">
        <v>3278</v>
      </c>
      <c r="T392" s="486" t="s">
        <v>3278</v>
      </c>
      <c r="U392" s="380"/>
      <c r="V392" s="256"/>
    </row>
    <row r="393" spans="1:22" s="245" customFormat="1" ht="13.8" thickBot="1">
      <c r="A393" s="241"/>
      <c r="B393" s="242" t="s">
        <v>3020</v>
      </c>
      <c r="C393" s="243"/>
      <c r="D393" s="244"/>
      <c r="F393" s="246"/>
      <c r="G393" s="296"/>
      <c r="H393" s="611">
        <v>201</v>
      </c>
      <c r="I393" s="614">
        <v>201</v>
      </c>
      <c r="J393" s="614">
        <v>199</v>
      </c>
      <c r="K393" s="614">
        <v>199</v>
      </c>
      <c r="L393" s="614">
        <v>199</v>
      </c>
      <c r="M393" s="614">
        <v>201</v>
      </c>
      <c r="N393" s="614">
        <v>201</v>
      </c>
      <c r="O393" s="618" t="s">
        <v>3309</v>
      </c>
      <c r="P393" s="950" t="s">
        <v>3794</v>
      </c>
      <c r="Q393" s="950" t="s">
        <v>3794</v>
      </c>
      <c r="R393" s="486" t="s">
        <v>3309</v>
      </c>
      <c r="S393" s="380">
        <v>271</v>
      </c>
      <c r="T393" s="380">
        <v>271</v>
      </c>
      <c r="U393" s="380"/>
      <c r="V393" s="256"/>
    </row>
    <row r="394" spans="1:22" s="245" customFormat="1" ht="14.4" thickTop="1" thickBot="1">
      <c r="A394" s="241"/>
      <c r="B394" s="242" t="s">
        <v>178</v>
      </c>
      <c r="C394" s="243"/>
      <c r="D394" s="244"/>
      <c r="F394" s="248">
        <f>SUM(H394:V394)</f>
        <v>4</v>
      </c>
      <c r="G394" s="610">
        <f>F394/F389</f>
        <v>0.44444444444444442</v>
      </c>
      <c r="H394" s="625"/>
      <c r="I394" s="625"/>
      <c r="J394" s="625"/>
      <c r="K394" s="625"/>
      <c r="L394" s="625"/>
      <c r="M394" s="625"/>
      <c r="N394" s="625">
        <v>1</v>
      </c>
      <c r="O394" s="625">
        <v>1</v>
      </c>
      <c r="P394" s="625">
        <v>1</v>
      </c>
      <c r="Q394" s="625">
        <v>1</v>
      </c>
      <c r="R394" s="625"/>
      <c r="S394" s="625"/>
      <c r="T394" s="625"/>
      <c r="U394" s="380"/>
      <c r="V394" s="256"/>
    </row>
    <row r="395" spans="1:22" s="245" customFormat="1" ht="13.8" thickTop="1">
      <c r="A395" s="241"/>
      <c r="B395" s="242" t="s">
        <v>3021</v>
      </c>
      <c r="C395" s="243"/>
      <c r="D395" s="244"/>
      <c r="F395" s="246"/>
      <c r="G395" s="296"/>
      <c r="H395" s="612"/>
      <c r="I395" s="616"/>
      <c r="J395" s="616"/>
      <c r="K395" s="616"/>
      <c r="L395" s="616"/>
      <c r="M395" s="616"/>
      <c r="N395" s="616"/>
      <c r="O395" s="616"/>
      <c r="P395" s="616"/>
      <c r="Q395" s="617"/>
      <c r="R395" s="380"/>
      <c r="S395" s="380"/>
      <c r="T395" s="380"/>
      <c r="U395" s="380"/>
      <c r="V395" s="256"/>
    </row>
    <row r="396" spans="1:22" s="163" customFormat="1">
      <c r="A396" s="174"/>
      <c r="B396" s="247" t="s">
        <v>140</v>
      </c>
      <c r="C396" s="165"/>
      <c r="D396" s="176"/>
      <c r="F396" s="170"/>
      <c r="G396" s="297"/>
      <c r="H396" s="174"/>
      <c r="I396" s="166"/>
      <c r="J396" s="166"/>
      <c r="K396" s="166"/>
      <c r="L396" s="166"/>
      <c r="M396" s="166"/>
      <c r="N396" s="166"/>
      <c r="O396" s="166"/>
      <c r="P396" s="166"/>
      <c r="Q396" s="291"/>
      <c r="R396" s="291"/>
      <c r="S396" s="291"/>
      <c r="T396" s="291"/>
      <c r="U396" s="291"/>
      <c r="V396" s="175"/>
    </row>
    <row r="397" spans="1:22" s="245" customFormat="1">
      <c r="A397" s="241"/>
      <c r="B397" s="242" t="s">
        <v>326</v>
      </c>
      <c r="C397" s="243"/>
      <c r="D397" s="244"/>
      <c r="F397" s="248">
        <v>0</v>
      </c>
      <c r="G397" s="295"/>
      <c r="H397" s="249"/>
      <c r="I397" s="250"/>
      <c r="J397" s="250"/>
      <c r="K397" s="250"/>
      <c r="L397" s="250"/>
      <c r="M397" s="250"/>
      <c r="N397" s="250"/>
      <c r="O397" s="250"/>
      <c r="P397" s="250"/>
      <c r="Q397" s="380"/>
      <c r="R397" s="380"/>
      <c r="S397" s="380"/>
      <c r="T397" s="380"/>
      <c r="U397" s="380"/>
      <c r="V397" s="256"/>
    </row>
    <row r="398" spans="1:22" s="245" customFormat="1">
      <c r="A398" s="241"/>
      <c r="B398" s="242" t="s">
        <v>3134</v>
      </c>
      <c r="C398" s="243"/>
      <c r="D398" s="244"/>
      <c r="F398" s="248">
        <f>SUM(H398:V398)</f>
        <v>0</v>
      </c>
      <c r="G398" s="295"/>
      <c r="H398" s="249"/>
      <c r="I398" s="250"/>
      <c r="J398" s="250"/>
      <c r="K398" s="250"/>
      <c r="L398" s="250"/>
      <c r="M398" s="250"/>
      <c r="N398" s="250"/>
      <c r="O398" s="250"/>
      <c r="P398" s="250"/>
      <c r="Q398" s="380"/>
      <c r="R398" s="380"/>
      <c r="S398" s="380"/>
      <c r="T398" s="380"/>
      <c r="U398" s="380"/>
      <c r="V398" s="256"/>
    </row>
    <row r="399" spans="1:22" s="245" customFormat="1">
      <c r="A399" s="241"/>
      <c r="B399" s="242" t="s">
        <v>175</v>
      </c>
      <c r="C399" s="243"/>
      <c r="D399" s="244"/>
      <c r="F399" s="248">
        <f>SUM(H399:V399)</f>
        <v>0</v>
      </c>
      <c r="G399" s="295"/>
      <c r="H399" s="249"/>
      <c r="I399" s="250"/>
      <c r="J399" s="250"/>
      <c r="K399" s="250"/>
      <c r="L399" s="250"/>
      <c r="M399" s="250"/>
      <c r="N399" s="250"/>
      <c r="O399" s="250"/>
      <c r="P399" s="250"/>
      <c r="Q399" s="380"/>
      <c r="R399" s="380"/>
      <c r="S399" s="380"/>
      <c r="T399" s="380"/>
      <c r="U399" s="380"/>
      <c r="V399" s="256"/>
    </row>
    <row r="400" spans="1:22" s="245" customFormat="1">
      <c r="A400" s="241"/>
      <c r="B400" s="242" t="s">
        <v>179</v>
      </c>
      <c r="C400" s="243"/>
      <c r="D400" s="244"/>
      <c r="F400" s="246"/>
      <c r="G400" s="296"/>
      <c r="H400" s="249"/>
      <c r="I400" s="250"/>
      <c r="J400" s="250"/>
      <c r="K400" s="250"/>
      <c r="L400" s="250"/>
      <c r="M400" s="250"/>
      <c r="N400" s="250"/>
      <c r="O400" s="250"/>
      <c r="P400" s="250"/>
      <c r="Q400" s="380"/>
      <c r="R400" s="380"/>
      <c r="S400" s="380"/>
      <c r="T400" s="380"/>
      <c r="U400" s="380"/>
      <c r="V400" s="256"/>
    </row>
    <row r="401" spans="1:22" s="245" customFormat="1">
      <c r="A401" s="241"/>
      <c r="B401" s="242" t="s">
        <v>3020</v>
      </c>
      <c r="C401" s="243"/>
      <c r="D401" s="244"/>
      <c r="F401" s="246"/>
      <c r="G401" s="296"/>
      <c r="H401" s="249"/>
      <c r="I401" s="250"/>
      <c r="J401" s="250"/>
      <c r="K401" s="250"/>
      <c r="L401" s="250"/>
      <c r="M401" s="250"/>
      <c r="N401" s="250"/>
      <c r="O401" s="250"/>
      <c r="P401" s="250"/>
      <c r="Q401" s="380"/>
      <c r="R401" s="380"/>
      <c r="S401" s="380"/>
      <c r="T401" s="380"/>
      <c r="U401" s="380"/>
      <c r="V401" s="256"/>
    </row>
    <row r="402" spans="1:22" s="245" customFormat="1">
      <c r="A402" s="241"/>
      <c r="B402" s="242" t="s">
        <v>178</v>
      </c>
      <c r="C402" s="243"/>
      <c r="D402" s="244"/>
      <c r="F402" s="248">
        <f>SUM(H402:V402)</f>
        <v>0</v>
      </c>
      <c r="G402" s="295"/>
      <c r="H402" s="249"/>
      <c r="I402" s="250"/>
      <c r="J402" s="250"/>
      <c r="K402" s="250"/>
      <c r="L402" s="250"/>
      <c r="M402" s="250"/>
      <c r="N402" s="250"/>
      <c r="O402" s="250"/>
      <c r="P402" s="250"/>
      <c r="Q402" s="380"/>
      <c r="R402" s="380"/>
      <c r="S402" s="380"/>
      <c r="T402" s="380"/>
      <c r="U402" s="380"/>
      <c r="V402" s="256"/>
    </row>
    <row r="403" spans="1:22" s="245" customFormat="1">
      <c r="A403" s="241"/>
      <c r="B403" s="242" t="s">
        <v>3021</v>
      </c>
      <c r="C403" s="243"/>
      <c r="D403" s="244"/>
      <c r="F403" s="246"/>
      <c r="G403" s="296"/>
      <c r="H403" s="249"/>
      <c r="I403" s="250"/>
      <c r="J403" s="250"/>
      <c r="K403" s="250"/>
      <c r="L403" s="250"/>
      <c r="M403" s="250"/>
      <c r="N403" s="250"/>
      <c r="O403" s="250"/>
      <c r="P403" s="250"/>
      <c r="Q403" s="380"/>
      <c r="R403" s="380"/>
      <c r="S403" s="380"/>
      <c r="T403" s="380"/>
      <c r="U403" s="380"/>
      <c r="V403" s="256"/>
    </row>
    <row r="404" spans="1:22" s="163" customFormat="1">
      <c r="A404" s="174"/>
      <c r="B404" s="247" t="s">
        <v>141</v>
      </c>
      <c r="C404" s="165"/>
      <c r="D404" s="176"/>
      <c r="F404" s="170"/>
      <c r="G404" s="297"/>
      <c r="H404" s="174"/>
      <c r="I404" s="166"/>
      <c r="J404" s="166"/>
      <c r="K404" s="166"/>
      <c r="L404" s="166"/>
      <c r="M404" s="166"/>
      <c r="N404" s="166"/>
      <c r="O404" s="166"/>
      <c r="P404" s="166"/>
      <c r="Q404" s="291"/>
      <c r="R404" s="291"/>
      <c r="S404" s="291"/>
      <c r="T404" s="291"/>
      <c r="U404" s="291"/>
      <c r="V404" s="175"/>
    </row>
    <row r="405" spans="1:22" s="245" customFormat="1">
      <c r="A405" s="241"/>
      <c r="B405" s="242" t="s">
        <v>326</v>
      </c>
      <c r="C405" s="243"/>
      <c r="D405" s="244"/>
      <c r="F405" s="248">
        <v>0</v>
      </c>
      <c r="G405" s="295"/>
      <c r="H405" s="249"/>
      <c r="I405" s="250"/>
      <c r="J405" s="250"/>
      <c r="K405" s="250"/>
      <c r="L405" s="250"/>
      <c r="M405" s="250"/>
      <c r="N405" s="250"/>
      <c r="O405" s="250"/>
      <c r="P405" s="250"/>
      <c r="Q405" s="380"/>
      <c r="R405" s="380"/>
      <c r="S405" s="380"/>
      <c r="T405" s="380"/>
      <c r="U405" s="380"/>
      <c r="V405" s="256"/>
    </row>
    <row r="406" spans="1:22" s="245" customFormat="1">
      <c r="A406" s="241"/>
      <c r="B406" s="242" t="s">
        <v>3134</v>
      </c>
      <c r="C406" s="243"/>
      <c r="D406" s="244"/>
      <c r="F406" s="248">
        <f>SUM(H406:V406)</f>
        <v>0</v>
      </c>
      <c r="G406" s="295"/>
      <c r="H406" s="249"/>
      <c r="I406" s="250"/>
      <c r="J406" s="250"/>
      <c r="K406" s="250"/>
      <c r="L406" s="250"/>
      <c r="M406" s="250"/>
      <c r="N406" s="250"/>
      <c r="O406" s="250"/>
      <c r="P406" s="250"/>
      <c r="Q406" s="380"/>
      <c r="R406" s="380"/>
      <c r="S406" s="380"/>
      <c r="T406" s="380"/>
      <c r="U406" s="380"/>
      <c r="V406" s="256"/>
    </row>
    <row r="407" spans="1:22" s="245" customFormat="1">
      <c r="A407" s="241"/>
      <c r="B407" s="242" t="s">
        <v>175</v>
      </c>
      <c r="C407" s="243"/>
      <c r="D407" s="244"/>
      <c r="F407" s="248">
        <f>SUM(H407:V407)</f>
        <v>0</v>
      </c>
      <c r="G407" s="295"/>
      <c r="H407" s="249"/>
      <c r="I407" s="250"/>
      <c r="J407" s="250"/>
      <c r="K407" s="250"/>
      <c r="L407" s="250"/>
      <c r="M407" s="250"/>
      <c r="N407" s="250"/>
      <c r="O407" s="250"/>
      <c r="P407" s="250"/>
      <c r="Q407" s="380"/>
      <c r="R407" s="380"/>
      <c r="S407" s="380"/>
      <c r="T407" s="380"/>
      <c r="U407" s="380"/>
      <c r="V407" s="256"/>
    </row>
    <row r="408" spans="1:22" s="245" customFormat="1">
      <c r="A408" s="241"/>
      <c r="B408" s="242" t="s">
        <v>179</v>
      </c>
      <c r="C408" s="243"/>
      <c r="D408" s="244"/>
      <c r="F408" s="246"/>
      <c r="G408" s="296"/>
      <c r="H408" s="249"/>
      <c r="I408" s="250"/>
      <c r="J408" s="250"/>
      <c r="K408" s="250"/>
      <c r="L408" s="250"/>
      <c r="M408" s="250"/>
      <c r="N408" s="250"/>
      <c r="O408" s="250"/>
      <c r="P408" s="250"/>
      <c r="Q408" s="380"/>
      <c r="R408" s="380"/>
      <c r="S408" s="380"/>
      <c r="T408" s="380"/>
      <c r="U408" s="380"/>
      <c r="V408" s="256"/>
    </row>
    <row r="409" spans="1:22" s="245" customFormat="1">
      <c r="A409" s="241"/>
      <c r="B409" s="242" t="s">
        <v>3020</v>
      </c>
      <c r="C409" s="243"/>
      <c r="D409" s="244"/>
      <c r="F409" s="246"/>
      <c r="G409" s="296"/>
      <c r="H409" s="249"/>
      <c r="I409" s="250"/>
      <c r="J409" s="250"/>
      <c r="K409" s="250"/>
      <c r="L409" s="250"/>
      <c r="M409" s="250"/>
      <c r="N409" s="250"/>
      <c r="O409" s="250"/>
      <c r="P409" s="250"/>
      <c r="Q409" s="380"/>
      <c r="R409" s="380"/>
      <c r="S409" s="380"/>
      <c r="T409" s="380"/>
      <c r="U409" s="380"/>
      <c r="V409" s="256"/>
    </row>
    <row r="410" spans="1:22" s="245" customFormat="1">
      <c r="A410" s="241"/>
      <c r="B410" s="242" t="s">
        <v>178</v>
      </c>
      <c r="C410" s="243"/>
      <c r="D410" s="244"/>
      <c r="F410" s="248">
        <f>SUM(H410:V410)</f>
        <v>0</v>
      </c>
      <c r="G410" s="295"/>
      <c r="H410" s="249"/>
      <c r="I410" s="250"/>
      <c r="J410" s="250"/>
      <c r="K410" s="250"/>
      <c r="L410" s="250"/>
      <c r="M410" s="250"/>
      <c r="N410" s="250"/>
      <c r="O410" s="250"/>
      <c r="P410" s="250"/>
      <c r="Q410" s="380"/>
      <c r="R410" s="380"/>
      <c r="S410" s="380"/>
      <c r="T410" s="380"/>
      <c r="U410" s="380"/>
      <c r="V410" s="256"/>
    </row>
    <row r="411" spans="1:22" s="245" customFormat="1">
      <c r="A411" s="241"/>
      <c r="B411" s="242" t="s">
        <v>3021</v>
      </c>
      <c r="C411" s="243"/>
      <c r="D411" s="244"/>
      <c r="F411" s="246"/>
      <c r="G411" s="296"/>
      <c r="H411" s="249"/>
      <c r="I411" s="250"/>
      <c r="J411" s="250"/>
      <c r="K411" s="250"/>
      <c r="L411" s="250"/>
      <c r="M411" s="250"/>
      <c r="N411" s="250"/>
      <c r="O411" s="250"/>
      <c r="P411" s="250"/>
      <c r="Q411" s="380"/>
      <c r="R411" s="380"/>
      <c r="S411" s="380"/>
      <c r="T411" s="380"/>
      <c r="U411" s="380"/>
      <c r="V411" s="256"/>
    </row>
    <row r="412" spans="1:22" s="163" customFormat="1" ht="13.8" thickBot="1">
      <c r="A412" s="177"/>
      <c r="B412" s="257"/>
      <c r="C412" s="178"/>
      <c r="D412" s="258"/>
      <c r="F412" s="171"/>
      <c r="G412" s="298"/>
      <c r="H412" s="177"/>
      <c r="I412" s="257"/>
      <c r="J412" s="257"/>
      <c r="K412" s="257"/>
      <c r="L412" s="257"/>
      <c r="M412" s="257"/>
      <c r="N412" s="257"/>
      <c r="O412" s="257"/>
      <c r="P412" s="257"/>
      <c r="Q412" s="381"/>
      <c r="R412" s="381"/>
      <c r="S412" s="381"/>
      <c r="T412" s="381"/>
      <c r="U412" s="381"/>
      <c r="V412" s="179"/>
    </row>
  </sheetData>
  <mergeCells count="25">
    <mergeCell ref="O6:O7"/>
    <mergeCell ref="A2:B2"/>
    <mergeCell ref="C2:D2"/>
    <mergeCell ref="A3:B3"/>
    <mergeCell ref="C3:D3"/>
    <mergeCell ref="A6:A7"/>
    <mergeCell ref="B6:B7"/>
    <mergeCell ref="C6:C7"/>
    <mergeCell ref="D6:D7"/>
    <mergeCell ref="P6:P7"/>
    <mergeCell ref="V6:V7"/>
    <mergeCell ref="F6:F7"/>
    <mergeCell ref="H6:H7"/>
    <mergeCell ref="I6:I7"/>
    <mergeCell ref="J6:J7"/>
    <mergeCell ref="K6:K7"/>
    <mergeCell ref="L6:L7"/>
    <mergeCell ref="M6:M7"/>
    <mergeCell ref="G6:G7"/>
    <mergeCell ref="Q6:Q7"/>
    <mergeCell ref="R6:R7"/>
    <mergeCell ref="S6:S7"/>
    <mergeCell ref="T6:T7"/>
    <mergeCell ref="U6:U7"/>
    <mergeCell ref="N6:N7"/>
  </mergeCells>
  <pageMargins left="0.19685039370078741" right="0.19685039370078741" top="0.19685039370078741" bottom="0.19685039370078741" header="0.31496062992125984" footer="0.31496062992125984"/>
  <pageSetup paperSize="9" scale="64" orientation="portrait" verticalDpi="300" r:id="rId1"/>
  <rowBreaks count="1" manualBreakCount="1">
    <brk id="222" max="1638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R71"/>
  <sheetViews>
    <sheetView showGridLines="0" showZeros="0" view="pageBreakPreview" topLeftCell="A56" zoomScaleNormal="100" zoomScaleSheetLayoutView="100" workbookViewId="0">
      <selection activeCell="D82" sqref="D82"/>
    </sheetView>
  </sheetViews>
  <sheetFormatPr defaultColWidth="9.109375" defaultRowHeight="13.8"/>
  <cols>
    <col min="1" max="1" width="4.6640625" style="846" customWidth="1"/>
    <col min="2" max="2" width="20.88671875" style="847" customWidth="1"/>
    <col min="3" max="3" width="9.5546875" style="848" customWidth="1"/>
    <col min="4" max="4" width="15.6640625" style="848" customWidth="1"/>
    <col min="5" max="8" width="4.6640625" style="848" customWidth="1"/>
    <col min="9" max="9" width="9.5546875" style="849" bestFit="1" customWidth="1"/>
    <col min="10" max="10" width="1.6640625" style="849" customWidth="1"/>
    <col min="11" max="14" width="4.6640625" style="848" customWidth="1"/>
    <col min="15" max="15" width="9.5546875" style="849" bestFit="1" customWidth="1"/>
    <col min="16" max="16" width="12.33203125" style="867" customWidth="1"/>
    <col min="17" max="17" width="23.109375" style="814" customWidth="1"/>
    <col min="18" max="16384" width="9.109375" style="810"/>
  </cols>
  <sheetData>
    <row r="1" spans="1:18" s="806" customFormat="1" ht="14.4">
      <c r="A1" s="801" t="s">
        <v>3539</v>
      </c>
      <c r="B1" s="802"/>
      <c r="C1" s="803"/>
      <c r="D1" s="803"/>
      <c r="E1" s="803"/>
      <c r="F1" s="803"/>
      <c r="G1" s="803"/>
      <c r="H1" s="803"/>
      <c r="I1" s="804"/>
      <c r="J1" s="804"/>
      <c r="K1" s="803"/>
      <c r="L1" s="803"/>
      <c r="M1" s="803"/>
      <c r="N1" s="803"/>
      <c r="O1" s="804"/>
      <c r="P1" s="866"/>
      <c r="Q1" s="805"/>
    </row>
    <row r="2" spans="1:18" s="806" customFormat="1" ht="14.4">
      <c r="A2" s="801" t="s">
        <v>3540</v>
      </c>
      <c r="B2" s="801"/>
      <c r="C2" s="803"/>
      <c r="D2" s="803"/>
      <c r="E2" s="803"/>
      <c r="F2" s="803"/>
      <c r="G2" s="803"/>
      <c r="H2" s="803"/>
      <c r="I2" s="807"/>
      <c r="J2" s="807"/>
      <c r="K2" s="803"/>
      <c r="L2" s="803"/>
      <c r="M2" s="803"/>
      <c r="N2" s="803"/>
      <c r="O2" s="807"/>
      <c r="P2" s="866"/>
      <c r="Q2" s="808"/>
    </row>
    <row r="3" spans="1:18" ht="14.4">
      <c r="A3" s="802" t="s">
        <v>3541</v>
      </c>
      <c r="B3" s="802" t="s">
        <v>3542</v>
      </c>
      <c r="C3" s="809"/>
      <c r="D3" s="809"/>
      <c r="E3" s="809"/>
      <c r="F3" s="809"/>
      <c r="G3" s="809"/>
      <c r="H3" s="809"/>
      <c r="I3" s="810"/>
      <c r="J3" s="810"/>
      <c r="K3" s="809"/>
      <c r="L3" s="809"/>
      <c r="M3" s="809"/>
      <c r="N3" s="809"/>
      <c r="O3" s="810"/>
      <c r="Q3" s="811"/>
    </row>
    <row r="4" spans="1:18">
      <c r="A4" s="812"/>
      <c r="B4" s="812"/>
      <c r="C4" s="813"/>
      <c r="D4" s="813"/>
      <c r="E4" s="813"/>
      <c r="F4" s="813"/>
      <c r="G4" s="813"/>
      <c r="H4" s="813"/>
      <c r="I4" s="812"/>
      <c r="J4" s="812"/>
      <c r="K4" s="1052" t="s">
        <v>3793</v>
      </c>
      <c r="L4" s="1053"/>
      <c r="M4" s="1053"/>
      <c r="N4" s="1053"/>
      <c r="O4" s="1054"/>
    </row>
    <row r="5" spans="1:18">
      <c r="A5" s="1055" t="s">
        <v>51</v>
      </c>
      <c r="B5" s="1058" t="s">
        <v>3543</v>
      </c>
      <c r="C5" s="1055" t="s">
        <v>37</v>
      </c>
      <c r="D5" s="1061" t="s">
        <v>3544</v>
      </c>
      <c r="E5" s="1064" t="s">
        <v>33</v>
      </c>
      <c r="F5" s="1064" t="s">
        <v>34</v>
      </c>
      <c r="G5" s="1064" t="s">
        <v>2294</v>
      </c>
      <c r="H5" s="1064" t="s">
        <v>3388</v>
      </c>
      <c r="I5" s="1064" t="s">
        <v>3545</v>
      </c>
      <c r="J5" s="815"/>
      <c r="K5" s="1064" t="s">
        <v>33</v>
      </c>
      <c r="L5" s="1064" t="s">
        <v>34</v>
      </c>
      <c r="M5" s="1064" t="s">
        <v>2294</v>
      </c>
      <c r="N5" s="1064" t="s">
        <v>3388</v>
      </c>
      <c r="O5" s="1064" t="s">
        <v>3545</v>
      </c>
      <c r="P5" s="1064" t="s">
        <v>3154</v>
      </c>
      <c r="Q5" s="1065" t="s">
        <v>43</v>
      </c>
    </row>
    <row r="6" spans="1:18" ht="47.25" customHeight="1">
      <c r="A6" s="1056"/>
      <c r="B6" s="1059" t="s">
        <v>3546</v>
      </c>
      <c r="C6" s="1056" t="s">
        <v>37</v>
      </c>
      <c r="D6" s="1062"/>
      <c r="E6" s="1062"/>
      <c r="F6" s="1062"/>
      <c r="G6" s="1062"/>
      <c r="H6" s="1062"/>
      <c r="I6" s="1062"/>
      <c r="J6" s="816"/>
      <c r="K6" s="1062"/>
      <c r="L6" s="1062"/>
      <c r="M6" s="1062"/>
      <c r="N6" s="1062"/>
      <c r="O6" s="1062"/>
      <c r="P6" s="1062"/>
      <c r="Q6" s="1066"/>
    </row>
    <row r="7" spans="1:18" ht="9.75" customHeight="1">
      <c r="A7" s="1057"/>
      <c r="B7" s="1060"/>
      <c r="C7" s="1057"/>
      <c r="D7" s="1063"/>
      <c r="E7" s="1063"/>
      <c r="F7" s="1063"/>
      <c r="G7" s="1063"/>
      <c r="H7" s="1063"/>
      <c r="I7" s="1063"/>
      <c r="J7" s="816"/>
      <c r="K7" s="1063"/>
      <c r="L7" s="1063"/>
      <c r="M7" s="1063"/>
      <c r="N7" s="1063"/>
      <c r="O7" s="1063"/>
      <c r="P7" s="1063"/>
      <c r="Q7" s="1067"/>
    </row>
    <row r="8" spans="1:18" ht="4.95" customHeight="1">
      <c r="A8" s="817"/>
      <c r="B8" s="818"/>
      <c r="C8" s="819"/>
      <c r="D8" s="819"/>
      <c r="E8" s="819"/>
      <c r="F8" s="819"/>
      <c r="G8" s="819"/>
      <c r="H8" s="819"/>
      <c r="I8" s="820"/>
      <c r="J8" s="821"/>
      <c r="K8" s="819"/>
      <c r="L8" s="819"/>
      <c r="M8" s="819"/>
      <c r="N8" s="819"/>
      <c r="O8" s="820"/>
      <c r="P8" s="868"/>
      <c r="Q8" s="822"/>
    </row>
    <row r="9" spans="1:18" ht="12.6" customHeight="1">
      <c r="A9" s="817" t="s">
        <v>1</v>
      </c>
      <c r="B9" s="818" t="s">
        <v>3547</v>
      </c>
      <c r="C9" s="819" t="s">
        <v>3548</v>
      </c>
      <c r="D9" s="819" t="s">
        <v>2654</v>
      </c>
      <c r="E9" s="818">
        <v>4.76</v>
      </c>
      <c r="F9" s="818">
        <v>4.76</v>
      </c>
      <c r="G9" s="818">
        <v>4.66</v>
      </c>
      <c r="H9" s="818">
        <v>0.74</v>
      </c>
      <c r="I9" s="823">
        <f>SUM(E9:H9)</f>
        <v>14.92</v>
      </c>
      <c r="J9" s="824"/>
      <c r="K9" s="818">
        <v>4.76</v>
      </c>
      <c r="L9" s="818">
        <v>4.76</v>
      </c>
      <c r="M9" s="818">
        <v>4.66</v>
      </c>
      <c r="N9" s="818">
        <v>0.74</v>
      </c>
      <c r="O9" s="823">
        <f>SUM(K9:N9)</f>
        <v>14.92</v>
      </c>
      <c r="P9" s="869" t="s">
        <v>3626</v>
      </c>
      <c r="Q9" s="822"/>
    </row>
    <row r="10" spans="1:18" ht="12.6" hidden="1" customHeight="1">
      <c r="A10" s="817">
        <v>2</v>
      </c>
      <c r="B10" s="818" t="s">
        <v>3547</v>
      </c>
      <c r="C10" s="819" t="s">
        <v>3548</v>
      </c>
      <c r="D10" s="819" t="s">
        <v>2654</v>
      </c>
      <c r="E10" s="818"/>
      <c r="F10" s="818"/>
      <c r="G10" s="818"/>
      <c r="H10" s="818"/>
      <c r="I10" s="823">
        <f t="shared" ref="I10:I38" si="0">SUM(E10:H10)</f>
        <v>0</v>
      </c>
      <c r="J10" s="824"/>
      <c r="K10" s="818"/>
      <c r="L10" s="818"/>
      <c r="M10" s="818"/>
      <c r="N10" s="818"/>
      <c r="O10" s="823">
        <f t="shared" ref="O10:O38" si="1">SUM(K10:N10)</f>
        <v>0</v>
      </c>
      <c r="P10" s="869"/>
      <c r="Q10" s="822"/>
    </row>
    <row r="11" spans="1:18" ht="12.6" customHeight="1">
      <c r="A11" s="817">
        <v>2</v>
      </c>
      <c r="B11" s="818" t="s">
        <v>3549</v>
      </c>
      <c r="C11" s="819" t="s">
        <v>3548</v>
      </c>
      <c r="D11" s="819" t="s">
        <v>2655</v>
      </c>
      <c r="E11" s="818">
        <v>4.78</v>
      </c>
      <c r="F11" s="818">
        <v>4.78</v>
      </c>
      <c r="G11" s="818">
        <v>4.6900000000000004</v>
      </c>
      <c r="H11" s="818">
        <v>4.82</v>
      </c>
      <c r="I11" s="823">
        <f t="shared" si="0"/>
        <v>19.07</v>
      </c>
      <c r="J11" s="824"/>
      <c r="K11" s="818">
        <v>4.78</v>
      </c>
      <c r="L11" s="818">
        <v>4.78</v>
      </c>
      <c r="M11" s="818">
        <v>4.6900000000000004</v>
      </c>
      <c r="N11" s="818">
        <v>4.82</v>
      </c>
      <c r="O11" s="823">
        <f t="shared" si="1"/>
        <v>19.07</v>
      </c>
      <c r="P11" s="869" t="s">
        <v>3627</v>
      </c>
      <c r="Q11" s="822"/>
      <c r="R11" s="825"/>
    </row>
    <row r="12" spans="1:18" ht="12.6" hidden="1" customHeight="1">
      <c r="A12" s="817">
        <v>4</v>
      </c>
      <c r="B12" s="818" t="s">
        <v>3549</v>
      </c>
      <c r="C12" s="819" t="s">
        <v>3548</v>
      </c>
      <c r="D12" s="819" t="s">
        <v>2655</v>
      </c>
      <c r="E12" s="818"/>
      <c r="F12" s="818"/>
      <c r="G12" s="818"/>
      <c r="H12" s="818"/>
      <c r="I12" s="823">
        <f t="shared" si="0"/>
        <v>0</v>
      </c>
      <c r="J12" s="824"/>
      <c r="K12" s="818"/>
      <c r="L12" s="818"/>
      <c r="M12" s="818"/>
      <c r="N12" s="818"/>
      <c r="O12" s="823">
        <f t="shared" si="1"/>
        <v>0</v>
      </c>
      <c r="P12" s="869"/>
      <c r="Q12" s="822"/>
      <c r="R12" s="825"/>
    </row>
    <row r="13" spans="1:18" ht="20.399999999999999">
      <c r="A13" s="817">
        <v>3</v>
      </c>
      <c r="B13" s="818" t="s">
        <v>3550</v>
      </c>
      <c r="C13" s="819" t="s">
        <v>3548</v>
      </c>
      <c r="D13" s="819" t="s">
        <v>2656</v>
      </c>
      <c r="E13" s="818">
        <v>4.76</v>
      </c>
      <c r="F13" s="818">
        <v>4.76</v>
      </c>
      <c r="G13" s="818">
        <v>4.66</v>
      </c>
      <c r="H13" s="818">
        <v>0.74</v>
      </c>
      <c r="I13" s="823">
        <f t="shared" si="0"/>
        <v>14.92</v>
      </c>
      <c r="J13" s="824"/>
      <c r="K13" s="818">
        <v>4.76</v>
      </c>
      <c r="L13" s="818">
        <v>4.76</v>
      </c>
      <c r="M13" s="818">
        <v>4.66</v>
      </c>
      <c r="N13" s="818">
        <v>0.74</v>
      </c>
      <c r="O13" s="823">
        <f t="shared" si="1"/>
        <v>14.92</v>
      </c>
      <c r="P13" s="871" t="s">
        <v>3628</v>
      </c>
      <c r="Q13" s="826"/>
    </row>
    <row r="14" spans="1:18" ht="12.6" hidden="1" customHeight="1">
      <c r="A14" s="817">
        <v>6</v>
      </c>
      <c r="B14" s="818" t="s">
        <v>3550</v>
      </c>
      <c r="C14" s="819" t="s">
        <v>3548</v>
      </c>
      <c r="D14" s="819" t="s">
        <v>2656</v>
      </c>
      <c r="E14" s="818"/>
      <c r="F14" s="818"/>
      <c r="G14" s="818"/>
      <c r="H14" s="818"/>
      <c r="I14" s="823">
        <f t="shared" si="0"/>
        <v>0</v>
      </c>
      <c r="J14" s="824"/>
      <c r="K14" s="818"/>
      <c r="L14" s="818"/>
      <c r="M14" s="818"/>
      <c r="N14" s="818"/>
      <c r="O14" s="823">
        <f t="shared" si="1"/>
        <v>0</v>
      </c>
      <c r="P14" s="869"/>
      <c r="Q14" s="822"/>
    </row>
    <row r="15" spans="1:18" ht="20.399999999999999">
      <c r="A15" s="817">
        <v>4</v>
      </c>
      <c r="B15" s="818" t="s">
        <v>3551</v>
      </c>
      <c r="C15" s="819" t="s">
        <v>3548</v>
      </c>
      <c r="D15" s="819" t="s">
        <v>2657</v>
      </c>
      <c r="E15" s="818">
        <v>5.05</v>
      </c>
      <c r="F15" s="818">
        <v>5.05</v>
      </c>
      <c r="G15" s="818"/>
      <c r="H15" s="818">
        <v>1.93</v>
      </c>
      <c r="I15" s="823">
        <f t="shared" si="0"/>
        <v>12.03</v>
      </c>
      <c r="J15" s="824"/>
      <c r="K15" s="818">
        <v>5.05</v>
      </c>
      <c r="L15" s="818">
        <v>5.05</v>
      </c>
      <c r="M15" s="818"/>
      <c r="N15" s="818">
        <v>1.93</v>
      </c>
      <c r="O15" s="823">
        <f t="shared" si="1"/>
        <v>12.03</v>
      </c>
      <c r="P15" s="869" t="s">
        <v>3613</v>
      </c>
      <c r="Q15" s="827"/>
    </row>
    <row r="16" spans="1:18" ht="30.6">
      <c r="A16" s="817">
        <v>5</v>
      </c>
      <c r="B16" s="818" t="s">
        <v>3552</v>
      </c>
      <c r="C16" s="819" t="s">
        <v>3548</v>
      </c>
      <c r="D16" s="819" t="s">
        <v>2658</v>
      </c>
      <c r="E16" s="818">
        <v>4.78</v>
      </c>
      <c r="F16" s="818">
        <v>4.78</v>
      </c>
      <c r="G16" s="818">
        <v>3.69</v>
      </c>
      <c r="H16" s="818">
        <v>3.63</v>
      </c>
      <c r="I16" s="823">
        <f t="shared" si="0"/>
        <v>16.88</v>
      </c>
      <c r="J16" s="824"/>
      <c r="K16" s="818">
        <v>4.78</v>
      </c>
      <c r="L16" s="818">
        <v>4.78</v>
      </c>
      <c r="M16" s="818">
        <v>3.69</v>
      </c>
      <c r="N16" s="818">
        <v>3.63</v>
      </c>
      <c r="O16" s="823">
        <f t="shared" si="1"/>
        <v>16.88</v>
      </c>
      <c r="P16" s="869" t="s">
        <v>3631</v>
      </c>
      <c r="Q16" s="827"/>
    </row>
    <row r="17" spans="1:17" ht="12.6" hidden="1" customHeight="1">
      <c r="A17" s="817">
        <v>9</v>
      </c>
      <c r="B17" s="818" t="s">
        <v>3552</v>
      </c>
      <c r="C17" s="819" t="s">
        <v>3548</v>
      </c>
      <c r="D17" s="819" t="s">
        <v>2658</v>
      </c>
      <c r="E17" s="818"/>
      <c r="F17" s="818"/>
      <c r="G17" s="818"/>
      <c r="H17" s="818"/>
      <c r="I17" s="823">
        <f t="shared" si="0"/>
        <v>0</v>
      </c>
      <c r="J17" s="824"/>
      <c r="K17" s="818"/>
      <c r="L17" s="818"/>
      <c r="M17" s="818"/>
      <c r="N17" s="818"/>
      <c r="O17" s="823">
        <f t="shared" si="1"/>
        <v>0</v>
      </c>
      <c r="P17" s="869"/>
      <c r="Q17" s="827"/>
    </row>
    <row r="18" spans="1:17">
      <c r="A18" s="817">
        <v>6</v>
      </c>
      <c r="B18" s="818" t="s">
        <v>3553</v>
      </c>
      <c r="C18" s="819" t="s">
        <v>3548</v>
      </c>
      <c r="D18" s="819" t="s">
        <v>2659</v>
      </c>
      <c r="E18" s="818">
        <v>4.76</v>
      </c>
      <c r="F18" s="818">
        <v>4.76</v>
      </c>
      <c r="G18" s="818">
        <v>3.73</v>
      </c>
      <c r="H18" s="818"/>
      <c r="I18" s="823">
        <f t="shared" si="0"/>
        <v>13.25</v>
      </c>
      <c r="J18" s="824"/>
      <c r="K18" s="818">
        <v>4.76</v>
      </c>
      <c r="L18" s="818">
        <v>4.76</v>
      </c>
      <c r="M18" s="818">
        <v>3.73</v>
      </c>
      <c r="N18" s="818"/>
      <c r="O18" s="823">
        <f t="shared" si="1"/>
        <v>13.25</v>
      </c>
      <c r="P18" s="869" t="s">
        <v>3599</v>
      </c>
      <c r="Q18" s="827"/>
    </row>
    <row r="19" spans="1:17" ht="12.6" hidden="1" customHeight="1">
      <c r="A19" s="817">
        <v>11</v>
      </c>
      <c r="B19" s="818" t="s">
        <v>3554</v>
      </c>
      <c r="C19" s="819" t="s">
        <v>3548</v>
      </c>
      <c r="D19" s="819" t="s">
        <v>2659</v>
      </c>
      <c r="E19" s="818"/>
      <c r="F19" s="818"/>
      <c r="G19" s="818"/>
      <c r="H19" s="818"/>
      <c r="I19" s="823">
        <f t="shared" si="0"/>
        <v>0</v>
      </c>
      <c r="J19" s="824"/>
      <c r="K19" s="818"/>
      <c r="L19" s="818"/>
      <c r="M19" s="818"/>
      <c r="N19" s="818"/>
      <c r="O19" s="823">
        <f t="shared" si="1"/>
        <v>0</v>
      </c>
      <c r="P19" s="869"/>
      <c r="Q19" s="827"/>
    </row>
    <row r="20" spans="1:17" ht="20.399999999999999">
      <c r="A20" s="817">
        <v>7</v>
      </c>
      <c r="B20" s="818" t="s">
        <v>3555</v>
      </c>
      <c r="C20" s="819" t="s">
        <v>3548</v>
      </c>
      <c r="D20" s="819" t="s">
        <v>2660</v>
      </c>
      <c r="E20" s="818">
        <v>4.78</v>
      </c>
      <c r="F20" s="818">
        <v>4.78</v>
      </c>
      <c r="G20" s="818">
        <v>3.69</v>
      </c>
      <c r="H20" s="818"/>
      <c r="I20" s="823">
        <f t="shared" si="0"/>
        <v>13.25</v>
      </c>
      <c r="J20" s="824"/>
      <c r="K20" s="818">
        <v>4.78</v>
      </c>
      <c r="L20" s="818">
        <v>4.78</v>
      </c>
      <c r="M20" s="818">
        <v>3.69</v>
      </c>
      <c r="N20" s="818"/>
      <c r="O20" s="823">
        <f t="shared" si="1"/>
        <v>13.25</v>
      </c>
      <c r="P20" s="869" t="s">
        <v>3614</v>
      </c>
      <c r="Q20" s="827"/>
    </row>
    <row r="21" spans="1:17" ht="12.6" hidden="1" customHeight="1">
      <c r="A21" s="817">
        <v>13</v>
      </c>
      <c r="B21" s="818" t="s">
        <v>3555</v>
      </c>
      <c r="C21" s="819" t="s">
        <v>3548</v>
      </c>
      <c r="D21" s="819" t="s">
        <v>2660</v>
      </c>
      <c r="E21" s="818"/>
      <c r="F21" s="818"/>
      <c r="G21" s="818"/>
      <c r="H21" s="818"/>
      <c r="I21" s="823">
        <f t="shared" si="0"/>
        <v>0</v>
      </c>
      <c r="J21" s="824"/>
      <c r="K21" s="818"/>
      <c r="L21" s="818"/>
      <c r="M21" s="818"/>
      <c r="N21" s="818"/>
      <c r="O21" s="823">
        <f t="shared" si="1"/>
        <v>0</v>
      </c>
      <c r="P21" s="869"/>
      <c r="Q21" s="827"/>
    </row>
    <row r="22" spans="1:17" ht="20.399999999999999">
      <c r="A22" s="817">
        <v>8</v>
      </c>
      <c r="B22" s="818" t="s">
        <v>3556</v>
      </c>
      <c r="C22" s="819" t="s">
        <v>3548</v>
      </c>
      <c r="D22" s="819" t="s">
        <v>2661</v>
      </c>
      <c r="E22" s="818">
        <v>4.76</v>
      </c>
      <c r="F22" s="818">
        <v>4.76</v>
      </c>
      <c r="G22" s="818">
        <v>3.73</v>
      </c>
      <c r="H22" s="818"/>
      <c r="I22" s="823">
        <f t="shared" si="0"/>
        <v>13.25</v>
      </c>
      <c r="J22" s="824"/>
      <c r="K22" s="818">
        <v>4.76</v>
      </c>
      <c r="L22" s="818">
        <v>4.76</v>
      </c>
      <c r="M22" s="818">
        <v>3.73</v>
      </c>
      <c r="N22" s="818"/>
      <c r="O22" s="823">
        <f t="shared" si="1"/>
        <v>13.25</v>
      </c>
      <c r="P22" s="869" t="s">
        <v>3615</v>
      </c>
      <c r="Q22" s="827"/>
    </row>
    <row r="23" spans="1:17" ht="12.6" hidden="1" customHeight="1">
      <c r="A23" s="817">
        <v>15</v>
      </c>
      <c r="B23" s="818" t="s">
        <v>3556</v>
      </c>
      <c r="C23" s="819" t="s">
        <v>3548</v>
      </c>
      <c r="D23" s="819" t="s">
        <v>2661</v>
      </c>
      <c r="E23" s="818"/>
      <c r="F23" s="818"/>
      <c r="G23" s="818"/>
      <c r="H23" s="818"/>
      <c r="I23" s="823">
        <f t="shared" si="0"/>
        <v>0</v>
      </c>
      <c r="J23" s="824"/>
      <c r="K23" s="818"/>
      <c r="L23" s="818"/>
      <c r="M23" s="818"/>
      <c r="N23" s="818"/>
      <c r="O23" s="823">
        <f t="shared" si="1"/>
        <v>0</v>
      </c>
      <c r="P23" s="869"/>
      <c r="Q23" s="827"/>
    </row>
    <row r="24" spans="1:17" ht="20.399999999999999">
      <c r="A24" s="817">
        <v>9</v>
      </c>
      <c r="B24" s="818" t="s">
        <v>3557</v>
      </c>
      <c r="C24" s="819" t="s">
        <v>3548</v>
      </c>
      <c r="D24" s="819" t="s">
        <v>2662</v>
      </c>
      <c r="E24" s="818">
        <v>4.78</v>
      </c>
      <c r="F24" s="818">
        <v>4.78</v>
      </c>
      <c r="G24" s="818">
        <v>3.69</v>
      </c>
      <c r="H24" s="818">
        <v>3.73</v>
      </c>
      <c r="I24" s="823">
        <f t="shared" si="0"/>
        <v>16.98</v>
      </c>
      <c r="J24" s="824"/>
      <c r="K24" s="818">
        <v>4.78</v>
      </c>
      <c r="L24" s="818">
        <v>4.78</v>
      </c>
      <c r="M24" s="818">
        <v>3.69</v>
      </c>
      <c r="N24" s="818">
        <v>3.73</v>
      </c>
      <c r="O24" s="823">
        <f t="shared" si="1"/>
        <v>16.98</v>
      </c>
      <c r="P24" s="869" t="s">
        <v>3616</v>
      </c>
      <c r="Q24" s="827"/>
    </row>
    <row r="25" spans="1:17" ht="12.6" hidden="1" customHeight="1">
      <c r="A25" s="817">
        <v>17</v>
      </c>
      <c r="B25" s="818" t="s">
        <v>3557</v>
      </c>
      <c r="C25" s="819" t="s">
        <v>3548</v>
      </c>
      <c r="D25" s="819" t="s">
        <v>2662</v>
      </c>
      <c r="E25" s="818"/>
      <c r="F25" s="818"/>
      <c r="G25" s="818"/>
      <c r="H25" s="818"/>
      <c r="I25" s="823">
        <f t="shared" si="0"/>
        <v>0</v>
      </c>
      <c r="J25" s="824"/>
      <c r="K25" s="818"/>
      <c r="L25" s="818"/>
      <c r="M25" s="818"/>
      <c r="N25" s="818"/>
      <c r="O25" s="823">
        <f t="shared" si="1"/>
        <v>0</v>
      </c>
      <c r="P25" s="869"/>
      <c r="Q25" s="827"/>
    </row>
    <row r="26" spans="1:17" ht="21" thickBot="1">
      <c r="A26" s="817">
        <v>10</v>
      </c>
      <c r="B26" s="818" t="s">
        <v>3558</v>
      </c>
      <c r="C26" s="819" t="s">
        <v>3548</v>
      </c>
      <c r="D26" s="819" t="s">
        <v>2663</v>
      </c>
      <c r="E26" s="818">
        <v>4.76</v>
      </c>
      <c r="F26" s="818">
        <v>4.76</v>
      </c>
      <c r="G26" s="818">
        <v>3.73</v>
      </c>
      <c r="H26" s="818"/>
      <c r="I26" s="823">
        <f t="shared" si="0"/>
        <v>13.25</v>
      </c>
      <c r="J26" s="824"/>
      <c r="K26" s="818">
        <v>4.76</v>
      </c>
      <c r="L26" s="818">
        <v>4.76</v>
      </c>
      <c r="M26" s="818">
        <v>3.73</v>
      </c>
      <c r="N26" s="818"/>
      <c r="O26" s="823">
        <f t="shared" si="1"/>
        <v>13.25</v>
      </c>
      <c r="P26" s="869" t="s">
        <v>3617</v>
      </c>
      <c r="Q26" s="827"/>
    </row>
    <row r="27" spans="1:17" ht="12.6" hidden="1" customHeight="1">
      <c r="A27" s="817">
        <v>19</v>
      </c>
      <c r="B27" s="818" t="s">
        <v>3558</v>
      </c>
      <c r="C27" s="819" t="s">
        <v>3548</v>
      </c>
      <c r="D27" s="819" t="s">
        <v>2663</v>
      </c>
      <c r="E27" s="818"/>
      <c r="F27" s="818"/>
      <c r="G27" s="818"/>
      <c r="H27" s="818"/>
      <c r="I27" s="823">
        <f t="shared" si="0"/>
        <v>0</v>
      </c>
      <c r="J27" s="824"/>
      <c r="K27" s="818"/>
      <c r="L27" s="818"/>
      <c r="M27" s="828"/>
      <c r="N27" s="818"/>
      <c r="O27" s="823">
        <f t="shared" si="1"/>
        <v>0</v>
      </c>
      <c r="P27" s="869"/>
      <c r="Q27" s="827"/>
    </row>
    <row r="28" spans="1:17" ht="21" thickBot="1">
      <c r="A28" s="817">
        <v>11</v>
      </c>
      <c r="B28" s="818" t="s">
        <v>3559</v>
      </c>
      <c r="C28" s="819" t="s">
        <v>3548</v>
      </c>
      <c r="D28" s="819" t="s">
        <v>2664</v>
      </c>
      <c r="E28" s="818"/>
      <c r="F28" s="818"/>
      <c r="G28" s="818">
        <v>5.24</v>
      </c>
      <c r="H28" s="818">
        <v>3.93</v>
      </c>
      <c r="I28" s="823">
        <f t="shared" si="0"/>
        <v>9.17</v>
      </c>
      <c r="J28" s="824"/>
      <c r="K28" s="818"/>
      <c r="L28" s="829"/>
      <c r="M28" s="914">
        <v>5.24</v>
      </c>
      <c r="N28" s="951">
        <v>3.93</v>
      </c>
      <c r="O28" s="823">
        <f t="shared" si="1"/>
        <v>9.17</v>
      </c>
      <c r="P28" s="869" t="s">
        <v>3618</v>
      </c>
      <c r="Q28" s="827"/>
    </row>
    <row r="29" spans="1:17" ht="12.6" customHeight="1" thickBot="1">
      <c r="A29" s="817">
        <v>12</v>
      </c>
      <c r="B29" s="818" t="s">
        <v>3560</v>
      </c>
      <c r="C29" s="819" t="s">
        <v>3548</v>
      </c>
      <c r="D29" s="819" t="s">
        <v>2665</v>
      </c>
      <c r="E29" s="818">
        <v>4.76</v>
      </c>
      <c r="F29" s="818">
        <v>4.76</v>
      </c>
      <c r="G29" s="818"/>
      <c r="H29" s="818"/>
      <c r="I29" s="823">
        <f t="shared" si="0"/>
        <v>9.52</v>
      </c>
      <c r="J29" s="824"/>
      <c r="K29" s="818">
        <v>4.76</v>
      </c>
      <c r="L29" s="818">
        <v>4.76</v>
      </c>
      <c r="M29" s="952"/>
      <c r="N29" s="828"/>
      <c r="O29" s="823">
        <f t="shared" si="1"/>
        <v>9.52</v>
      </c>
      <c r="P29" s="869" t="s">
        <v>3619</v>
      </c>
      <c r="Q29" s="827"/>
    </row>
    <row r="30" spans="1:17" ht="21" thickBot="1">
      <c r="A30" s="817">
        <v>13</v>
      </c>
      <c r="B30" s="818" t="s">
        <v>3561</v>
      </c>
      <c r="C30" s="819" t="s">
        <v>3548</v>
      </c>
      <c r="D30" s="819" t="s">
        <v>2666</v>
      </c>
      <c r="E30" s="818">
        <v>4.7699999999999996</v>
      </c>
      <c r="F30" s="818">
        <v>4.7699999999999996</v>
      </c>
      <c r="G30" s="818">
        <v>5.24</v>
      </c>
      <c r="H30" s="818">
        <v>3.93</v>
      </c>
      <c r="I30" s="823">
        <f t="shared" si="0"/>
        <v>18.71</v>
      </c>
      <c r="J30" s="824"/>
      <c r="K30" s="818">
        <v>4.7699999999999996</v>
      </c>
      <c r="L30" s="829">
        <v>4.7699999999999996</v>
      </c>
      <c r="M30" s="914">
        <v>5.24</v>
      </c>
      <c r="N30" s="914">
        <v>3.93</v>
      </c>
      <c r="O30" s="830">
        <f t="shared" si="1"/>
        <v>18.71</v>
      </c>
      <c r="P30" s="869" t="s">
        <v>3620</v>
      </c>
      <c r="Q30" s="827"/>
    </row>
    <row r="31" spans="1:17" ht="12.6" hidden="1" customHeight="1">
      <c r="A31" s="817">
        <v>22</v>
      </c>
      <c r="B31" s="818" t="s">
        <v>3561</v>
      </c>
      <c r="C31" s="819" t="s">
        <v>3548</v>
      </c>
      <c r="D31" s="819" t="s">
        <v>2666</v>
      </c>
      <c r="E31" s="818"/>
      <c r="F31" s="818"/>
      <c r="G31" s="818"/>
      <c r="H31" s="818"/>
      <c r="I31" s="823">
        <f t="shared" si="0"/>
        <v>0</v>
      </c>
      <c r="J31" s="824"/>
      <c r="K31" s="818"/>
      <c r="L31" s="818"/>
      <c r="M31" s="831"/>
      <c r="N31" s="831"/>
      <c r="O31" s="823">
        <f t="shared" si="1"/>
        <v>0</v>
      </c>
      <c r="P31" s="869"/>
      <c r="Q31" s="827"/>
    </row>
    <row r="32" spans="1:17" ht="12.6" customHeight="1">
      <c r="A32" s="832">
        <v>14</v>
      </c>
      <c r="B32" s="818" t="s">
        <v>3562</v>
      </c>
      <c r="C32" s="819" t="s">
        <v>3548</v>
      </c>
      <c r="D32" s="819" t="s">
        <v>2667</v>
      </c>
      <c r="E32" s="818">
        <v>4.76</v>
      </c>
      <c r="F32" s="818">
        <v>4.76</v>
      </c>
      <c r="G32" s="818"/>
      <c r="H32" s="818"/>
      <c r="I32" s="823">
        <f t="shared" si="0"/>
        <v>9.52</v>
      </c>
      <c r="J32" s="824"/>
      <c r="K32" s="818">
        <v>4.76</v>
      </c>
      <c r="L32" s="818">
        <v>4.76</v>
      </c>
      <c r="M32" s="818"/>
      <c r="N32" s="818"/>
      <c r="O32" s="823">
        <f t="shared" si="1"/>
        <v>9.52</v>
      </c>
      <c r="P32" s="869" t="s">
        <v>3602</v>
      </c>
      <c r="Q32" s="827"/>
    </row>
    <row r="33" spans="1:18" ht="31.2" thickBot="1">
      <c r="A33" s="817">
        <v>15</v>
      </c>
      <c r="B33" s="818" t="s">
        <v>3563</v>
      </c>
      <c r="C33" s="819" t="s">
        <v>3548</v>
      </c>
      <c r="D33" s="819" t="s">
        <v>2668</v>
      </c>
      <c r="E33" s="818">
        <v>4.7699999999999996</v>
      </c>
      <c r="F33" s="818">
        <v>4.7699999999999996</v>
      </c>
      <c r="G33" s="818">
        <v>5.24</v>
      </c>
      <c r="H33" s="818">
        <v>3.93</v>
      </c>
      <c r="I33" s="823">
        <f t="shared" si="0"/>
        <v>18.71</v>
      </c>
      <c r="J33" s="824"/>
      <c r="K33" s="818">
        <v>4.7699999999999996</v>
      </c>
      <c r="L33" s="818">
        <v>4.7699999999999996</v>
      </c>
      <c r="M33" s="818">
        <v>5.24</v>
      </c>
      <c r="N33" s="818">
        <v>3.93</v>
      </c>
      <c r="O33" s="823">
        <f t="shared" si="1"/>
        <v>18.71</v>
      </c>
      <c r="P33" s="869" t="s">
        <v>3621</v>
      </c>
      <c r="Q33" s="827"/>
    </row>
    <row r="34" spans="1:18" ht="12.6" hidden="1" customHeight="1">
      <c r="A34" s="832">
        <v>25</v>
      </c>
      <c r="B34" s="818" t="s">
        <v>3563</v>
      </c>
      <c r="C34" s="819" t="s">
        <v>3548</v>
      </c>
      <c r="D34" s="819" t="s">
        <v>2668</v>
      </c>
      <c r="E34" s="818"/>
      <c r="F34" s="818"/>
      <c r="G34" s="818"/>
      <c r="H34" s="818"/>
      <c r="I34" s="823">
        <f t="shared" si="0"/>
        <v>0</v>
      </c>
      <c r="J34" s="824"/>
      <c r="K34" s="818"/>
      <c r="L34" s="818"/>
      <c r="M34" s="828"/>
      <c r="N34" s="828"/>
      <c r="O34" s="823">
        <f t="shared" si="1"/>
        <v>0</v>
      </c>
      <c r="P34" s="869"/>
      <c r="Q34" s="827"/>
    </row>
    <row r="35" spans="1:18" ht="21" thickBot="1">
      <c r="A35" s="832">
        <v>16</v>
      </c>
      <c r="B35" s="818" t="s">
        <v>3564</v>
      </c>
      <c r="C35" s="819" t="s">
        <v>3548</v>
      </c>
      <c r="D35" s="819" t="s">
        <v>2669</v>
      </c>
      <c r="E35" s="818"/>
      <c r="F35" s="818"/>
      <c r="G35" s="818">
        <v>5.44</v>
      </c>
      <c r="H35" s="818">
        <v>4.09</v>
      </c>
      <c r="I35" s="823">
        <f t="shared" si="0"/>
        <v>9.5300000000000011</v>
      </c>
      <c r="J35" s="824"/>
      <c r="K35" s="818"/>
      <c r="L35" s="829"/>
      <c r="M35" s="914">
        <v>5.44</v>
      </c>
      <c r="N35" s="914">
        <v>4.09</v>
      </c>
      <c r="O35" s="830">
        <f t="shared" si="1"/>
        <v>9.5300000000000011</v>
      </c>
      <c r="P35" s="869" t="s">
        <v>3801</v>
      </c>
      <c r="Q35" s="926" t="s">
        <v>3767</v>
      </c>
    </row>
    <row r="36" spans="1:18" ht="12.6" customHeight="1">
      <c r="A36" s="832">
        <v>17</v>
      </c>
      <c r="B36" s="818" t="s">
        <v>3565</v>
      </c>
      <c r="C36" s="819" t="s">
        <v>3548</v>
      </c>
      <c r="D36" s="819" t="s">
        <v>2670</v>
      </c>
      <c r="E36" s="818">
        <v>5.14</v>
      </c>
      <c r="F36" s="818">
        <v>7.26</v>
      </c>
      <c r="G36" s="818"/>
      <c r="H36" s="818"/>
      <c r="I36" s="823">
        <f t="shared" si="0"/>
        <v>12.399999999999999</v>
      </c>
      <c r="J36" s="824"/>
      <c r="K36" s="818">
        <v>5.14</v>
      </c>
      <c r="L36" s="818">
        <v>7.26</v>
      </c>
      <c r="M36" s="831"/>
      <c r="N36" s="831"/>
      <c r="O36" s="823">
        <f t="shared" si="1"/>
        <v>12.399999999999999</v>
      </c>
      <c r="P36" s="869" t="s">
        <v>3622</v>
      </c>
      <c r="Q36" s="827"/>
    </row>
    <row r="37" spans="1:18" ht="20.399999999999999">
      <c r="A37" s="832">
        <v>18</v>
      </c>
      <c r="B37" s="818" t="s">
        <v>3566</v>
      </c>
      <c r="C37" s="819" t="s">
        <v>3548</v>
      </c>
      <c r="D37" s="819" t="s">
        <v>2671</v>
      </c>
      <c r="E37" s="833">
        <v>5</v>
      </c>
      <c r="F37" s="818">
        <v>7.76</v>
      </c>
      <c r="G37" s="818"/>
      <c r="H37" s="818">
        <v>1.1599999999999999</v>
      </c>
      <c r="I37" s="823">
        <f t="shared" si="0"/>
        <v>13.92</v>
      </c>
      <c r="J37" s="824"/>
      <c r="K37" s="833">
        <v>5</v>
      </c>
      <c r="L37" s="818">
        <v>7.76</v>
      </c>
      <c r="M37" s="818"/>
      <c r="N37" s="818">
        <v>1.1599999999999999</v>
      </c>
      <c r="O37" s="823">
        <f t="shared" si="1"/>
        <v>13.92</v>
      </c>
      <c r="P37" s="869" t="s">
        <v>3632</v>
      </c>
      <c r="Q37" s="827"/>
    </row>
    <row r="38" spans="1:18" ht="12.6" customHeight="1">
      <c r="A38" s="832">
        <v>19</v>
      </c>
      <c r="B38" s="818" t="s">
        <v>3567</v>
      </c>
      <c r="C38" s="819" t="s">
        <v>3548</v>
      </c>
      <c r="D38" s="819" t="s">
        <v>2672</v>
      </c>
      <c r="E38" s="818">
        <v>4.76</v>
      </c>
      <c r="F38" s="818">
        <v>4.76</v>
      </c>
      <c r="G38" s="818"/>
      <c r="H38" s="818"/>
      <c r="I38" s="823">
        <f t="shared" si="0"/>
        <v>9.52</v>
      </c>
      <c r="J38" s="824"/>
      <c r="K38" s="818">
        <v>4.76</v>
      </c>
      <c r="L38" s="818">
        <v>4.76</v>
      </c>
      <c r="M38" s="818"/>
      <c r="N38" s="818"/>
      <c r="O38" s="823">
        <f t="shared" si="1"/>
        <v>9.52</v>
      </c>
      <c r="P38" s="869" t="s">
        <v>3623</v>
      </c>
      <c r="Q38" s="827"/>
    </row>
    <row r="39" spans="1:18" ht="12.6" customHeight="1">
      <c r="A39" s="832">
        <v>20</v>
      </c>
      <c r="B39" s="818" t="s">
        <v>3568</v>
      </c>
      <c r="C39" s="819" t="s">
        <v>3548</v>
      </c>
      <c r="D39" s="819" t="s">
        <v>3216</v>
      </c>
      <c r="E39" s="818"/>
      <c r="F39" s="818"/>
      <c r="G39" s="818"/>
      <c r="H39" s="818">
        <v>1.1599999999999999</v>
      </c>
      <c r="I39" s="823">
        <f>SUM(E39:H39)</f>
        <v>1.1599999999999999</v>
      </c>
      <c r="J39" s="824"/>
      <c r="K39" s="818"/>
      <c r="L39" s="818"/>
      <c r="M39" s="818"/>
      <c r="N39" s="818">
        <v>1.1599999999999999</v>
      </c>
      <c r="O39" s="823">
        <f>SUM(K39:N39)</f>
        <v>1.1599999999999999</v>
      </c>
      <c r="P39" s="869" t="s">
        <v>3612</v>
      </c>
      <c r="Q39" s="827"/>
    </row>
    <row r="40" spans="1:18" ht="12.6" customHeight="1">
      <c r="A40" s="834"/>
      <c r="B40" s="835"/>
      <c r="C40" s="836"/>
      <c r="D40" s="836"/>
      <c r="E40" s="837"/>
      <c r="F40" s="837"/>
      <c r="G40" s="837"/>
      <c r="H40" s="837"/>
      <c r="I40" s="820"/>
      <c r="J40" s="821"/>
      <c r="K40" s="837"/>
      <c r="L40" s="837"/>
      <c r="M40" s="837"/>
      <c r="N40" s="837"/>
      <c r="O40" s="820"/>
      <c r="P40" s="868"/>
      <c r="Q40" s="838"/>
    </row>
    <row r="41" spans="1:18">
      <c r="A41" s="839"/>
      <c r="B41" s="840" t="s">
        <v>3569</v>
      </c>
      <c r="C41" s="841"/>
      <c r="D41" s="841"/>
      <c r="E41" s="841"/>
      <c r="F41" s="841"/>
      <c r="G41" s="841"/>
      <c r="H41" s="841"/>
      <c r="I41" s="842">
        <f>ROUND((SUM(I8:I40)),2)</f>
        <v>259.95999999999998</v>
      </c>
      <c r="J41" s="843"/>
      <c r="K41" s="844"/>
      <c r="L41" s="841"/>
      <c r="M41" s="841"/>
      <c r="N41" s="841"/>
      <c r="O41" s="842">
        <f>ROUND((SUM(O8:O40)),2)</f>
        <v>259.95999999999998</v>
      </c>
      <c r="P41" s="842">
        <f>ROUND((SUM(P8:P40)),2)</f>
        <v>0</v>
      </c>
      <c r="Q41" s="845"/>
    </row>
    <row r="42" spans="1:18" ht="4.5" customHeight="1">
      <c r="P42" s="870"/>
    </row>
    <row r="43" spans="1:18">
      <c r="A43" s="850" t="s">
        <v>1</v>
      </c>
      <c r="B43" s="851" t="s">
        <v>3570</v>
      </c>
      <c r="C43" s="852" t="s">
        <v>3548</v>
      </c>
      <c r="D43" s="853" t="s">
        <v>2635</v>
      </c>
      <c r="E43" s="851">
        <v>2.13</v>
      </c>
      <c r="F43" s="851">
        <v>2.13</v>
      </c>
      <c r="G43" s="851"/>
      <c r="H43" s="851"/>
      <c r="I43" s="854">
        <f>SUM(E43:H43)</f>
        <v>4.26</v>
      </c>
      <c r="J43" s="855"/>
      <c r="K43" s="851">
        <v>2.13</v>
      </c>
      <c r="L43" s="851">
        <v>2.13</v>
      </c>
      <c r="M43" s="856"/>
      <c r="N43" s="851"/>
      <c r="O43" s="854">
        <f>SUM(K43:N43)</f>
        <v>4.26</v>
      </c>
      <c r="P43" s="872" t="s">
        <v>3595</v>
      </c>
      <c r="Q43" s="857"/>
    </row>
    <row r="44" spans="1:18">
      <c r="A44" s="817">
        <v>2</v>
      </c>
      <c r="B44" s="818" t="s">
        <v>3571</v>
      </c>
      <c r="C44" s="819" t="s">
        <v>3548</v>
      </c>
      <c r="D44" s="858" t="s">
        <v>2636</v>
      </c>
      <c r="E44" s="818">
        <v>2.13</v>
      </c>
      <c r="F44" s="818">
        <v>2.5499999999999998</v>
      </c>
      <c r="G44" s="818"/>
      <c r="H44" s="818"/>
      <c r="I44" s="823">
        <f t="shared" ref="I44:I61" si="2">SUM(E44:H44)</f>
        <v>4.68</v>
      </c>
      <c r="J44" s="824"/>
      <c r="K44" s="818">
        <v>2.13</v>
      </c>
      <c r="L44" s="818">
        <v>2.5499999999999998</v>
      </c>
      <c r="M44" s="818"/>
      <c r="N44" s="818"/>
      <c r="O44" s="823">
        <f t="shared" ref="O44:O61" si="3">SUM(K44:N44)</f>
        <v>4.68</v>
      </c>
      <c r="P44" s="871" t="s">
        <v>3596</v>
      </c>
      <c r="Q44" s="822"/>
    </row>
    <row r="45" spans="1:18">
      <c r="A45" s="817">
        <v>3</v>
      </c>
      <c r="B45" s="818" t="s">
        <v>3572</v>
      </c>
      <c r="C45" s="819" t="s">
        <v>3548</v>
      </c>
      <c r="D45" s="858" t="s">
        <v>2637</v>
      </c>
      <c r="E45" s="818">
        <v>2.13</v>
      </c>
      <c r="F45" s="818">
        <v>2.5499999999999998</v>
      </c>
      <c r="G45" s="818"/>
      <c r="H45" s="818"/>
      <c r="I45" s="823">
        <f t="shared" si="2"/>
        <v>4.68</v>
      </c>
      <c r="J45" s="824"/>
      <c r="K45" s="818">
        <v>2.13</v>
      </c>
      <c r="L45" s="818">
        <v>2.5499999999999998</v>
      </c>
      <c r="M45" s="818"/>
      <c r="N45" s="818"/>
      <c r="O45" s="823">
        <f t="shared" si="3"/>
        <v>4.68</v>
      </c>
      <c r="P45" s="869" t="s">
        <v>3597</v>
      </c>
      <c r="Q45" s="822"/>
      <c r="R45" s="825"/>
    </row>
    <row r="46" spans="1:18" ht="14.4" thickBot="1">
      <c r="A46" s="817">
        <v>4</v>
      </c>
      <c r="B46" s="818" t="s">
        <v>3573</v>
      </c>
      <c r="C46" s="819" t="s">
        <v>3548</v>
      </c>
      <c r="D46" s="858" t="s">
        <v>2638</v>
      </c>
      <c r="E46" s="818">
        <v>2.13</v>
      </c>
      <c r="F46" s="818">
        <v>2.13</v>
      </c>
      <c r="G46" s="818"/>
      <c r="H46" s="818"/>
      <c r="I46" s="823">
        <f t="shared" si="2"/>
        <v>4.26</v>
      </c>
      <c r="J46" s="824"/>
      <c r="K46" s="818">
        <v>2.13</v>
      </c>
      <c r="L46" s="818">
        <v>2.13</v>
      </c>
      <c r="M46" s="818"/>
      <c r="N46" s="818"/>
      <c r="O46" s="823">
        <f t="shared" si="3"/>
        <v>4.26</v>
      </c>
      <c r="P46" s="869" t="s">
        <v>3598</v>
      </c>
      <c r="Q46" s="822"/>
      <c r="R46" s="825"/>
    </row>
    <row r="47" spans="1:18" ht="14.4" thickBot="1">
      <c r="A47" s="817">
        <v>5</v>
      </c>
      <c r="B47" s="818" t="s">
        <v>3574</v>
      </c>
      <c r="C47" s="819" t="s">
        <v>3548</v>
      </c>
      <c r="D47" s="858" t="s">
        <v>2639</v>
      </c>
      <c r="E47" s="818"/>
      <c r="F47" s="818"/>
      <c r="G47" s="818">
        <v>3.26</v>
      </c>
      <c r="H47" s="818">
        <v>4.18</v>
      </c>
      <c r="I47" s="823">
        <f t="shared" si="2"/>
        <v>7.4399999999999995</v>
      </c>
      <c r="J47" s="824"/>
      <c r="K47" s="818"/>
      <c r="L47" s="818"/>
      <c r="M47" s="818">
        <v>3.26</v>
      </c>
      <c r="N47" s="914">
        <v>4.18</v>
      </c>
      <c r="O47" s="823">
        <f t="shared" si="3"/>
        <v>7.4399999999999995</v>
      </c>
      <c r="P47" s="869" t="s">
        <v>3624</v>
      </c>
      <c r="Q47" s="826"/>
    </row>
    <row r="48" spans="1:18" ht="30.6">
      <c r="A48" s="817">
        <v>6</v>
      </c>
      <c r="B48" s="818" t="s">
        <v>3575</v>
      </c>
      <c r="C48" s="819" t="s">
        <v>3548</v>
      </c>
      <c r="D48" s="858" t="s">
        <v>2640</v>
      </c>
      <c r="E48" s="818">
        <v>2.15</v>
      </c>
      <c r="F48" s="818">
        <v>2.58</v>
      </c>
      <c r="G48" s="818">
        <v>3.26</v>
      </c>
      <c r="H48" s="818">
        <v>4.18</v>
      </c>
      <c r="I48" s="823">
        <f t="shared" si="2"/>
        <v>12.17</v>
      </c>
      <c r="J48" s="824"/>
      <c r="K48" s="818">
        <v>2.15</v>
      </c>
      <c r="L48" s="818">
        <v>2.58</v>
      </c>
      <c r="M48" s="818">
        <v>3.26</v>
      </c>
      <c r="N48" s="818">
        <v>4.18</v>
      </c>
      <c r="O48" s="823">
        <f t="shared" si="3"/>
        <v>12.17</v>
      </c>
      <c r="P48" s="869" t="s">
        <v>3606</v>
      </c>
      <c r="Q48" s="822"/>
    </row>
    <row r="49" spans="1:17">
      <c r="A49" s="817">
        <v>7</v>
      </c>
      <c r="B49" s="818" t="s">
        <v>3576</v>
      </c>
      <c r="C49" s="819" t="s">
        <v>3548</v>
      </c>
      <c r="D49" s="858" t="s">
        <v>2641</v>
      </c>
      <c r="E49" s="818">
        <v>2.15</v>
      </c>
      <c r="F49" s="818">
        <v>2.58</v>
      </c>
      <c r="G49" s="818"/>
      <c r="H49" s="818"/>
      <c r="I49" s="823">
        <f t="shared" si="2"/>
        <v>4.7300000000000004</v>
      </c>
      <c r="J49" s="824"/>
      <c r="K49" s="818">
        <v>2.15</v>
      </c>
      <c r="L49" s="818">
        <v>2.58</v>
      </c>
      <c r="M49" s="818"/>
      <c r="N49" s="818"/>
      <c r="O49" s="823">
        <f t="shared" si="3"/>
        <v>4.7300000000000004</v>
      </c>
      <c r="P49" s="869" t="s">
        <v>3600</v>
      </c>
      <c r="Q49" s="827"/>
    </row>
    <row r="50" spans="1:17" ht="30.6">
      <c r="A50" s="817">
        <v>8</v>
      </c>
      <c r="B50" s="818" t="s">
        <v>3577</v>
      </c>
      <c r="C50" s="819" t="s">
        <v>3548</v>
      </c>
      <c r="D50" s="858" t="s">
        <v>2642</v>
      </c>
      <c r="E50" s="818">
        <v>2.15</v>
      </c>
      <c r="F50" s="818">
        <v>2.58</v>
      </c>
      <c r="G50" s="818">
        <v>3.26</v>
      </c>
      <c r="H50" s="818">
        <v>4.18</v>
      </c>
      <c r="I50" s="823">
        <f t="shared" si="2"/>
        <v>12.17</v>
      </c>
      <c r="J50" s="824"/>
      <c r="K50" s="818">
        <v>2.15</v>
      </c>
      <c r="L50" s="818">
        <v>2.58</v>
      </c>
      <c r="M50" s="818">
        <v>3.26</v>
      </c>
      <c r="N50" s="818">
        <v>4.18</v>
      </c>
      <c r="O50" s="823">
        <f t="shared" si="3"/>
        <v>12.17</v>
      </c>
      <c r="P50" s="869" t="s">
        <v>3629</v>
      </c>
      <c r="Q50" s="827"/>
    </row>
    <row r="51" spans="1:17">
      <c r="A51" s="817">
        <v>9</v>
      </c>
      <c r="B51" s="818" t="s">
        <v>3578</v>
      </c>
      <c r="C51" s="819" t="s">
        <v>3548</v>
      </c>
      <c r="D51" s="858" t="s">
        <v>2643</v>
      </c>
      <c r="E51" s="818">
        <v>2.15</v>
      </c>
      <c r="F51" s="818">
        <v>2.58</v>
      </c>
      <c r="G51" s="818"/>
      <c r="H51" s="818"/>
      <c r="I51" s="823">
        <f t="shared" si="2"/>
        <v>4.7300000000000004</v>
      </c>
      <c r="J51" s="824"/>
      <c r="K51" s="818">
        <v>2.15</v>
      </c>
      <c r="L51" s="818">
        <v>2.58</v>
      </c>
      <c r="M51" s="818"/>
      <c r="N51" s="818"/>
      <c r="O51" s="823">
        <f t="shared" si="3"/>
        <v>4.7300000000000004</v>
      </c>
      <c r="P51" s="869" t="s">
        <v>3611</v>
      </c>
      <c r="Q51" s="827"/>
    </row>
    <row r="52" spans="1:17" ht="20.399999999999999">
      <c r="A52" s="817">
        <v>10</v>
      </c>
      <c r="B52" s="818" t="s">
        <v>3579</v>
      </c>
      <c r="C52" s="819" t="s">
        <v>3548</v>
      </c>
      <c r="D52" s="858" t="s">
        <v>2644</v>
      </c>
      <c r="E52" s="818">
        <v>2.13</v>
      </c>
      <c r="F52" s="818">
        <v>2.57</v>
      </c>
      <c r="G52" s="818">
        <v>2.58</v>
      </c>
      <c r="H52" s="818">
        <v>2.56</v>
      </c>
      <c r="I52" s="823">
        <f t="shared" si="2"/>
        <v>9.84</v>
      </c>
      <c r="J52" s="824"/>
      <c r="K52" s="818">
        <v>2.13</v>
      </c>
      <c r="L52" s="818">
        <v>2.57</v>
      </c>
      <c r="M52" s="818">
        <v>2.58</v>
      </c>
      <c r="N52" s="818">
        <v>2.56</v>
      </c>
      <c r="O52" s="823">
        <f t="shared" si="3"/>
        <v>9.84</v>
      </c>
      <c r="P52" s="869" t="s">
        <v>3630</v>
      </c>
      <c r="Q52" s="827"/>
    </row>
    <row r="53" spans="1:17" ht="20.399999999999999">
      <c r="A53" s="817">
        <v>11</v>
      </c>
      <c r="B53" s="818" t="s">
        <v>3580</v>
      </c>
      <c r="C53" s="819" t="s">
        <v>3548</v>
      </c>
      <c r="D53" s="858" t="s">
        <v>2645</v>
      </c>
      <c r="E53" s="818">
        <v>2.11</v>
      </c>
      <c r="F53" s="818">
        <v>2.11</v>
      </c>
      <c r="G53" s="818">
        <v>2.58</v>
      </c>
      <c r="H53" s="818">
        <v>2.56</v>
      </c>
      <c r="I53" s="823">
        <f t="shared" si="2"/>
        <v>9.36</v>
      </c>
      <c r="J53" s="824"/>
      <c r="K53" s="818">
        <v>2.11</v>
      </c>
      <c r="L53" s="818">
        <v>2.11</v>
      </c>
      <c r="M53" s="818">
        <v>2.58</v>
      </c>
      <c r="N53" s="818">
        <v>2.56</v>
      </c>
      <c r="O53" s="823">
        <f t="shared" si="3"/>
        <v>9.36</v>
      </c>
      <c r="P53" s="869" t="s">
        <v>3607</v>
      </c>
      <c r="Q53" s="827"/>
    </row>
    <row r="54" spans="1:17" ht="20.399999999999999">
      <c r="A54" s="817">
        <v>12</v>
      </c>
      <c r="B54" s="818" t="s">
        <v>3581</v>
      </c>
      <c r="C54" s="819" t="s">
        <v>3548</v>
      </c>
      <c r="D54" s="858" t="s">
        <v>2646</v>
      </c>
      <c r="E54" s="818">
        <v>2.11</v>
      </c>
      <c r="F54" s="818">
        <v>2.57</v>
      </c>
      <c r="G54" s="818">
        <v>2.58</v>
      </c>
      <c r="H54" s="818">
        <v>2.56</v>
      </c>
      <c r="I54" s="823">
        <f t="shared" si="2"/>
        <v>9.82</v>
      </c>
      <c r="J54" s="824"/>
      <c r="K54" s="818">
        <v>2.11</v>
      </c>
      <c r="L54" s="818">
        <v>2.57</v>
      </c>
      <c r="M54" s="818">
        <v>2.58</v>
      </c>
      <c r="N54" s="818">
        <v>2.56</v>
      </c>
      <c r="O54" s="823">
        <f t="shared" si="3"/>
        <v>9.82</v>
      </c>
      <c r="P54" s="869" t="s">
        <v>3601</v>
      </c>
      <c r="Q54" s="827"/>
    </row>
    <row r="55" spans="1:17" ht="20.399999999999999">
      <c r="A55" s="817">
        <v>13</v>
      </c>
      <c r="B55" s="818" t="s">
        <v>3582</v>
      </c>
      <c r="C55" s="819" t="s">
        <v>3548</v>
      </c>
      <c r="D55" s="858" t="s">
        <v>2647</v>
      </c>
      <c r="E55" s="818">
        <v>2.11</v>
      </c>
      <c r="F55" s="818">
        <v>2.11</v>
      </c>
      <c r="G55" s="818">
        <v>2.58</v>
      </c>
      <c r="H55" s="818">
        <v>2.56</v>
      </c>
      <c r="I55" s="823">
        <f t="shared" si="2"/>
        <v>9.36</v>
      </c>
      <c r="J55" s="824"/>
      <c r="K55" s="818">
        <v>2.11</v>
      </c>
      <c r="L55" s="818">
        <v>2.11</v>
      </c>
      <c r="M55" s="818">
        <v>2.58</v>
      </c>
      <c r="N55" s="818">
        <v>2.56</v>
      </c>
      <c r="O55" s="823">
        <f t="shared" si="3"/>
        <v>9.36</v>
      </c>
      <c r="P55" s="869" t="s">
        <v>3608</v>
      </c>
      <c r="Q55" s="827"/>
    </row>
    <row r="56" spans="1:17" ht="20.399999999999999">
      <c r="A56" s="817">
        <v>14</v>
      </c>
      <c r="B56" s="818" t="s">
        <v>3583</v>
      </c>
      <c r="C56" s="819" t="s">
        <v>3548</v>
      </c>
      <c r="D56" s="858" t="s">
        <v>2648</v>
      </c>
      <c r="E56" s="818">
        <v>2.11</v>
      </c>
      <c r="F56" s="818">
        <v>2.57</v>
      </c>
      <c r="G56" s="818">
        <v>2.58</v>
      </c>
      <c r="H56" s="818">
        <v>2.56</v>
      </c>
      <c r="I56" s="823">
        <f t="shared" si="2"/>
        <v>9.82</v>
      </c>
      <c r="J56" s="824"/>
      <c r="K56" s="818">
        <v>2.11</v>
      </c>
      <c r="L56" s="818">
        <v>2.57</v>
      </c>
      <c r="M56" s="818">
        <v>2.58</v>
      </c>
      <c r="N56" s="818">
        <v>2.56</v>
      </c>
      <c r="O56" s="823">
        <f t="shared" si="3"/>
        <v>9.82</v>
      </c>
      <c r="P56" s="869" t="s">
        <v>3609</v>
      </c>
      <c r="Q56" s="827"/>
    </row>
    <row r="57" spans="1:17" ht="21" thickBot="1">
      <c r="A57" s="817">
        <v>15</v>
      </c>
      <c r="B57" s="818" t="s">
        <v>3584</v>
      </c>
      <c r="C57" s="819" t="s">
        <v>3548</v>
      </c>
      <c r="D57" s="858" t="s">
        <v>2649</v>
      </c>
      <c r="E57" s="818">
        <v>2.11</v>
      </c>
      <c r="F57" s="818">
        <v>2.11</v>
      </c>
      <c r="G57" s="818">
        <v>2.58</v>
      </c>
      <c r="H57" s="818">
        <v>2.56</v>
      </c>
      <c r="I57" s="823">
        <f t="shared" si="2"/>
        <v>9.36</v>
      </c>
      <c r="J57" s="824"/>
      <c r="K57" s="818">
        <v>2.11</v>
      </c>
      <c r="L57" s="818">
        <v>2.11</v>
      </c>
      <c r="M57" s="818">
        <v>2.58</v>
      </c>
      <c r="N57" s="818">
        <v>2.56</v>
      </c>
      <c r="O57" s="823">
        <f t="shared" si="3"/>
        <v>9.36</v>
      </c>
      <c r="P57" s="869" t="s">
        <v>3610</v>
      </c>
      <c r="Q57" s="827"/>
    </row>
    <row r="58" spans="1:17" ht="14.4" thickBot="1">
      <c r="A58" s="817">
        <v>16</v>
      </c>
      <c r="B58" s="818" t="s">
        <v>3585</v>
      </c>
      <c r="C58" s="819" t="s">
        <v>3548</v>
      </c>
      <c r="D58" s="858" t="s">
        <v>2650</v>
      </c>
      <c r="E58" s="818"/>
      <c r="F58" s="818"/>
      <c r="G58" s="818">
        <v>4.57</v>
      </c>
      <c r="H58" s="818">
        <v>3.22</v>
      </c>
      <c r="I58" s="823">
        <f t="shared" si="2"/>
        <v>7.7900000000000009</v>
      </c>
      <c r="J58" s="824"/>
      <c r="K58" s="818"/>
      <c r="L58" s="818"/>
      <c r="M58" s="914">
        <v>4.57</v>
      </c>
      <c r="N58" s="914">
        <v>3.22</v>
      </c>
      <c r="O58" s="823">
        <f t="shared" si="3"/>
        <v>7.7900000000000009</v>
      </c>
      <c r="P58" s="869" t="s">
        <v>3800</v>
      </c>
      <c r="Q58" s="827"/>
    </row>
    <row r="59" spans="1:17">
      <c r="A59" s="817">
        <v>17</v>
      </c>
      <c r="B59" s="818" t="s">
        <v>3586</v>
      </c>
      <c r="C59" s="819" t="s">
        <v>3548</v>
      </c>
      <c r="D59" s="858" t="s">
        <v>2651</v>
      </c>
      <c r="E59" s="818">
        <v>2.15</v>
      </c>
      <c r="F59" s="818">
        <v>2.58</v>
      </c>
      <c r="G59" s="818"/>
      <c r="H59" s="818"/>
      <c r="I59" s="823">
        <f t="shared" si="2"/>
        <v>4.7300000000000004</v>
      </c>
      <c r="J59" s="824"/>
      <c r="K59" s="818">
        <v>2.15</v>
      </c>
      <c r="L59" s="818">
        <v>2.58</v>
      </c>
      <c r="M59" s="818"/>
      <c r="N59" s="818"/>
      <c r="O59" s="823">
        <f t="shared" si="3"/>
        <v>4.7300000000000004</v>
      </c>
      <c r="P59" s="869" t="s">
        <v>3603</v>
      </c>
      <c r="Q59" s="827"/>
    </row>
    <row r="60" spans="1:17" ht="30.6">
      <c r="A60" s="817">
        <v>18</v>
      </c>
      <c r="B60" s="818" t="s">
        <v>3587</v>
      </c>
      <c r="C60" s="819" t="s">
        <v>3548</v>
      </c>
      <c r="D60" s="858" t="s">
        <v>2652</v>
      </c>
      <c r="E60" s="818">
        <v>2.15</v>
      </c>
      <c r="F60" s="818">
        <v>2.58</v>
      </c>
      <c r="G60" s="818">
        <v>4.5999999999999996</v>
      </c>
      <c r="H60" s="818">
        <v>3.25</v>
      </c>
      <c r="I60" s="823">
        <f t="shared" si="2"/>
        <v>12.58</v>
      </c>
      <c r="J60" s="824"/>
      <c r="K60" s="818">
        <v>2.15</v>
      </c>
      <c r="L60" s="818">
        <v>2.58</v>
      </c>
      <c r="M60" s="818">
        <v>4.5999999999999996</v>
      </c>
      <c r="N60" s="818">
        <v>3.25</v>
      </c>
      <c r="O60" s="823">
        <f t="shared" si="3"/>
        <v>12.58</v>
      </c>
      <c r="P60" s="869" t="s">
        <v>3604</v>
      </c>
      <c r="Q60" s="827"/>
    </row>
    <row r="61" spans="1:17">
      <c r="A61" s="817">
        <v>19</v>
      </c>
      <c r="B61" s="818" t="s">
        <v>3588</v>
      </c>
      <c r="C61" s="819" t="s">
        <v>3548</v>
      </c>
      <c r="D61" s="858" t="s">
        <v>2653</v>
      </c>
      <c r="E61" s="818">
        <v>2.15</v>
      </c>
      <c r="F61" s="818">
        <v>2.58</v>
      </c>
      <c r="G61" s="818"/>
      <c r="H61" s="818"/>
      <c r="I61" s="823">
        <f t="shared" si="2"/>
        <v>4.7300000000000004</v>
      </c>
      <c r="J61" s="824"/>
      <c r="K61" s="818">
        <v>2.15</v>
      </c>
      <c r="L61" s="818">
        <v>2.58</v>
      </c>
      <c r="M61" s="818"/>
      <c r="N61" s="818"/>
      <c r="O61" s="823">
        <f t="shared" si="3"/>
        <v>4.7300000000000004</v>
      </c>
      <c r="P61" s="869" t="s">
        <v>3605</v>
      </c>
      <c r="Q61" s="827"/>
    </row>
    <row r="62" spans="1:17">
      <c r="A62" s="834"/>
      <c r="B62" s="835"/>
      <c r="C62" s="836"/>
      <c r="D62" s="859"/>
      <c r="E62" s="860"/>
      <c r="F62" s="860"/>
      <c r="G62" s="860"/>
      <c r="H62" s="860"/>
      <c r="I62" s="820"/>
      <c r="J62" s="821"/>
      <c r="K62" s="860"/>
      <c r="L62" s="860"/>
      <c r="M62" s="860"/>
      <c r="N62" s="860"/>
      <c r="O62" s="820"/>
      <c r="P62" s="868"/>
      <c r="Q62" s="838"/>
    </row>
    <row r="63" spans="1:17">
      <c r="A63" s="839"/>
      <c r="B63" s="840" t="s">
        <v>3589</v>
      </c>
      <c r="C63" s="841"/>
      <c r="D63" s="861"/>
      <c r="E63" s="861"/>
      <c r="F63" s="861"/>
      <c r="G63" s="861"/>
      <c r="H63" s="861"/>
      <c r="I63" s="842">
        <f>ROUND((SUM(I43:I62)),2)</f>
        <v>146.51</v>
      </c>
      <c r="J63" s="843"/>
      <c r="K63" s="862"/>
      <c r="L63" s="861"/>
      <c r="M63" s="861"/>
      <c r="N63" s="861"/>
      <c r="O63" s="842">
        <f>ROUND((SUM(O43:O62)),2)</f>
        <v>146.51</v>
      </c>
      <c r="P63" s="842">
        <f>ROUND((SUM(P43:P62)),2)</f>
        <v>0</v>
      </c>
      <c r="Q63" s="845"/>
    </row>
    <row r="64" spans="1:17">
      <c r="P64" s="870"/>
    </row>
    <row r="65" spans="1:17">
      <c r="A65" s="839"/>
      <c r="B65" s="840" t="s">
        <v>3590</v>
      </c>
      <c r="C65" s="841"/>
      <c r="D65" s="861"/>
      <c r="E65" s="861"/>
      <c r="F65" s="861"/>
      <c r="G65" s="861"/>
      <c r="H65" s="861"/>
      <c r="I65" s="842">
        <f>I41+I63</f>
        <v>406.46999999999997</v>
      </c>
      <c r="J65" s="843"/>
      <c r="K65" s="862"/>
      <c r="L65" s="861"/>
      <c r="M65" s="861"/>
      <c r="N65" s="861"/>
      <c r="O65" s="842">
        <f>O41+O63</f>
        <v>406.46999999999997</v>
      </c>
      <c r="P65" s="842">
        <f>P41+P63</f>
        <v>0</v>
      </c>
      <c r="Q65" s="845"/>
    </row>
    <row r="66" spans="1:17">
      <c r="A66" s="839"/>
      <c r="B66" s="840"/>
      <c r="C66" s="841"/>
      <c r="D66" s="861"/>
      <c r="E66" s="861"/>
      <c r="F66" s="861"/>
      <c r="G66" s="861"/>
      <c r="H66" s="861"/>
      <c r="I66" s="842"/>
      <c r="J66" s="843"/>
      <c r="K66" s="862"/>
      <c r="L66" s="861"/>
      <c r="M66" s="861"/>
      <c r="N66" s="861"/>
      <c r="O66" s="842"/>
      <c r="P66" s="842"/>
      <c r="Q66" s="845"/>
    </row>
    <row r="67" spans="1:17">
      <c r="A67" s="839"/>
      <c r="B67" s="840" t="s">
        <v>3591</v>
      </c>
      <c r="C67" s="841"/>
      <c r="D67" s="861"/>
      <c r="E67" s="861"/>
      <c r="F67" s="861"/>
      <c r="G67" s="861"/>
      <c r="H67" s="861"/>
      <c r="I67" s="842">
        <f>I68/I65</f>
        <v>691.28840996875545</v>
      </c>
      <c r="J67" s="843"/>
      <c r="K67" s="862"/>
      <c r="L67" s="861"/>
      <c r="M67" s="861"/>
      <c r="N67" s="861"/>
      <c r="O67" s="842">
        <f>I67</f>
        <v>691.28840996875545</v>
      </c>
      <c r="P67" s="842">
        <f>L67</f>
        <v>0</v>
      </c>
      <c r="Q67" s="845"/>
    </row>
    <row r="68" spans="1:17" ht="20.399999999999999">
      <c r="A68" s="839"/>
      <c r="B68" s="863" t="s">
        <v>3592</v>
      </c>
      <c r="C68" s="841"/>
      <c r="D68" s="861"/>
      <c r="E68" s="861"/>
      <c r="F68" s="861"/>
      <c r="G68" s="861"/>
      <c r="H68" s="861"/>
      <c r="I68" s="842">
        <v>280988</v>
      </c>
      <c r="J68" s="843"/>
      <c r="K68" s="862"/>
      <c r="L68" s="861"/>
      <c r="M68" s="861"/>
      <c r="N68" s="861"/>
      <c r="O68" s="842">
        <f>O65*O67</f>
        <v>280988</v>
      </c>
      <c r="P68" s="842">
        <f>P65*P67</f>
        <v>0</v>
      </c>
      <c r="Q68" s="845"/>
    </row>
    <row r="69" spans="1:17">
      <c r="A69" s="839"/>
      <c r="B69" s="840"/>
      <c r="C69" s="841"/>
      <c r="D69" s="861"/>
      <c r="E69" s="861"/>
      <c r="F69" s="861"/>
      <c r="G69" s="861"/>
      <c r="H69" s="861"/>
      <c r="I69" s="842"/>
      <c r="J69" s="843"/>
      <c r="K69" s="862"/>
      <c r="L69" s="861"/>
      <c r="M69" s="861"/>
      <c r="N69" s="861"/>
      <c r="O69" s="842"/>
      <c r="P69" s="842"/>
      <c r="Q69" s="845"/>
    </row>
    <row r="70" spans="1:17" ht="20.399999999999999">
      <c r="A70" s="839"/>
      <c r="B70" s="863" t="s">
        <v>3593</v>
      </c>
      <c r="C70" s="841"/>
      <c r="D70" s="861"/>
      <c r="E70" s="861"/>
      <c r="F70" s="861"/>
      <c r="G70" s="861"/>
      <c r="H70" s="861"/>
      <c r="I70" s="864">
        <v>-170867</v>
      </c>
      <c r="J70" s="843"/>
      <c r="K70" s="862"/>
      <c r="L70" s="861"/>
      <c r="M70" s="861"/>
      <c r="N70" s="861"/>
      <c r="O70" s="864">
        <v>-170867</v>
      </c>
      <c r="P70" s="864"/>
      <c r="Q70" s="845"/>
    </row>
    <row r="71" spans="1:17" ht="20.399999999999999">
      <c r="A71" s="839"/>
      <c r="B71" s="863" t="s">
        <v>3594</v>
      </c>
      <c r="C71" s="841"/>
      <c r="D71" s="861"/>
      <c r="E71" s="861"/>
      <c r="F71" s="861"/>
      <c r="G71" s="861"/>
      <c r="H71" s="861"/>
      <c r="I71" s="842">
        <f>I68+I70</f>
        <v>110121</v>
      </c>
      <c r="J71" s="843"/>
      <c r="K71" s="862"/>
      <c r="L71" s="861"/>
      <c r="M71" s="861"/>
      <c r="N71" s="861"/>
      <c r="O71" s="842">
        <f>O68+O70</f>
        <v>110121</v>
      </c>
      <c r="P71" s="842"/>
      <c r="Q71" s="865">
        <f>O71/I71</f>
        <v>1</v>
      </c>
    </row>
  </sheetData>
  <mergeCells count="17">
    <mergeCell ref="Q5:Q7"/>
    <mergeCell ref="I5:I7"/>
    <mergeCell ref="K5:K7"/>
    <mergeCell ref="L5:L7"/>
    <mergeCell ref="M5:M7"/>
    <mergeCell ref="N5:N7"/>
    <mergeCell ref="O5:O7"/>
    <mergeCell ref="P5:P7"/>
    <mergeCell ref="K4:O4"/>
    <mergeCell ref="A5:A7"/>
    <mergeCell ref="B5:B7"/>
    <mergeCell ref="C5:C7"/>
    <mergeCell ref="D5:D7"/>
    <mergeCell ref="E5:E7"/>
    <mergeCell ref="F5:F7"/>
    <mergeCell ref="G5:G7"/>
    <mergeCell ref="H5:H7"/>
  </mergeCells>
  <printOptions horizontalCentered="1"/>
  <pageMargins left="0.25" right="0.25" top="0.5" bottom="0.5" header="0.5" footer="0.5"/>
  <pageSetup paperSize="9" scale="69" orientation="portrait" horizontalDpi="4294967293" r:id="rId1"/>
  <headerFooter alignWithMargins="0">
    <oddFooter>&amp;C&amp;8Page &amp;P  of  &amp;N</oddFooter>
  </headerFooter>
  <rowBreaks count="1" manualBreakCount="1">
    <brk id="71"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13</vt:i4>
      </vt:variant>
    </vt:vector>
  </HeadingPairs>
  <TitlesOfParts>
    <vt:vector size="35" baseType="lpstr">
      <vt:lpstr>Summary</vt:lpstr>
      <vt:lpstr>BOQ (KCE)</vt:lpstr>
      <vt:lpstr>Res &amp; Hotel - 800mm(Qty)</vt:lpstr>
      <vt:lpstr>Residential - 600mm(Qty)</vt:lpstr>
      <vt:lpstr>Residential - 900mm(Qty)</vt:lpstr>
      <vt:lpstr>Hotel - 600mm(Qty)</vt:lpstr>
      <vt:lpstr>Hotel - 900mm(Qty)</vt:lpstr>
      <vt:lpstr>Breakdown - Divider</vt:lpstr>
      <vt:lpstr>SI 130 - Progress</vt:lpstr>
      <vt:lpstr>SI 400 - Progress</vt:lpstr>
      <vt:lpstr>ERI-056</vt:lpstr>
      <vt:lpstr>VO</vt:lpstr>
      <vt:lpstr>SI-000079</vt:lpstr>
      <vt:lpstr>SI-000110</vt:lpstr>
      <vt:lpstr>SI-000130</vt:lpstr>
      <vt:lpstr>SI-000296</vt:lpstr>
      <vt:lpstr>SI-000365</vt:lpstr>
      <vt:lpstr>KCE-SI-278</vt:lpstr>
      <vt:lpstr>KCE-SI-364</vt:lpstr>
      <vt:lpstr>MOS</vt:lpstr>
      <vt:lpstr>KCE-SI-398 R1</vt:lpstr>
      <vt:lpstr>SI-364</vt:lpstr>
      <vt:lpstr>'Hotel - 600mm(Qty)'!Print_Area</vt:lpstr>
      <vt:lpstr>'Hotel - 900mm(Qty)'!Print_Area</vt:lpstr>
      <vt:lpstr>'Residential - 600mm(Qty)'!Print_Area</vt:lpstr>
      <vt:lpstr>'SI 130 - Progress'!Print_Area</vt:lpstr>
      <vt:lpstr>'SI 400 - Progress'!Print_Area</vt:lpstr>
      <vt:lpstr>'SI-000079'!Print_Area</vt:lpstr>
      <vt:lpstr>'SI-000110'!Print_Area</vt:lpstr>
      <vt:lpstr>'SI-000130'!Print_Area</vt:lpstr>
      <vt:lpstr>'SI-000296'!Print_Area</vt:lpstr>
      <vt:lpstr>'SI-000365'!Print_Area</vt:lpstr>
      <vt:lpstr>Summary!Print_Area</vt:lpstr>
      <vt:lpstr>'Hotel - 900mm(Qty)'!Print_Titles</vt:lpstr>
      <vt:lpstr>'SI 130 - Progress'!Print_Titles</vt:lpstr>
    </vt:vector>
  </TitlesOfParts>
  <Company>APL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dc:creator>
  <cp:lastModifiedBy>Tharaka Rathnayaka</cp:lastModifiedBy>
  <cp:lastPrinted>2023-01-30T10:22:08Z</cp:lastPrinted>
  <dcterms:created xsi:type="dcterms:W3CDTF">2003-04-16T05:11:18Z</dcterms:created>
  <dcterms:modified xsi:type="dcterms:W3CDTF">2023-04-18T16:33:32Z</dcterms:modified>
</cp:coreProperties>
</file>