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a.weeraman\AppData\Local\Microsoft\Windows\INetCache\Content.Outlook\YT65FR4A\"/>
    </mc:Choice>
  </mc:AlternateContent>
  <xr:revisionPtr revIDLastSave="0" documentId="13_ncr:1_{706DDEF8-CA9F-4D91-A256-E88CD5A9F8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tel &amp; BB" sheetId="1" r:id="rId1"/>
    <sheet name="Sheet1" sheetId="5" r:id="rId2"/>
    <sheet name="RESI" sheetId="4" r:id="rId3"/>
    <sheet name="DOCHEST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Q56" i="1"/>
  <c r="Q55" i="1"/>
  <c r="Q54" i="1"/>
  <c r="Q53" i="1"/>
  <c r="L50" i="1"/>
  <c r="Q50" i="1" s="1"/>
  <c r="L51" i="1"/>
  <c r="Q51" i="1" s="1"/>
  <c r="L52" i="1"/>
  <c r="Q52" i="1" s="1"/>
  <c r="D10" i="1"/>
  <c r="Q57" i="1" l="1"/>
  <c r="Q42" i="1"/>
  <c r="Q41" i="1"/>
  <c r="Q38" i="1"/>
  <c r="Q36" i="1"/>
  <c r="Q35" i="1"/>
  <c r="Q34" i="1"/>
  <c r="Q33" i="1"/>
  <c r="Q32" i="1"/>
  <c r="Q31" i="1"/>
  <c r="Q30" i="1"/>
  <c r="Q28" i="1"/>
  <c r="Q27" i="1"/>
  <c r="Q26" i="1"/>
  <c r="Q25" i="1"/>
  <c r="Q24" i="1"/>
  <c r="Q23" i="1"/>
  <c r="Q22" i="1"/>
  <c r="Q7" i="1"/>
  <c r="Q9" i="1"/>
  <c r="Q11" i="1"/>
  <c r="Q14" i="1"/>
  <c r="Q15" i="1"/>
  <c r="Q16" i="1"/>
  <c r="Q17" i="1"/>
  <c r="Q18" i="1"/>
  <c r="L12" i="1" l="1"/>
  <c r="C5" i="5" s="1"/>
  <c r="C8" i="5" s="1"/>
  <c r="I20" i="1"/>
  <c r="J20" i="1"/>
  <c r="K20" i="1"/>
  <c r="L20" i="1"/>
  <c r="H20" i="1"/>
  <c r="L10" i="1"/>
  <c r="K10" i="1"/>
  <c r="J10" i="1"/>
  <c r="I10" i="1"/>
  <c r="H10" i="1"/>
  <c r="G10" i="1"/>
  <c r="G13" i="1"/>
  <c r="Q20" i="1" l="1"/>
  <c r="Q10" i="1"/>
  <c r="D19" i="1"/>
  <c r="I19" i="1"/>
  <c r="J19" i="1"/>
  <c r="K19" i="1"/>
  <c r="L19" i="1"/>
  <c r="L13" i="1"/>
  <c r="K13" i="1"/>
  <c r="J13" i="1"/>
  <c r="I13" i="1"/>
  <c r="D13" i="1"/>
  <c r="D12" i="1"/>
  <c r="Q12" i="1" s="1"/>
  <c r="D29" i="1"/>
  <c r="Q29" i="1" s="1"/>
  <c r="H19" i="1"/>
  <c r="H13" i="1"/>
  <c r="F12" i="2"/>
  <c r="G12" i="2"/>
  <c r="H12" i="2"/>
  <c r="I12" i="2"/>
  <c r="L12" i="2"/>
  <c r="E12" i="2"/>
  <c r="M10" i="2"/>
  <c r="M12" i="2" s="1"/>
  <c r="J10" i="2"/>
  <c r="J12" i="2" s="1"/>
  <c r="K6" i="2"/>
  <c r="K10" i="2" s="1"/>
  <c r="K12" i="2" s="1"/>
  <c r="Q13" i="1" l="1"/>
  <c r="Q19" i="1"/>
  <c r="D37" i="1"/>
  <c r="Q37" i="1" s="1"/>
  <c r="D40" i="1" l="1"/>
  <c r="Q40" i="1" s="1"/>
  <c r="G8" i="1" l="1"/>
  <c r="I8" i="1" l="1"/>
  <c r="J8" i="1"/>
  <c r="K8" i="1"/>
  <c r="L8" i="1"/>
  <c r="H8" i="1"/>
  <c r="G6" i="1"/>
  <c r="Q6" i="1" s="1"/>
  <c r="Q8" i="1" l="1"/>
  <c r="Q43" i="1" s="1"/>
</calcChain>
</file>

<file path=xl/sharedStrings.xml><?xml version="1.0" encoding="utf-8"?>
<sst xmlns="http://schemas.openxmlformats.org/spreadsheetml/2006/main" count="143" uniqueCount="112">
  <si>
    <t>TRAFFIC ACCESS STUDY</t>
  </si>
  <si>
    <t>PROJECT MONITOR</t>
  </si>
  <si>
    <t xml:space="preserve">SURVEY SERVICES, OQOOD SUBMISSION </t>
  </si>
  <si>
    <t>HOTEL OPERATOR</t>
  </si>
  <si>
    <t>SIGNAGE AND WAYWARD FINDING</t>
  </si>
  <si>
    <t xml:space="preserve">FAÇADE ENGINEERING / BMU DESIGN </t>
  </si>
  <si>
    <t>L17 &amp; L29 RESTAURANTS</t>
  </si>
  <si>
    <t>IT CONSULTANT</t>
  </si>
  <si>
    <t>FIRE SAFETY CONSULTANCY</t>
  </si>
  <si>
    <t>FOH MEP</t>
  </si>
  <si>
    <t xml:space="preserve">Acoustic </t>
  </si>
  <si>
    <t>Art Consultant</t>
  </si>
  <si>
    <t>RERA Valuation</t>
  </si>
  <si>
    <t>FOSTERS &amp; PARTNERS</t>
  </si>
  <si>
    <t>G&amp;B</t>
  </si>
  <si>
    <t>AL TURATH</t>
  </si>
  <si>
    <t>CONIN</t>
  </si>
  <si>
    <t xml:space="preserve">PRD </t>
  </si>
  <si>
    <t>DORCHESTER</t>
  </si>
  <si>
    <t>LIGHT TOUCH</t>
  </si>
  <si>
    <t>BRIMAX</t>
  </si>
  <si>
    <t>MIRAGE</t>
  </si>
  <si>
    <t>WME</t>
  </si>
  <si>
    <t>MEINHARDT</t>
  </si>
  <si>
    <t>BG&amp;E</t>
  </si>
  <si>
    <t>MITCHELL &amp; EADES</t>
  </si>
  <si>
    <t>MEDIA TECH</t>
  </si>
  <si>
    <t>VORTEX</t>
  </si>
  <si>
    <t>BSBG</t>
  </si>
  <si>
    <t>GAJ</t>
  </si>
  <si>
    <t>CEC</t>
  </si>
  <si>
    <t>Acoustic Middle East</t>
  </si>
  <si>
    <t>Amelie Maison D’Art</t>
  </si>
  <si>
    <t>Land Sterling</t>
  </si>
  <si>
    <t>Fixed Fee Consulancy Services</t>
  </si>
  <si>
    <t>QUANTITY SURVEYING</t>
  </si>
  <si>
    <t>ECON</t>
  </si>
  <si>
    <t>PROJECT MANAGEMENT</t>
  </si>
  <si>
    <t>Amt
Certified</t>
  </si>
  <si>
    <t>Period</t>
  </si>
  <si>
    <t>U+A</t>
  </si>
  <si>
    <t>LANDSCAPE ARCHITECT - SUPERVISION</t>
  </si>
  <si>
    <t>DESIGN ARCHITECT - SUPERVISION</t>
  </si>
  <si>
    <t>INTERIOR DESIGN - SUPERVISION</t>
  </si>
  <si>
    <t>STRUCTURAL ENGINEER - SUPERVISION</t>
  </si>
  <si>
    <t>LIGHTING ENGINEER - SUPERVISION</t>
  </si>
  <si>
    <t>ARCHITECT OF RECORD - SUPERVISION</t>
  </si>
  <si>
    <t>MEP ENGINEER - SUPERVISION</t>
  </si>
  <si>
    <t>Monthly Fee Consultancy Services</t>
  </si>
  <si>
    <t>EXCOM</t>
  </si>
  <si>
    <t>Exchange Rates</t>
  </si>
  <si>
    <t>GBP</t>
  </si>
  <si>
    <t>EUR</t>
  </si>
  <si>
    <t>USD</t>
  </si>
  <si>
    <t>July-22</t>
  </si>
  <si>
    <t>Roya</t>
  </si>
  <si>
    <t>Daniel Turner</t>
  </si>
  <si>
    <t>Elitser Technologies</t>
  </si>
  <si>
    <t>Furnish Hospitality</t>
  </si>
  <si>
    <t>IGME InformationTechnology</t>
  </si>
  <si>
    <t>HOSPITALITY ADVISORY SERVICES</t>
  </si>
  <si>
    <t>SERVICES</t>
  </si>
  <si>
    <t>RECRUITMENTS</t>
  </si>
  <si>
    <t>BRANDING CONSULTANT</t>
  </si>
  <si>
    <t>PROCUREMENT &amp; STOCK CONTROL PLATFORM</t>
  </si>
  <si>
    <t>IT SERVICES</t>
  </si>
  <si>
    <t>Construct</t>
  </si>
  <si>
    <t xml:space="preserve">TRAVEL COST </t>
  </si>
  <si>
    <t>EM-TEC</t>
  </si>
  <si>
    <t xml:space="preserve">DORCHESTER HOTEL &amp; RESIDENCIES </t>
  </si>
  <si>
    <t xml:space="preserve">Consultant Name </t>
  </si>
  <si>
    <t>Description</t>
  </si>
  <si>
    <t>Approved amount(AED)</t>
  </si>
  <si>
    <t>ID supervision</t>
  </si>
  <si>
    <t xml:space="preserve">Ian Banham &amp; Associates </t>
  </si>
  <si>
    <t>MEP supervision</t>
  </si>
  <si>
    <t>Light Touch - RESIDENCES</t>
  </si>
  <si>
    <t>Lighting</t>
  </si>
  <si>
    <t>Critical Path</t>
  </si>
  <si>
    <t xml:space="preserve">Planning consultant </t>
  </si>
  <si>
    <t>2701 MEP design</t>
  </si>
  <si>
    <t>STG Innovations</t>
  </si>
  <si>
    <t xml:space="preserve">2701 Images </t>
  </si>
  <si>
    <t>Gilles &amp; Boissier</t>
  </si>
  <si>
    <t>2701 ID design</t>
  </si>
  <si>
    <t>60Daays</t>
  </si>
  <si>
    <t>ELV Consultancy</t>
  </si>
  <si>
    <t>Fourth Limited</t>
  </si>
  <si>
    <t>Marketing Payments</t>
  </si>
  <si>
    <t>Various Traval Companies</t>
  </si>
  <si>
    <t xml:space="preserve">KITCHEN AND BACK OF HOUSE </t>
  </si>
  <si>
    <t>Fondue Consultancy</t>
  </si>
  <si>
    <t>FF&amp;E PROCUREMNT</t>
  </si>
  <si>
    <t>NEW TSA</t>
  </si>
  <si>
    <t>TSA</t>
  </si>
  <si>
    <t>EXPENSES</t>
  </si>
  <si>
    <t>TOTAL</t>
  </si>
  <si>
    <t xml:space="preserve">MEP MANAGER </t>
  </si>
  <si>
    <t>No written approvel -Estimated</t>
  </si>
  <si>
    <t>May-22</t>
  </si>
  <si>
    <t>Oct-22</t>
  </si>
  <si>
    <t xml:space="preserve">G&amp;B Balance Consultancy Fee </t>
  </si>
  <si>
    <t>ADD : G&amp;B for unit 10-01 design Fee</t>
  </si>
  <si>
    <t>Amount</t>
  </si>
  <si>
    <t>Ref.</t>
  </si>
  <si>
    <t>Plot-18</t>
  </si>
  <si>
    <t>ADD : Increse travel Expenses + Contingencies</t>
  </si>
  <si>
    <t xml:space="preserve">Calculation of </t>
  </si>
  <si>
    <t>Cumulative Upto date</t>
  </si>
  <si>
    <t>CONSULTANCY FEES - HOTEL PROJECT</t>
  </si>
  <si>
    <t>CONSULTANCY FEES - RESIDNCE FIT OUT PROJECT</t>
  </si>
  <si>
    <t>Contract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</si>
</sst>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#,##0_);\(#,##0\);&quot;-  &quot;;&quot; &quot;@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165" fontId="4" fillId="0" borderId="0" applyFont="0" applyFill="0" applyBorder="0" applyProtection="0">
      <alignment vertical="top"/>
    </xf>
  </cellStyleXfs>
  <cellXfs count="71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1" fillId="3" borderId="0" xfId="1" applyNumberFormat="1" applyFont="1" applyFill="1" applyAlignment="1">
      <alignment wrapText="1"/>
    </xf>
    <xf numFmtId="164" fontId="0" fillId="2" borderId="0" xfId="1" applyNumberFormat="1" applyFont="1" applyFill="1" applyAlignment="1"/>
    <xf numFmtId="164" fontId="0" fillId="0" borderId="0" xfId="1" applyNumberFormat="1" applyFont="1" applyAlignment="1"/>
    <xf numFmtId="17" fontId="1" fillId="3" borderId="0" xfId="0" applyNumberFormat="1" applyFont="1" applyFill="1" applyAlignment="1">
      <alignment horizontal="center"/>
    </xf>
    <xf numFmtId="43" fontId="0" fillId="0" borderId="0" xfId="1" applyFont="1"/>
    <xf numFmtId="0" fontId="0" fillId="0" borderId="1" xfId="0" applyBorder="1"/>
    <xf numFmtId="43" fontId="0" fillId="0" borderId="0" xfId="1" applyFont="1" applyFill="1"/>
    <xf numFmtId="43" fontId="0" fillId="0" borderId="0" xfId="0" applyNumberFormat="1"/>
    <xf numFmtId="43" fontId="5" fillId="0" borderId="0" xfId="1" applyFont="1" applyFill="1" applyBorder="1" applyAlignment="1" applyProtection="1">
      <alignment vertical="center"/>
    </xf>
    <xf numFmtId="43" fontId="0" fillId="4" borderId="0" xfId="1" applyFont="1" applyFill="1"/>
    <xf numFmtId="0" fontId="0" fillId="4" borderId="0" xfId="0" applyFill="1"/>
    <xf numFmtId="0" fontId="0" fillId="0" borderId="0" xfId="0" applyFill="1"/>
    <xf numFmtId="17" fontId="0" fillId="0" borderId="0" xfId="0" applyNumberFormat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7" fillId="0" borderId="0" xfId="0" applyFont="1"/>
    <xf numFmtId="0" fontId="3" fillId="3" borderId="0" xfId="0" applyFont="1" applyFill="1" applyAlignment="1">
      <alignment horizontal="center"/>
    </xf>
    <xf numFmtId="164" fontId="0" fillId="0" borderId="0" xfId="1" applyNumberFormat="1" applyFont="1"/>
    <xf numFmtId="17" fontId="0" fillId="0" borderId="0" xfId="0" applyNumberFormat="1" applyFill="1" applyAlignment="1">
      <alignment horizontal="center"/>
    </xf>
    <xf numFmtId="0" fontId="0" fillId="5" borderId="0" xfId="0" applyFill="1"/>
    <xf numFmtId="17" fontId="0" fillId="0" borderId="0" xfId="0" applyNumberFormat="1" applyFont="1" applyFill="1" applyAlignment="1">
      <alignment horizontal="center"/>
    </xf>
    <xf numFmtId="9" fontId="0" fillId="0" borderId="0" xfId="0" applyNumberFormat="1"/>
    <xf numFmtId="17" fontId="0" fillId="4" borderId="0" xfId="0" applyNumberFormat="1" applyFont="1" applyFill="1" applyAlignment="1">
      <alignment horizontal="center"/>
    </xf>
    <xf numFmtId="9" fontId="0" fillId="4" borderId="0" xfId="0" applyNumberFormat="1" applyFill="1"/>
    <xf numFmtId="0" fontId="0" fillId="6" borderId="0" xfId="0" applyFill="1"/>
    <xf numFmtId="164" fontId="0" fillId="6" borderId="0" xfId="1" applyNumberFormat="1" applyFont="1" applyFill="1" applyAlignment="1"/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Alignment="1"/>
    <xf numFmtId="43" fontId="0" fillId="0" borderId="0" xfId="0" applyNumberFormat="1" applyFill="1"/>
    <xf numFmtId="49" fontId="0" fillId="0" borderId="0" xfId="0" applyNumberFormat="1" applyFill="1" applyAlignment="1">
      <alignment horizontal="center"/>
    </xf>
    <xf numFmtId="164" fontId="0" fillId="0" borderId="0" xfId="1" applyNumberFormat="1" applyFont="1" applyFill="1" applyBorder="1" applyAlignment="1"/>
    <xf numFmtId="17" fontId="0" fillId="0" borderId="0" xfId="0" applyNumberFormat="1" applyFill="1" applyBorder="1" applyAlignment="1">
      <alignment horizontal="center"/>
    </xf>
    <xf numFmtId="43" fontId="0" fillId="0" borderId="0" xfId="1" applyFont="1" applyFill="1" applyBorder="1"/>
    <xf numFmtId="41" fontId="0" fillId="0" borderId="0" xfId="1" applyNumberFormat="1" applyFont="1" applyFill="1" applyAlignment="1"/>
    <xf numFmtId="0" fontId="6" fillId="0" borderId="0" xfId="0" applyFont="1" applyFill="1"/>
    <xf numFmtId="164" fontId="0" fillId="0" borderId="0" xfId="1" applyNumberFormat="1" applyFont="1" applyFill="1"/>
    <xf numFmtId="43" fontId="0" fillId="0" borderId="0" xfId="1" applyFont="1" applyFill="1" applyAlignment="1"/>
    <xf numFmtId="0" fontId="8" fillId="0" borderId="0" xfId="0" applyFont="1" applyFill="1"/>
    <xf numFmtId="41" fontId="8" fillId="0" borderId="0" xfId="1" applyNumberFormat="1" applyFont="1" applyFill="1" applyAlignment="1"/>
    <xf numFmtId="0" fontId="8" fillId="0" borderId="0" xfId="0" applyFont="1" applyFill="1" applyAlignment="1">
      <alignment horizontal="center"/>
    </xf>
    <xf numFmtId="164" fontId="8" fillId="0" borderId="0" xfId="1" applyNumberFormat="1" applyFont="1" applyFill="1" applyAlignment="1"/>
    <xf numFmtId="17" fontId="8" fillId="0" borderId="0" xfId="0" applyNumberFormat="1" applyFont="1" applyFill="1" applyAlignment="1">
      <alignment horizontal="center"/>
    </xf>
    <xf numFmtId="43" fontId="8" fillId="0" borderId="0" xfId="1" applyFont="1" applyFill="1"/>
    <xf numFmtId="0" fontId="6" fillId="0" borderId="0" xfId="0" applyFont="1" applyFill="1" applyAlignment="1">
      <alignment horizontal="center"/>
    </xf>
    <xf numFmtId="17" fontId="0" fillId="0" borderId="0" xfId="0" quotePrefix="1" applyNumberFormat="1" applyFill="1" applyAlignment="1">
      <alignment horizontal="center"/>
    </xf>
    <xf numFmtId="0" fontId="8" fillId="0" borderId="0" xfId="0" applyFont="1"/>
    <xf numFmtId="43" fontId="8" fillId="0" borderId="0" xfId="1" applyFont="1"/>
    <xf numFmtId="0" fontId="0" fillId="0" borderId="2" xfId="0" applyBorder="1" applyAlignment="1">
      <alignment horizontal="center"/>
    </xf>
    <xf numFmtId="0" fontId="0" fillId="0" borderId="3" xfId="0" applyBorder="1"/>
    <xf numFmtId="43" fontId="0" fillId="0" borderId="3" xfId="0" applyNumberFormat="1" applyBorder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1" applyNumberFormat="1" applyFont="1" applyAlignment="1"/>
    <xf numFmtId="43" fontId="2" fillId="0" borderId="0" xfId="1" applyFont="1"/>
    <xf numFmtId="0" fontId="0" fillId="7" borderId="0" xfId="0" applyFill="1"/>
    <xf numFmtId="43" fontId="0" fillId="7" borderId="0" xfId="1" applyFont="1" applyFill="1"/>
    <xf numFmtId="164" fontId="1" fillId="3" borderId="0" xfId="1" applyNumberFormat="1" applyFont="1" applyFill="1" applyAlignment="1">
      <alignment horizontal="left" wrapText="1"/>
    </xf>
    <xf numFmtId="43" fontId="1" fillId="7" borderId="4" xfId="1" applyFont="1" applyFill="1" applyBorder="1"/>
    <xf numFmtId="0" fontId="0" fillId="7" borderId="4" xfId="0" applyFill="1" applyBorder="1"/>
    <xf numFmtId="0" fontId="9" fillId="0" borderId="0" xfId="0" applyFont="1" applyAlignment="1">
      <alignment horizontal="left"/>
    </xf>
    <xf numFmtId="164" fontId="0" fillId="8" borderId="0" xfId="1" applyNumberFormat="1" applyFont="1" applyFill="1" applyAlignment="1"/>
    <xf numFmtId="17" fontId="0" fillId="8" borderId="0" xfId="0" applyNumberFormat="1" applyFill="1" applyAlignment="1">
      <alignment horizontal="center"/>
    </xf>
    <xf numFmtId="164" fontId="1" fillId="3" borderId="0" xfId="1" applyNumberFormat="1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7"/>
  <sheetViews>
    <sheetView tabSelected="1" zoomScale="91" zoomScaleNormal="91" workbookViewId="0">
      <selection activeCell="F5" sqref="F5"/>
    </sheetView>
  </sheetViews>
  <sheetFormatPr defaultRowHeight="14.4" x14ac:dyDescent="0.3"/>
  <cols>
    <col min="1" max="1" width="8.88671875" style="6"/>
    <col min="2" max="2" width="41.5546875" bestFit="1" customWidth="1"/>
    <col min="3" max="3" width="27" customWidth="1"/>
    <col min="4" max="4" width="18.109375" style="9" customWidth="1"/>
    <col min="5" max="6" width="19.109375" style="6" customWidth="1"/>
    <col min="7" max="7" width="17.33203125" customWidth="1"/>
    <col min="8" max="11" width="12.77734375" customWidth="1"/>
    <col min="12" max="12" width="12.33203125" customWidth="1"/>
    <col min="13" max="13" width="12.109375" bestFit="1" customWidth="1"/>
    <col min="14" max="14" width="10" bestFit="1" customWidth="1"/>
    <col min="15" max="15" width="12.109375" bestFit="1" customWidth="1"/>
    <col min="16" max="16" width="2.21875" customWidth="1"/>
    <col min="17" max="17" width="17.88671875" style="11" customWidth="1"/>
    <col min="18" max="18" width="4.21875" customWidth="1"/>
    <col min="19" max="19" width="10.5546875" customWidth="1"/>
    <col min="21" max="21" width="19.21875" style="11" customWidth="1"/>
  </cols>
  <sheetData>
    <row r="1" spans="1:21" x14ac:dyDescent="0.3">
      <c r="A1" s="67" t="s">
        <v>109</v>
      </c>
    </row>
    <row r="3" spans="1:21" ht="28.8" x14ac:dyDescent="0.3">
      <c r="A3" s="23"/>
      <c r="B3" s="3"/>
      <c r="C3" s="3"/>
      <c r="D3" s="70" t="s">
        <v>38</v>
      </c>
      <c r="E3" s="4" t="s">
        <v>39</v>
      </c>
      <c r="F3" s="4" t="s">
        <v>111</v>
      </c>
      <c r="G3" s="10">
        <v>44835</v>
      </c>
      <c r="H3" s="10">
        <v>44866</v>
      </c>
      <c r="I3" s="10">
        <v>44896</v>
      </c>
      <c r="J3" s="10">
        <v>44927</v>
      </c>
      <c r="K3" s="10">
        <v>44958</v>
      </c>
      <c r="L3" s="10">
        <v>44986</v>
      </c>
      <c r="M3" s="10">
        <v>45017</v>
      </c>
      <c r="N3" s="10">
        <v>45047</v>
      </c>
      <c r="O3" s="10">
        <v>45078</v>
      </c>
      <c r="P3" s="62"/>
      <c r="Q3" s="64" t="s">
        <v>108</v>
      </c>
    </row>
    <row r="4" spans="1:21" x14ac:dyDescent="0.3">
      <c r="A4" s="5"/>
      <c r="B4" s="2" t="s">
        <v>48</v>
      </c>
      <c r="C4" s="1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2"/>
      <c r="Q4" s="5"/>
    </row>
    <row r="5" spans="1:21" x14ac:dyDescent="0.3">
      <c r="A5" s="6">
        <v>1</v>
      </c>
      <c r="B5" t="s">
        <v>37</v>
      </c>
      <c r="C5" s="18" t="s">
        <v>21</v>
      </c>
      <c r="D5" s="68">
        <v>6261284.4500000002</v>
      </c>
      <c r="E5" s="69">
        <v>44805</v>
      </c>
      <c r="F5" s="69"/>
      <c r="G5" s="11">
        <v>300000</v>
      </c>
      <c r="H5" s="11">
        <v>300000</v>
      </c>
      <c r="I5" s="11">
        <v>300000</v>
      </c>
      <c r="J5" s="11">
        <v>300000</v>
      </c>
      <c r="K5" s="11">
        <v>300000</v>
      </c>
      <c r="L5" s="11">
        <v>300000</v>
      </c>
      <c r="P5" s="62"/>
      <c r="Q5" s="11">
        <f>SUM(D5,G5:O5)</f>
        <v>8061284.4500000002</v>
      </c>
    </row>
    <row r="6" spans="1:21" x14ac:dyDescent="0.3">
      <c r="A6" s="6">
        <v>2</v>
      </c>
      <c r="B6" t="s">
        <v>42</v>
      </c>
      <c r="C6" s="18" t="s">
        <v>13</v>
      </c>
      <c r="D6" s="41">
        <v>24037180.342</v>
      </c>
      <c r="E6" s="25">
        <v>44805</v>
      </c>
      <c r="F6" s="25"/>
      <c r="G6" s="11">
        <f>25000*U29</f>
        <v>96250</v>
      </c>
      <c r="H6" s="11">
        <v>96250</v>
      </c>
      <c r="I6" s="11">
        <v>96250</v>
      </c>
      <c r="J6" s="16">
        <v>96250</v>
      </c>
      <c r="K6" s="16">
        <v>96250</v>
      </c>
      <c r="L6" s="16">
        <v>96250</v>
      </c>
      <c r="M6" s="18"/>
      <c r="P6" s="62"/>
      <c r="Q6" s="11">
        <f>SUM(D6,G6:O6)</f>
        <v>24614680.342</v>
      </c>
      <c r="S6" s="17"/>
      <c r="T6" t="s">
        <v>98</v>
      </c>
      <c r="U6"/>
    </row>
    <row r="7" spans="1:21" x14ac:dyDescent="0.3">
      <c r="A7" s="34">
        <v>3</v>
      </c>
      <c r="B7" s="18" t="s">
        <v>46</v>
      </c>
      <c r="C7" s="18" t="s">
        <v>28</v>
      </c>
      <c r="D7" s="35">
        <v>1547194</v>
      </c>
      <c r="E7" s="25">
        <v>44835</v>
      </c>
      <c r="F7" s="25"/>
      <c r="G7" s="18"/>
      <c r="H7" s="13">
        <v>215750</v>
      </c>
      <c r="I7" s="13">
        <v>215750</v>
      </c>
      <c r="J7" s="13">
        <v>215750</v>
      </c>
      <c r="K7" s="13">
        <v>215750</v>
      </c>
      <c r="L7" s="13">
        <v>215750</v>
      </c>
      <c r="P7" s="62"/>
      <c r="Q7" s="11">
        <f>SUM(D7,G7:O7)</f>
        <v>2625944</v>
      </c>
      <c r="U7"/>
    </row>
    <row r="8" spans="1:21" x14ac:dyDescent="0.3">
      <c r="A8" s="34">
        <v>4</v>
      </c>
      <c r="B8" s="18" t="s">
        <v>44</v>
      </c>
      <c r="C8" s="18" t="s">
        <v>24</v>
      </c>
      <c r="D8" s="35">
        <v>194800</v>
      </c>
      <c r="E8" s="25">
        <v>44805</v>
      </c>
      <c r="F8" s="25"/>
      <c r="G8" s="13">
        <f>35000</f>
        <v>35000</v>
      </c>
      <c r="H8" s="13">
        <f>35000</f>
        <v>35000</v>
      </c>
      <c r="I8" s="13">
        <f>35000</f>
        <v>35000</v>
      </c>
      <c r="J8" s="13">
        <f>35000</f>
        <v>35000</v>
      </c>
      <c r="K8" s="13">
        <f>35000</f>
        <v>35000</v>
      </c>
      <c r="L8" s="13">
        <f>35000</f>
        <v>35000</v>
      </c>
      <c r="P8" s="62"/>
      <c r="Q8" s="11">
        <f>SUM(D8,G8:O8)</f>
        <v>404800</v>
      </c>
      <c r="U8"/>
    </row>
    <row r="9" spans="1:21" x14ac:dyDescent="0.3">
      <c r="A9" s="34">
        <v>5</v>
      </c>
      <c r="B9" s="18" t="s">
        <v>47</v>
      </c>
      <c r="C9" s="18" t="s">
        <v>22</v>
      </c>
      <c r="D9" s="35">
        <v>610064.52</v>
      </c>
      <c r="E9" s="25">
        <v>44835</v>
      </c>
      <c r="F9" s="25"/>
      <c r="G9" s="18"/>
      <c r="H9" s="13">
        <v>136000</v>
      </c>
      <c r="I9" s="13">
        <v>136000</v>
      </c>
      <c r="J9" s="13">
        <v>136000</v>
      </c>
      <c r="K9" s="13">
        <v>136000</v>
      </c>
      <c r="L9" s="13">
        <v>136000</v>
      </c>
      <c r="P9" s="62"/>
      <c r="Q9" s="11">
        <f>SUM(D9,G9:O9)</f>
        <v>1290064.52</v>
      </c>
      <c r="U9"/>
    </row>
    <row r="10" spans="1:21" x14ac:dyDescent="0.3">
      <c r="A10" s="47">
        <v>6</v>
      </c>
      <c r="B10" s="45" t="s">
        <v>45</v>
      </c>
      <c r="C10" s="45" t="s">
        <v>19</v>
      </c>
      <c r="D10" s="48">
        <f>94650+'Hotel &amp; BB'!D52</f>
        <v>266380</v>
      </c>
      <c r="E10" s="49">
        <v>44805</v>
      </c>
      <c r="F10" s="49"/>
      <c r="G10" s="50">
        <f>26350+'Hotel &amp; BB'!G52</f>
        <v>48010</v>
      </c>
      <c r="H10" s="50">
        <f>32660+35000+'Hotel &amp; BB'!H52</f>
        <v>89320</v>
      </c>
      <c r="I10" s="50">
        <f>32660+25000+27536+'Hotel &amp; BB'!I52</f>
        <v>106856</v>
      </c>
      <c r="J10" s="50">
        <f>32660+'Hotel &amp; BB'!J52</f>
        <v>54320</v>
      </c>
      <c r="K10" s="50">
        <f>32660+'Hotel &amp; BB'!K52</f>
        <v>52980</v>
      </c>
      <c r="L10" s="50">
        <f>32660+'Hotel &amp; BB'!L52</f>
        <v>63380</v>
      </c>
      <c r="P10" s="62"/>
      <c r="Q10" s="11">
        <f>SUM(D10,G10:O10)</f>
        <v>681246</v>
      </c>
      <c r="U10"/>
    </row>
    <row r="11" spans="1:21" x14ac:dyDescent="0.3">
      <c r="A11" s="34">
        <v>7</v>
      </c>
      <c r="B11" s="18" t="s">
        <v>41</v>
      </c>
      <c r="C11" s="18" t="s">
        <v>40</v>
      </c>
      <c r="D11" s="35">
        <v>150000</v>
      </c>
      <c r="E11" s="25">
        <v>44805</v>
      </c>
      <c r="F11" s="25"/>
      <c r="G11" s="13">
        <v>30000</v>
      </c>
      <c r="H11" s="13">
        <v>30000</v>
      </c>
      <c r="I11" s="13">
        <v>30000</v>
      </c>
      <c r="J11" s="13">
        <v>30000</v>
      </c>
      <c r="K11" s="13">
        <v>30000</v>
      </c>
      <c r="L11" s="13">
        <v>30000</v>
      </c>
      <c r="P11" s="62"/>
      <c r="Q11" s="11">
        <f>SUM(D11,G11:O11)</f>
        <v>330000</v>
      </c>
      <c r="U11"/>
    </row>
    <row r="12" spans="1:21" x14ac:dyDescent="0.3">
      <c r="A12" s="47">
        <v>8</v>
      </c>
      <c r="B12" s="45" t="s">
        <v>43</v>
      </c>
      <c r="C12" s="45" t="s">
        <v>14</v>
      </c>
      <c r="D12" s="46">
        <f>12084798.11+257400</f>
        <v>12342198.109999999</v>
      </c>
      <c r="E12" s="25">
        <v>44835</v>
      </c>
      <c r="F12" s="25"/>
      <c r="G12" s="18"/>
      <c r="H12" s="36">
        <v>141473.63999999998</v>
      </c>
      <c r="I12" s="36">
        <v>141473.63999999998</v>
      </c>
      <c r="J12" s="36">
        <v>141473.63999999998</v>
      </c>
      <c r="K12" s="36">
        <v>141473.63999999998</v>
      </c>
      <c r="L12" s="36">
        <f>141473.64+'Hotel &amp; BB'!L56</f>
        <v>150573.64000000001</v>
      </c>
      <c r="P12" s="62"/>
      <c r="Q12" s="11">
        <f>SUM(D12,G12:O12)</f>
        <v>13058666.310000002</v>
      </c>
      <c r="U12"/>
    </row>
    <row r="13" spans="1:21" x14ac:dyDescent="0.3">
      <c r="A13" s="47">
        <v>9</v>
      </c>
      <c r="B13" s="45" t="s">
        <v>43</v>
      </c>
      <c r="C13" s="45" t="s">
        <v>29</v>
      </c>
      <c r="D13" s="48">
        <f>197080.42+'Hotel &amp; BB'!D50</f>
        <v>1036223.0009523811</v>
      </c>
      <c r="E13" s="49">
        <v>44835</v>
      </c>
      <c r="F13" s="49"/>
      <c r="G13" s="50">
        <f>105020+'Hotel &amp; BB'!G50</f>
        <v>230740</v>
      </c>
      <c r="H13" s="50">
        <f>105020+'Hotel &amp; BB'!H50</f>
        <v>230740</v>
      </c>
      <c r="I13" s="50">
        <f>112840+'Hotel &amp; BB'!I50</f>
        <v>219560</v>
      </c>
      <c r="J13" s="50">
        <f>118360+'Hotel &amp; BB'!J50</f>
        <v>225080</v>
      </c>
      <c r="K13" s="50">
        <f>118360+'Hotel &amp; BB'!K50</f>
        <v>225080</v>
      </c>
      <c r="L13" s="50">
        <f>118360+'Hotel &amp; BB'!L50</f>
        <v>251760</v>
      </c>
      <c r="M13" s="14"/>
      <c r="O13" s="14"/>
      <c r="P13" s="62"/>
      <c r="Q13" s="11">
        <f>SUM(D13,G13:O13)</f>
        <v>2419183.0009523812</v>
      </c>
      <c r="U13"/>
    </row>
    <row r="14" spans="1:21" x14ac:dyDescent="0.3">
      <c r="A14" s="34">
        <v>10</v>
      </c>
      <c r="B14" s="18" t="s">
        <v>35</v>
      </c>
      <c r="C14" s="18" t="s">
        <v>49</v>
      </c>
      <c r="D14" s="35">
        <v>794247.91</v>
      </c>
      <c r="E14" s="25">
        <v>44805</v>
      </c>
      <c r="F14" s="25"/>
      <c r="G14" s="13">
        <v>10500</v>
      </c>
      <c r="H14" s="13">
        <v>10500</v>
      </c>
      <c r="I14" s="13">
        <v>10500</v>
      </c>
      <c r="J14" s="13">
        <v>10500</v>
      </c>
      <c r="K14" s="13">
        <v>10500</v>
      </c>
      <c r="L14" s="13">
        <v>10500</v>
      </c>
      <c r="P14" s="62"/>
      <c r="Q14" s="11">
        <f>SUM(D14,G14:O14)</f>
        <v>857247.91</v>
      </c>
      <c r="U14"/>
    </row>
    <row r="15" spans="1:21" x14ac:dyDescent="0.3">
      <c r="A15" s="34">
        <v>11</v>
      </c>
      <c r="B15" s="18" t="s">
        <v>35</v>
      </c>
      <c r="C15" s="18" t="s">
        <v>36</v>
      </c>
      <c r="D15" s="35">
        <v>4600</v>
      </c>
      <c r="E15" s="25">
        <v>44805</v>
      </c>
      <c r="F15" s="25"/>
      <c r="G15" s="13">
        <v>10500</v>
      </c>
      <c r="H15" s="13">
        <v>10500</v>
      </c>
      <c r="I15" s="13">
        <v>10500</v>
      </c>
      <c r="J15" s="13">
        <v>10500</v>
      </c>
      <c r="K15" s="13">
        <v>10500</v>
      </c>
      <c r="L15" s="13">
        <v>10500</v>
      </c>
      <c r="P15" s="62"/>
      <c r="Q15" s="11">
        <f>SUM(D15,G15:O15)</f>
        <v>67600</v>
      </c>
      <c r="U15"/>
    </row>
    <row r="16" spans="1:21" x14ac:dyDescent="0.3">
      <c r="A16" s="34">
        <v>12</v>
      </c>
      <c r="B16" s="18" t="s">
        <v>1</v>
      </c>
      <c r="C16" s="18" t="s">
        <v>16</v>
      </c>
      <c r="D16" s="35">
        <v>2112328.13</v>
      </c>
      <c r="E16" s="25">
        <v>44805</v>
      </c>
      <c r="F16" s="25"/>
      <c r="G16" s="15">
        <v>37968.75</v>
      </c>
      <c r="H16" s="15">
        <v>37968.75</v>
      </c>
      <c r="I16" s="15">
        <v>37968.75</v>
      </c>
      <c r="J16" s="15">
        <v>37968.75</v>
      </c>
      <c r="K16" s="15">
        <v>37968.75</v>
      </c>
      <c r="L16" s="15">
        <v>37968.75</v>
      </c>
      <c r="P16" s="62"/>
      <c r="Q16" s="11">
        <f>SUM(D16,G16:O16)</f>
        <v>2340140.63</v>
      </c>
      <c r="U16"/>
    </row>
    <row r="17" spans="1:21" x14ac:dyDescent="0.3">
      <c r="A17" s="51">
        <v>13</v>
      </c>
      <c r="B17" s="42" t="s">
        <v>90</v>
      </c>
      <c r="C17" s="42" t="s">
        <v>91</v>
      </c>
      <c r="D17" s="35">
        <v>180000</v>
      </c>
      <c r="E17" s="25">
        <v>44835</v>
      </c>
      <c r="F17" s="25"/>
      <c r="G17" s="43"/>
      <c r="H17" s="43">
        <v>29490</v>
      </c>
      <c r="I17" s="43">
        <v>29490</v>
      </c>
      <c r="J17" s="43">
        <v>29490</v>
      </c>
      <c r="K17" s="43">
        <v>29490</v>
      </c>
      <c r="L17" s="43">
        <v>29490</v>
      </c>
      <c r="P17" s="62"/>
      <c r="Q17" s="11">
        <f>SUM(D17,G17:O17)</f>
        <v>327450</v>
      </c>
    </row>
    <row r="18" spans="1:21" x14ac:dyDescent="0.3">
      <c r="A18" s="51">
        <v>14</v>
      </c>
      <c r="B18" s="42" t="s">
        <v>60</v>
      </c>
      <c r="C18" s="42" t="s">
        <v>55</v>
      </c>
      <c r="D18" s="35">
        <v>1100000</v>
      </c>
      <c r="E18" s="25">
        <v>44805</v>
      </c>
      <c r="F18" s="25"/>
      <c r="G18" s="43">
        <v>40000</v>
      </c>
      <c r="H18" s="43">
        <v>40000</v>
      </c>
      <c r="I18" s="43">
        <v>40000</v>
      </c>
      <c r="J18" s="43">
        <v>40000</v>
      </c>
      <c r="K18" s="43">
        <v>40000</v>
      </c>
      <c r="L18" s="43">
        <v>40000</v>
      </c>
      <c r="P18" s="62"/>
      <c r="Q18" s="11">
        <f>SUM(D18,G18:O18)</f>
        <v>1340000</v>
      </c>
    </row>
    <row r="19" spans="1:21" x14ac:dyDescent="0.3">
      <c r="A19" s="47">
        <v>15</v>
      </c>
      <c r="B19" s="45" t="s">
        <v>97</v>
      </c>
      <c r="C19" s="45" t="s">
        <v>74</v>
      </c>
      <c r="D19" s="35">
        <f>'Hotel &amp; BB'!D51</f>
        <v>674066.66666666663</v>
      </c>
      <c r="E19" s="25">
        <v>44835</v>
      </c>
      <c r="F19" s="25"/>
      <c r="G19" s="43"/>
      <c r="H19" s="43">
        <f>'Hotel &amp; BB'!H51</f>
        <v>102000</v>
      </c>
      <c r="I19" s="43">
        <f>'Hotel &amp; BB'!I51</f>
        <v>102000</v>
      </c>
      <c r="J19" s="43">
        <f>'Hotel &amp; BB'!J51</f>
        <v>102000</v>
      </c>
      <c r="K19" s="43">
        <f>'Hotel &amp; BB'!K51</f>
        <v>102000</v>
      </c>
      <c r="L19" s="43">
        <f>'Hotel &amp; BB'!L51</f>
        <v>93933.33</v>
      </c>
      <c r="P19" s="62"/>
      <c r="Q19" s="11">
        <f>SUM(D19,G19:O19)</f>
        <v>1175999.9966666666</v>
      </c>
    </row>
    <row r="20" spans="1:21" x14ac:dyDescent="0.3">
      <c r="A20" s="47">
        <v>16</v>
      </c>
      <c r="B20" s="45" t="s">
        <v>79</v>
      </c>
      <c r="C20" s="45" t="s">
        <v>78</v>
      </c>
      <c r="D20" s="35">
        <v>146480</v>
      </c>
      <c r="E20" s="25"/>
      <c r="F20" s="25"/>
      <c r="G20" s="43"/>
      <c r="H20" s="36">
        <f>'Hotel &amp; BB'!G53</f>
        <v>20000</v>
      </c>
      <c r="I20" s="36">
        <f>'Hotel &amp; BB'!H53</f>
        <v>13904</v>
      </c>
      <c r="J20" s="36">
        <f>'Hotel &amp; BB'!I53</f>
        <v>13904</v>
      </c>
      <c r="K20" s="36">
        <f>'Hotel &amp; BB'!J53</f>
        <v>13904</v>
      </c>
      <c r="L20" s="36">
        <f>'Hotel &amp; BB'!K53</f>
        <v>7808</v>
      </c>
      <c r="P20" s="62"/>
      <c r="Q20" s="11">
        <f>SUM(D20,G20:O20)</f>
        <v>216000</v>
      </c>
    </row>
    <row r="21" spans="1:21" x14ac:dyDescent="0.3">
      <c r="A21" s="5"/>
      <c r="B21" s="2" t="s">
        <v>34</v>
      </c>
      <c r="C21" s="1"/>
      <c r="D21" s="8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62"/>
      <c r="Q21" s="1"/>
      <c r="U21"/>
    </row>
    <row r="22" spans="1:21" x14ac:dyDescent="0.3">
      <c r="A22" s="6">
        <v>17</v>
      </c>
      <c r="B22" t="s">
        <v>0</v>
      </c>
      <c r="C22" s="18" t="s">
        <v>15</v>
      </c>
      <c r="D22" s="35">
        <v>257620</v>
      </c>
      <c r="E22" s="25">
        <v>44835</v>
      </c>
      <c r="F22" s="25"/>
      <c r="G22" s="18"/>
      <c r="H22" s="13">
        <v>5000</v>
      </c>
      <c r="I22" s="18"/>
      <c r="J22" s="18"/>
      <c r="K22" s="18"/>
      <c r="L22" s="18"/>
      <c r="P22" s="62"/>
      <c r="Q22" s="11">
        <f>SUM(D22,G22:O22)</f>
        <v>262620</v>
      </c>
      <c r="U22"/>
    </row>
    <row r="23" spans="1:21" x14ac:dyDescent="0.3">
      <c r="A23" s="6">
        <v>18</v>
      </c>
      <c r="B23" t="s">
        <v>4</v>
      </c>
      <c r="C23" s="18" t="s">
        <v>20</v>
      </c>
      <c r="D23" s="35">
        <v>0</v>
      </c>
      <c r="E23" s="37" t="s">
        <v>54</v>
      </c>
      <c r="F23" s="37"/>
      <c r="G23" s="18"/>
      <c r="H23" s="13">
        <v>20000</v>
      </c>
      <c r="I23" s="13">
        <v>20000</v>
      </c>
      <c r="J23" s="13">
        <v>10000</v>
      </c>
      <c r="K23" s="18"/>
      <c r="L23" s="18"/>
      <c r="P23" s="62"/>
      <c r="Q23" s="11">
        <f>SUM(D23,G23:O23)</f>
        <v>50000</v>
      </c>
      <c r="U23"/>
    </row>
    <row r="24" spans="1:21" x14ac:dyDescent="0.3">
      <c r="A24" s="6">
        <v>19</v>
      </c>
      <c r="B24" t="s">
        <v>2</v>
      </c>
      <c r="C24" s="18" t="s">
        <v>17</v>
      </c>
      <c r="D24" s="35">
        <v>151110</v>
      </c>
      <c r="E24" s="34"/>
      <c r="F24" s="34"/>
      <c r="G24" s="18"/>
      <c r="H24" s="18"/>
      <c r="I24" s="18"/>
      <c r="J24" s="18"/>
      <c r="K24" s="13">
        <v>47080</v>
      </c>
      <c r="L24" s="18"/>
      <c r="P24" s="62"/>
      <c r="Q24" s="11">
        <f>SUM(D24,G24:O24)</f>
        <v>198190</v>
      </c>
      <c r="U24"/>
    </row>
    <row r="25" spans="1:21" x14ac:dyDescent="0.3">
      <c r="A25" s="6">
        <v>20</v>
      </c>
      <c r="B25" t="s">
        <v>5</v>
      </c>
      <c r="C25" s="18" t="s">
        <v>23</v>
      </c>
      <c r="D25" s="35">
        <v>44250</v>
      </c>
      <c r="E25" s="25">
        <v>44835</v>
      </c>
      <c r="F25" s="25"/>
      <c r="G25" s="18"/>
      <c r="H25" s="13">
        <v>20000</v>
      </c>
      <c r="I25" s="13">
        <v>20000</v>
      </c>
      <c r="J25" s="13">
        <v>20000</v>
      </c>
      <c r="K25" s="13">
        <v>12220</v>
      </c>
      <c r="L25" s="13"/>
      <c r="P25" s="62"/>
      <c r="Q25" s="11">
        <f>SUM(D25,G25:O25)</f>
        <v>116470</v>
      </c>
      <c r="U25"/>
    </row>
    <row r="26" spans="1:21" x14ac:dyDescent="0.3">
      <c r="A26" s="6">
        <v>21</v>
      </c>
      <c r="B26" t="s">
        <v>6</v>
      </c>
      <c r="C26" s="18" t="s">
        <v>25</v>
      </c>
      <c r="D26" s="35">
        <v>287600</v>
      </c>
      <c r="E26" s="25">
        <v>44835</v>
      </c>
      <c r="F26" s="25"/>
      <c r="G26" s="18"/>
      <c r="H26" s="13">
        <v>131400</v>
      </c>
      <c r="I26" s="13">
        <v>50000</v>
      </c>
      <c r="J26" s="13">
        <v>50000</v>
      </c>
      <c r="K26" s="13">
        <v>50000</v>
      </c>
      <c r="L26" s="13">
        <v>45000</v>
      </c>
      <c r="P26" s="62"/>
      <c r="Q26" s="11">
        <f>SUM(D26,G26:O26)</f>
        <v>614000</v>
      </c>
      <c r="U26"/>
    </row>
    <row r="27" spans="1:21" x14ac:dyDescent="0.3">
      <c r="A27" s="6">
        <v>22</v>
      </c>
      <c r="B27" t="s">
        <v>7</v>
      </c>
      <c r="C27" s="18" t="s">
        <v>26</v>
      </c>
      <c r="D27" s="35">
        <v>78072</v>
      </c>
      <c r="E27" s="25">
        <v>44805</v>
      </c>
      <c r="F27" s="25"/>
      <c r="G27" s="13"/>
      <c r="H27" s="13">
        <v>12500</v>
      </c>
      <c r="I27" s="13">
        <v>12500</v>
      </c>
      <c r="J27" s="13">
        <v>12500</v>
      </c>
      <c r="K27" s="13">
        <v>12500</v>
      </c>
      <c r="L27" s="13">
        <v>12500</v>
      </c>
      <c r="P27" s="62"/>
      <c r="Q27" s="11">
        <f>SUM(D27,G27:O27)</f>
        <v>140572</v>
      </c>
      <c r="T27" t="s">
        <v>50</v>
      </c>
      <c r="U27"/>
    </row>
    <row r="28" spans="1:21" x14ac:dyDescent="0.3">
      <c r="A28" s="6">
        <v>23</v>
      </c>
      <c r="B28" t="s">
        <v>8</v>
      </c>
      <c r="C28" s="18" t="s">
        <v>27</v>
      </c>
      <c r="D28" s="35">
        <v>27275</v>
      </c>
      <c r="E28" s="25">
        <v>44835</v>
      </c>
      <c r="F28" s="25"/>
      <c r="G28" s="18"/>
      <c r="H28" s="36">
        <v>36560</v>
      </c>
      <c r="I28" s="13">
        <v>36560</v>
      </c>
      <c r="J28" s="13">
        <v>36560</v>
      </c>
      <c r="K28" s="13">
        <v>36560</v>
      </c>
      <c r="L28" s="13">
        <v>36560</v>
      </c>
      <c r="P28" s="62"/>
      <c r="Q28" s="11">
        <f>SUM(D28,G28:O28)</f>
        <v>210075</v>
      </c>
      <c r="T28" s="12" t="s">
        <v>51</v>
      </c>
      <c r="U28" s="12">
        <v>4.45</v>
      </c>
    </row>
    <row r="29" spans="1:21" x14ac:dyDescent="0.3">
      <c r="A29" s="6">
        <v>24</v>
      </c>
      <c r="B29" t="s">
        <v>9</v>
      </c>
      <c r="C29" s="20" t="s">
        <v>30</v>
      </c>
      <c r="D29" s="38">
        <f>325000+50000</f>
        <v>375000</v>
      </c>
      <c r="E29" s="39">
        <v>44835</v>
      </c>
      <c r="F29" s="39"/>
      <c r="G29" s="20"/>
      <c r="H29" s="40">
        <v>81250</v>
      </c>
      <c r="I29" s="40">
        <v>162500</v>
      </c>
      <c r="J29" s="40">
        <v>162500</v>
      </c>
      <c r="K29" s="20"/>
      <c r="L29" s="20"/>
      <c r="P29" s="62"/>
      <c r="Q29" s="11">
        <f>SUM(D29,G29:O29)</f>
        <v>781250</v>
      </c>
      <c r="T29" s="12" t="s">
        <v>52</v>
      </c>
      <c r="U29" s="12">
        <v>3.85</v>
      </c>
    </row>
    <row r="30" spans="1:21" x14ac:dyDescent="0.3">
      <c r="A30" s="6">
        <v>25</v>
      </c>
      <c r="B30" t="s">
        <v>10</v>
      </c>
      <c r="C30" s="18" t="s">
        <v>31</v>
      </c>
      <c r="D30" s="35">
        <v>18600</v>
      </c>
      <c r="E30" s="25">
        <v>44805</v>
      </c>
      <c r="F30" s="25"/>
      <c r="G30" s="18"/>
      <c r="H30" s="13">
        <v>13950</v>
      </c>
      <c r="I30" s="18"/>
      <c r="J30" s="13">
        <v>13950</v>
      </c>
      <c r="K30" s="18"/>
      <c r="L30" s="18"/>
      <c r="P30" s="62"/>
      <c r="Q30" s="11">
        <f>SUM(D30,G30:O30)</f>
        <v>46500</v>
      </c>
      <c r="T30" s="12" t="s">
        <v>53</v>
      </c>
      <c r="U30" s="12">
        <v>3.6760000000000002</v>
      </c>
    </row>
    <row r="31" spans="1:21" x14ac:dyDescent="0.3">
      <c r="A31" s="6">
        <v>26</v>
      </c>
      <c r="B31" t="s">
        <v>11</v>
      </c>
      <c r="C31" s="18" t="s">
        <v>32</v>
      </c>
      <c r="D31" s="35">
        <v>169400</v>
      </c>
      <c r="E31" s="25">
        <v>44835</v>
      </c>
      <c r="F31" s="25"/>
      <c r="G31" s="18"/>
      <c r="H31" s="13"/>
      <c r="I31" s="36">
        <v>84700</v>
      </c>
      <c r="J31" s="18"/>
      <c r="K31" s="36">
        <v>84700</v>
      </c>
      <c r="L31" s="18"/>
      <c r="P31" s="62"/>
      <c r="Q31" s="11">
        <f>SUM(D31,G31:O31)</f>
        <v>338800</v>
      </c>
      <c r="U31" s="20">
        <v>1</v>
      </c>
    </row>
    <row r="32" spans="1:21" x14ac:dyDescent="0.3">
      <c r="A32" s="6">
        <v>27</v>
      </c>
      <c r="B32" t="s">
        <v>12</v>
      </c>
      <c r="C32" s="18" t="s">
        <v>33</v>
      </c>
      <c r="D32" s="35">
        <v>17414.25</v>
      </c>
      <c r="E32" s="25">
        <v>44835</v>
      </c>
      <c r="F32" s="25"/>
      <c r="G32" s="18"/>
      <c r="H32" s="18"/>
      <c r="I32" s="36">
        <v>15755.75</v>
      </c>
      <c r="J32" s="18"/>
      <c r="K32" s="18"/>
      <c r="L32" s="18"/>
      <c r="P32" s="62"/>
      <c r="Q32" s="11">
        <f>SUM(D32,G32:O32)</f>
        <v>33170</v>
      </c>
    </row>
    <row r="33" spans="1:21" x14ac:dyDescent="0.3">
      <c r="A33" s="6">
        <v>28</v>
      </c>
      <c r="B33" t="s">
        <v>67</v>
      </c>
      <c r="C33" s="18" t="s">
        <v>89</v>
      </c>
      <c r="D33" s="35">
        <v>1648076.5</v>
      </c>
      <c r="E33" s="25">
        <v>44835</v>
      </c>
      <c r="F33" s="25"/>
      <c r="G33" s="18"/>
      <c r="H33" s="16">
        <v>50000</v>
      </c>
      <c r="I33" s="16">
        <v>50000</v>
      </c>
      <c r="J33" s="16">
        <v>50000</v>
      </c>
      <c r="K33" s="16">
        <v>50000</v>
      </c>
      <c r="L33" s="16">
        <v>50000</v>
      </c>
      <c r="P33" s="62"/>
      <c r="Q33" s="11">
        <f>SUM(D33,G33:O33)</f>
        <v>1898076.5</v>
      </c>
    </row>
    <row r="34" spans="1:21" x14ac:dyDescent="0.3">
      <c r="A34" s="6">
        <v>29</v>
      </c>
      <c r="B34" t="s">
        <v>3</v>
      </c>
      <c r="C34" s="18" t="s">
        <v>18</v>
      </c>
      <c r="D34" s="35">
        <v>1594892.9200000002</v>
      </c>
      <c r="E34" s="25">
        <v>44805</v>
      </c>
      <c r="F34" s="25"/>
      <c r="G34" s="13">
        <v>42460</v>
      </c>
      <c r="H34" s="13">
        <v>42460</v>
      </c>
      <c r="I34" s="13">
        <v>42460</v>
      </c>
      <c r="J34" s="13">
        <v>42460</v>
      </c>
      <c r="K34" s="13">
        <v>42460</v>
      </c>
      <c r="L34" s="13">
        <v>345730</v>
      </c>
      <c r="M34" s="13">
        <v>750090</v>
      </c>
      <c r="N34" s="13"/>
      <c r="O34" s="13">
        <v>207880</v>
      </c>
      <c r="P34" s="62"/>
      <c r="Q34" s="11">
        <f>SUM(D34,G34:O34)</f>
        <v>3110892.92</v>
      </c>
    </row>
    <row r="35" spans="1:21" x14ac:dyDescent="0.3">
      <c r="A35" s="6">
        <v>30</v>
      </c>
      <c r="B35" s="21" t="s">
        <v>86</v>
      </c>
      <c r="C35" s="42" t="s">
        <v>68</v>
      </c>
      <c r="D35" s="35"/>
      <c r="E35" s="34"/>
      <c r="F35" s="34"/>
      <c r="G35" s="18"/>
      <c r="H35" s="18"/>
      <c r="I35" s="36">
        <v>27500</v>
      </c>
      <c r="J35" s="18"/>
      <c r="K35" s="36">
        <v>27500</v>
      </c>
      <c r="L35" s="18"/>
      <c r="P35" s="62"/>
      <c r="Q35" s="11">
        <f>SUM(D35,G35:O35)</f>
        <v>55000</v>
      </c>
    </row>
    <row r="36" spans="1:21" x14ac:dyDescent="0.3">
      <c r="A36" s="6">
        <v>31</v>
      </c>
      <c r="B36" s="21" t="s">
        <v>62</v>
      </c>
      <c r="C36" s="42" t="s">
        <v>56</v>
      </c>
      <c r="D36" s="35">
        <v>228600</v>
      </c>
      <c r="E36" s="25">
        <v>44835</v>
      </c>
      <c r="F36" s="25"/>
      <c r="G36" s="43"/>
      <c r="H36" s="43"/>
      <c r="I36" s="43"/>
      <c r="J36" s="43">
        <v>55000</v>
      </c>
      <c r="K36" s="43"/>
      <c r="L36" s="43">
        <v>55000</v>
      </c>
      <c r="P36" s="62"/>
      <c r="Q36" s="11">
        <f>SUM(D36,G36:O36)</f>
        <v>338600</v>
      </c>
    </row>
    <row r="37" spans="1:21" x14ac:dyDescent="0.3">
      <c r="A37" s="6">
        <v>32</v>
      </c>
      <c r="B37" s="21" t="s">
        <v>63</v>
      </c>
      <c r="C37" s="42" t="s">
        <v>66</v>
      </c>
      <c r="D37" s="44">
        <f>101131.25*U28</f>
        <v>450034.0625</v>
      </c>
      <c r="E37" s="25">
        <v>44835</v>
      </c>
      <c r="F37" s="25"/>
      <c r="G37" s="43"/>
      <c r="H37" s="43">
        <v>237843.2262</v>
      </c>
      <c r="I37" s="43">
        <v>237843.2262</v>
      </c>
      <c r="J37" s="43">
        <v>237843.2262</v>
      </c>
      <c r="K37" s="43">
        <v>237843.2262</v>
      </c>
      <c r="L37" s="43">
        <v>237843.2262</v>
      </c>
      <c r="P37" s="62"/>
      <c r="Q37" s="11">
        <f>SUM(D37,G37:O37)</f>
        <v>1639250.1934999998</v>
      </c>
    </row>
    <row r="38" spans="1:21" x14ac:dyDescent="0.3">
      <c r="A38" s="6">
        <v>33</v>
      </c>
      <c r="B38" s="22" t="s">
        <v>92</v>
      </c>
      <c r="C38" s="21" t="s">
        <v>58</v>
      </c>
      <c r="D38" s="9">
        <v>20000</v>
      </c>
      <c r="E38" s="19">
        <v>44835</v>
      </c>
      <c r="F38" s="19"/>
      <c r="G38" s="24">
        <v>0</v>
      </c>
      <c r="H38" s="24">
        <v>20000</v>
      </c>
      <c r="I38" s="24">
        <v>0</v>
      </c>
      <c r="J38" s="24">
        <v>0</v>
      </c>
      <c r="K38" s="24">
        <v>0</v>
      </c>
      <c r="L38" s="24">
        <v>0</v>
      </c>
      <c r="P38" s="62"/>
      <c r="Q38" s="11">
        <f>SUM(D38,G38:O38)</f>
        <v>40000</v>
      </c>
    </row>
    <row r="39" spans="1:21" x14ac:dyDescent="0.3">
      <c r="A39" s="31"/>
      <c r="B39" s="31"/>
      <c r="C39" s="31" t="s">
        <v>88</v>
      </c>
      <c r="D39" s="32"/>
      <c r="E39" s="33"/>
      <c r="F39" s="33"/>
      <c r="G39" s="31"/>
      <c r="H39" s="31"/>
      <c r="I39" s="31"/>
      <c r="J39" s="31"/>
      <c r="K39" s="31"/>
      <c r="L39" s="31"/>
      <c r="M39" s="31"/>
      <c r="N39" s="31"/>
      <c r="O39" s="31"/>
      <c r="P39" s="62"/>
      <c r="Q39" s="31"/>
    </row>
    <row r="40" spans="1:21" x14ac:dyDescent="0.3">
      <c r="A40" s="6">
        <v>34</v>
      </c>
      <c r="B40" s="22" t="s">
        <v>64</v>
      </c>
      <c r="C40" s="21" t="s">
        <v>87</v>
      </c>
      <c r="D40" s="9">
        <f>5500*U30</f>
        <v>20218</v>
      </c>
      <c r="E40" s="19">
        <v>44835</v>
      </c>
      <c r="F40" s="19"/>
      <c r="G40" s="24"/>
      <c r="H40" s="24">
        <v>42274</v>
      </c>
      <c r="I40" s="24"/>
      <c r="J40" s="24">
        <v>42274</v>
      </c>
      <c r="K40" s="24"/>
      <c r="L40" s="24">
        <v>42274</v>
      </c>
      <c r="P40" s="62"/>
      <c r="Q40" s="11">
        <f>SUM(D40,G40:O40)</f>
        <v>147040</v>
      </c>
    </row>
    <row r="41" spans="1:21" x14ac:dyDescent="0.3">
      <c r="A41" s="6">
        <v>35</v>
      </c>
      <c r="B41" s="22" t="s">
        <v>61</v>
      </c>
      <c r="C41" s="21" t="s">
        <v>57</v>
      </c>
      <c r="D41" s="9">
        <v>35415</v>
      </c>
      <c r="E41" s="19">
        <v>44835</v>
      </c>
      <c r="F41" s="19"/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P41" s="62"/>
      <c r="Q41" s="11">
        <f>SUM(D41,G41:O41)</f>
        <v>35415</v>
      </c>
    </row>
    <row r="42" spans="1:21" x14ac:dyDescent="0.3">
      <c r="A42" s="6">
        <v>36</v>
      </c>
      <c r="B42" s="22" t="s">
        <v>65</v>
      </c>
      <c r="C42" s="21" t="s">
        <v>59</v>
      </c>
      <c r="D42" s="9">
        <v>31758</v>
      </c>
      <c r="E42" s="19">
        <v>44835</v>
      </c>
      <c r="F42" s="19"/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P42" s="62"/>
      <c r="Q42" s="11">
        <f>SUM(D42,G42:O42)</f>
        <v>31758</v>
      </c>
    </row>
    <row r="43" spans="1:21" x14ac:dyDescent="0.3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5">
        <f>SUM(Q5:Q42)</f>
        <v>69897986.773119047</v>
      </c>
    </row>
    <row r="44" spans="1:21" x14ac:dyDescent="0.3">
      <c r="Q44"/>
    </row>
    <row r="45" spans="1:21" x14ac:dyDescent="0.3">
      <c r="Q45"/>
    </row>
    <row r="46" spans="1:21" x14ac:dyDescent="0.3">
      <c r="A46" s="67" t="s">
        <v>110</v>
      </c>
    </row>
    <row r="47" spans="1:21" s="59" customFormat="1" x14ac:dyDescent="0.3">
      <c r="A47" s="58"/>
      <c r="D47" s="60"/>
      <c r="E47" s="58"/>
      <c r="F47" s="58"/>
      <c r="U47" s="61"/>
    </row>
    <row r="48" spans="1:21" ht="28.8" x14ac:dyDescent="0.3">
      <c r="A48" s="7"/>
      <c r="B48" s="7" t="s">
        <v>70</v>
      </c>
      <c r="C48" s="7" t="s">
        <v>71</v>
      </c>
      <c r="D48" s="7" t="s">
        <v>38</v>
      </c>
      <c r="E48" s="4" t="s">
        <v>39</v>
      </c>
      <c r="F48" s="4"/>
      <c r="G48" s="10">
        <v>44835</v>
      </c>
      <c r="H48" s="10">
        <v>44866</v>
      </c>
      <c r="I48" s="10">
        <v>44896</v>
      </c>
      <c r="J48" s="10">
        <v>44927</v>
      </c>
      <c r="K48" s="10">
        <v>44958</v>
      </c>
      <c r="L48" s="10">
        <v>44986</v>
      </c>
      <c r="M48" s="10">
        <v>45017</v>
      </c>
      <c r="N48" s="10">
        <v>45047</v>
      </c>
      <c r="O48" s="10">
        <v>45078</v>
      </c>
      <c r="P48" s="62"/>
      <c r="Q48" s="64" t="s">
        <v>108</v>
      </c>
      <c r="U48"/>
    </row>
    <row r="49" spans="1:21" x14ac:dyDescent="0.3">
      <c r="A49" s="5"/>
      <c r="B49" s="2" t="s">
        <v>48</v>
      </c>
      <c r="C49" s="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63"/>
      <c r="Q49" s="5"/>
      <c r="T49" s="11"/>
      <c r="U49"/>
    </row>
    <row r="50" spans="1:21" x14ac:dyDescent="0.3">
      <c r="A50"/>
      <c r="B50" s="53" t="s">
        <v>29</v>
      </c>
      <c r="C50" s="53" t="s">
        <v>73</v>
      </c>
      <c r="D50" s="50">
        <v>839142.58095238102</v>
      </c>
      <c r="E50" s="49">
        <v>44826</v>
      </c>
      <c r="F50" s="49"/>
      <c r="G50" s="50">
        <v>125720</v>
      </c>
      <c r="H50" s="50">
        <v>125720</v>
      </c>
      <c r="I50" s="50">
        <v>106720</v>
      </c>
      <c r="J50" s="50">
        <v>106720</v>
      </c>
      <c r="K50" s="50">
        <v>106720</v>
      </c>
      <c r="L50" s="50">
        <f>80040+53360</f>
        <v>133400</v>
      </c>
      <c r="M50" s="11"/>
      <c r="P50" s="62"/>
      <c r="Q50" s="11">
        <f>SUM(D50,G50:O50)</f>
        <v>1544142.580952381</v>
      </c>
      <c r="U50"/>
    </row>
    <row r="51" spans="1:21" x14ac:dyDescent="0.3">
      <c r="A51"/>
      <c r="B51" s="53" t="s">
        <v>74</v>
      </c>
      <c r="C51" s="53" t="s">
        <v>75</v>
      </c>
      <c r="D51" s="50">
        <v>674066.66666666663</v>
      </c>
      <c r="E51" s="49">
        <v>44826</v>
      </c>
      <c r="F51" s="49"/>
      <c r="G51" s="50">
        <v>102000</v>
      </c>
      <c r="H51" s="50">
        <v>102000</v>
      </c>
      <c r="I51" s="50">
        <v>102000</v>
      </c>
      <c r="J51" s="50">
        <v>102000</v>
      </c>
      <c r="K51" s="50">
        <v>102000</v>
      </c>
      <c r="L51" s="50">
        <f>51000+42933.33</f>
        <v>93933.33</v>
      </c>
      <c r="M51" s="11"/>
      <c r="P51" s="62"/>
      <c r="Q51" s="11">
        <f>SUM(D51,G51:O51)</f>
        <v>1277999.9966666666</v>
      </c>
      <c r="U51"/>
    </row>
    <row r="52" spans="1:21" x14ac:dyDescent="0.3">
      <c r="A52"/>
      <c r="B52" s="53" t="s">
        <v>76</v>
      </c>
      <c r="C52" s="53" t="s">
        <v>77</v>
      </c>
      <c r="D52" s="50">
        <v>171730</v>
      </c>
      <c r="E52" s="49">
        <v>44826</v>
      </c>
      <c r="F52" s="49"/>
      <c r="G52" s="50">
        <v>21660</v>
      </c>
      <c r="H52" s="50">
        <v>21660</v>
      </c>
      <c r="I52" s="50">
        <v>21660</v>
      </c>
      <c r="J52" s="50">
        <v>21660</v>
      </c>
      <c r="K52" s="50">
        <v>20320</v>
      </c>
      <c r="L52" s="50">
        <f>20320+10400</f>
        <v>30720</v>
      </c>
      <c r="M52" s="11"/>
      <c r="P52" s="62"/>
      <c r="Q52" s="11">
        <f>SUM(D52,G52:O52)</f>
        <v>309410</v>
      </c>
      <c r="U52"/>
    </row>
    <row r="53" spans="1:21" x14ac:dyDescent="0.3">
      <c r="A53"/>
      <c r="B53" s="53" t="s">
        <v>78</v>
      </c>
      <c r="C53" s="53" t="s">
        <v>79</v>
      </c>
      <c r="D53" s="50">
        <v>146480</v>
      </c>
      <c r="E53" s="49">
        <v>44826</v>
      </c>
      <c r="F53" s="49"/>
      <c r="G53" s="50">
        <v>20000</v>
      </c>
      <c r="H53" s="50">
        <v>13904</v>
      </c>
      <c r="I53" s="50">
        <v>13904</v>
      </c>
      <c r="J53" s="50">
        <v>13904</v>
      </c>
      <c r="K53" s="50">
        <v>7808</v>
      </c>
      <c r="L53" s="50"/>
      <c r="M53" s="11"/>
      <c r="P53" s="62"/>
      <c r="Q53" s="11">
        <f>SUM(D53,G53:O53)</f>
        <v>216000</v>
      </c>
      <c r="U53"/>
    </row>
    <row r="54" spans="1:21" x14ac:dyDescent="0.3">
      <c r="A54"/>
      <c r="B54" t="s">
        <v>30</v>
      </c>
      <c r="C54" t="s">
        <v>80</v>
      </c>
      <c r="D54" s="13">
        <v>50000</v>
      </c>
      <c r="E54" s="25">
        <v>44826</v>
      </c>
      <c r="F54" s="25"/>
      <c r="G54" s="13"/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1"/>
      <c r="P54" s="62"/>
      <c r="Q54" s="11">
        <f>SUM(D54,G54:O54)</f>
        <v>50000</v>
      </c>
      <c r="U54"/>
    </row>
    <row r="55" spans="1:21" x14ac:dyDescent="0.3">
      <c r="A55"/>
      <c r="B55" t="s">
        <v>81</v>
      </c>
      <c r="C55" t="s">
        <v>82</v>
      </c>
      <c r="D55" s="13">
        <v>18166.5</v>
      </c>
      <c r="E55" s="52" t="s">
        <v>99</v>
      </c>
      <c r="F55" s="52"/>
      <c r="G55" s="13"/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1"/>
      <c r="P55" s="62"/>
      <c r="Q55" s="11">
        <f>SUM(D55,G55:O55)</f>
        <v>18166.5</v>
      </c>
      <c r="U55"/>
    </row>
    <row r="56" spans="1:21" x14ac:dyDescent="0.3">
      <c r="A56"/>
      <c r="B56" t="s">
        <v>83</v>
      </c>
      <c r="C56" t="s">
        <v>84</v>
      </c>
      <c r="D56" s="13">
        <v>257400</v>
      </c>
      <c r="E56" s="52" t="s">
        <v>100</v>
      </c>
      <c r="F56" s="52"/>
      <c r="G56" s="13"/>
      <c r="H56" s="13"/>
      <c r="I56" s="13"/>
      <c r="J56" s="13"/>
      <c r="K56" s="13"/>
      <c r="L56" s="50">
        <v>9100</v>
      </c>
      <c r="M56" s="11"/>
      <c r="P56" s="62"/>
      <c r="Q56" s="11">
        <f>SUM(D56,G56:O56)</f>
        <v>266500</v>
      </c>
      <c r="U56"/>
    </row>
    <row r="57" spans="1:21" x14ac:dyDescent="0.3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5">
        <f>SUM(Q50:Q56)</f>
        <v>3682219.0776190478</v>
      </c>
      <c r="U57"/>
    </row>
  </sheetData>
  <pageMargins left="0.7" right="0.7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7" sqref="C7"/>
    </sheetView>
  </sheetViews>
  <sheetFormatPr defaultRowHeight="14.4" x14ac:dyDescent="0.3"/>
  <cols>
    <col min="1" max="1" width="9.5546875" customWidth="1"/>
    <col min="2" max="2" width="51.5546875" customWidth="1"/>
    <col min="3" max="3" width="25.6640625" customWidth="1"/>
  </cols>
  <sheetData>
    <row r="1" spans="1:3" x14ac:dyDescent="0.3">
      <c r="A1" t="s">
        <v>105</v>
      </c>
    </row>
    <row r="2" spans="1:3" x14ac:dyDescent="0.3">
      <c r="A2" t="s">
        <v>107</v>
      </c>
    </row>
    <row r="4" spans="1:3" x14ac:dyDescent="0.3">
      <c r="A4" s="55" t="s">
        <v>104</v>
      </c>
      <c r="B4" s="55" t="s">
        <v>71</v>
      </c>
      <c r="C4" s="55" t="s">
        <v>103</v>
      </c>
    </row>
    <row r="5" spans="1:3" x14ac:dyDescent="0.3">
      <c r="A5" s="6">
        <v>1</v>
      </c>
      <c r="B5" t="s">
        <v>101</v>
      </c>
      <c r="C5" s="14">
        <f>SUM('Hotel &amp; BB'!H12:L12)</f>
        <v>716468.2</v>
      </c>
    </row>
    <row r="6" spans="1:3" x14ac:dyDescent="0.3">
      <c r="A6" s="6">
        <v>2</v>
      </c>
      <c r="B6" t="s">
        <v>102</v>
      </c>
      <c r="C6" s="11">
        <v>300000</v>
      </c>
    </row>
    <row r="7" spans="1:3" x14ac:dyDescent="0.3">
      <c r="A7" s="6">
        <v>3</v>
      </c>
      <c r="B7" t="s">
        <v>106</v>
      </c>
      <c r="C7" s="11">
        <v>150000</v>
      </c>
    </row>
    <row r="8" spans="1:3" ht="15" thickBot="1" x14ac:dyDescent="0.35">
      <c r="A8" s="56"/>
      <c r="B8" s="56"/>
      <c r="C8" s="57">
        <f>SUM(C5:C7)</f>
        <v>1166468.2</v>
      </c>
    </row>
    <row r="9" spans="1:3" ht="15" thickTop="1" x14ac:dyDescent="0.3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1"/>
  <sheetViews>
    <sheetView workbookViewId="0">
      <selection activeCell="D9" sqref="D9"/>
    </sheetView>
  </sheetViews>
  <sheetFormatPr defaultRowHeight="14.4" x14ac:dyDescent="0.3"/>
  <cols>
    <col min="2" max="2" width="23.109375" customWidth="1"/>
    <col min="3" max="3" width="24.21875" customWidth="1"/>
    <col min="4" max="4" width="16" customWidth="1"/>
    <col min="5" max="5" width="14.5546875" customWidth="1"/>
    <col min="6" max="6" width="13.88671875" customWidth="1"/>
    <col min="7" max="7" width="11.109375" bestFit="1" customWidth="1"/>
    <col min="8" max="8" width="11.21875" bestFit="1" customWidth="1"/>
    <col min="9" max="9" width="13.6640625" customWidth="1"/>
    <col min="10" max="10" width="12" customWidth="1"/>
    <col min="11" max="11" width="11.6640625" customWidth="1"/>
    <col min="12" max="12" width="11.77734375" customWidth="1"/>
    <col min="13" max="13" width="10.109375" bestFit="1" customWidth="1"/>
  </cols>
  <sheetData>
    <row r="1" spans="2:13" x14ac:dyDescent="0.3">
      <c r="B1" t="s">
        <v>69</v>
      </c>
    </row>
    <row r="2" spans="2:13" x14ac:dyDescent="0.3">
      <c r="M2" s="11"/>
    </row>
    <row r="3" spans="2:13" ht="28.8" x14ac:dyDescent="0.3">
      <c r="B3" s="7" t="s">
        <v>70</v>
      </c>
      <c r="C3" s="7" t="s">
        <v>71</v>
      </c>
      <c r="D3" s="7" t="s">
        <v>72</v>
      </c>
      <c r="E3" s="7" t="s">
        <v>38</v>
      </c>
      <c r="F3" s="4" t="s">
        <v>39</v>
      </c>
      <c r="G3" s="10">
        <v>44835</v>
      </c>
      <c r="H3" s="10">
        <v>44866</v>
      </c>
      <c r="I3" s="10">
        <v>44896</v>
      </c>
      <c r="J3" s="10">
        <v>44927</v>
      </c>
      <c r="K3" s="10">
        <v>44958</v>
      </c>
      <c r="L3" s="10">
        <v>44986</v>
      </c>
      <c r="M3" s="11"/>
    </row>
    <row r="4" spans="2:13" x14ac:dyDescent="0.3">
      <c r="M4" s="11"/>
    </row>
    <row r="5" spans="2:13" x14ac:dyDescent="0.3">
      <c r="B5" s="53" t="s">
        <v>29</v>
      </c>
      <c r="C5" s="53" t="s">
        <v>73</v>
      </c>
      <c r="D5" s="54">
        <v>1544143</v>
      </c>
      <c r="M5" s="11"/>
    </row>
    <row r="6" spans="2:13" x14ac:dyDescent="0.3">
      <c r="B6" s="53" t="s">
        <v>74</v>
      </c>
      <c r="C6" s="53" t="s">
        <v>75</v>
      </c>
      <c r="D6" s="54">
        <v>1278000</v>
      </c>
      <c r="M6" s="11"/>
    </row>
    <row r="7" spans="2:13" x14ac:dyDescent="0.3">
      <c r="B7" s="53" t="s">
        <v>76</v>
      </c>
      <c r="C7" s="53" t="s">
        <v>77</v>
      </c>
      <c r="D7" s="54">
        <v>309410</v>
      </c>
      <c r="M7" s="11"/>
    </row>
    <row r="8" spans="2:13" x14ac:dyDescent="0.3">
      <c r="B8" s="53" t="s">
        <v>78</v>
      </c>
      <c r="C8" s="53" t="s">
        <v>79</v>
      </c>
      <c r="D8" s="54">
        <v>216000</v>
      </c>
      <c r="M8" s="11"/>
    </row>
    <row r="9" spans="2:13" x14ac:dyDescent="0.3">
      <c r="B9" t="s">
        <v>30</v>
      </c>
      <c r="C9" t="s">
        <v>80</v>
      </c>
      <c r="D9" s="11">
        <v>50000</v>
      </c>
      <c r="M9" s="11"/>
    </row>
    <row r="10" spans="2:13" x14ac:dyDescent="0.3">
      <c r="B10" t="s">
        <v>81</v>
      </c>
      <c r="C10" t="s">
        <v>82</v>
      </c>
      <c r="D10" s="11">
        <v>18166.5</v>
      </c>
      <c r="M10" s="11"/>
    </row>
    <row r="11" spans="2:13" x14ac:dyDescent="0.3">
      <c r="B11" t="s">
        <v>83</v>
      </c>
      <c r="C11" t="s">
        <v>84</v>
      </c>
      <c r="D11" s="11">
        <v>266500</v>
      </c>
      <c r="M11" s="1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M12"/>
  <sheetViews>
    <sheetView workbookViewId="0">
      <selection activeCell="K10" sqref="K10"/>
    </sheetView>
  </sheetViews>
  <sheetFormatPr defaultRowHeight="14.4" x14ac:dyDescent="0.3"/>
  <cols>
    <col min="3" max="3" width="16.21875" customWidth="1"/>
    <col min="4" max="4" width="14.5546875" customWidth="1"/>
    <col min="5" max="5" width="11.88671875" customWidth="1"/>
    <col min="6" max="6" width="15.33203125" customWidth="1"/>
    <col min="7" max="7" width="12.33203125" customWidth="1"/>
    <col min="8" max="8" width="12.21875" customWidth="1"/>
    <col min="9" max="9" width="13.5546875" customWidth="1"/>
    <col min="10" max="10" width="14.44140625" customWidth="1"/>
    <col min="11" max="11" width="13.5546875" customWidth="1"/>
    <col min="12" max="12" width="9.109375" bestFit="1" customWidth="1"/>
    <col min="13" max="13" width="11.21875" bestFit="1" customWidth="1"/>
  </cols>
  <sheetData>
    <row r="4" spans="2:13" x14ac:dyDescent="0.3">
      <c r="G4" s="11">
        <v>550000</v>
      </c>
      <c r="I4" s="14"/>
    </row>
    <row r="5" spans="2:13" x14ac:dyDescent="0.3">
      <c r="K5" t="s">
        <v>85</v>
      </c>
    </row>
    <row r="6" spans="2:13" x14ac:dyDescent="0.3">
      <c r="F6" s="28"/>
      <c r="G6" s="28"/>
      <c r="H6" s="28"/>
      <c r="I6" s="28"/>
      <c r="J6" s="28">
        <v>0.15</v>
      </c>
      <c r="K6" s="30">
        <f>20%+15%</f>
        <v>0.35</v>
      </c>
      <c r="M6" s="28">
        <v>0.1</v>
      </c>
    </row>
    <row r="8" spans="2:13" x14ac:dyDescent="0.3">
      <c r="E8" s="27">
        <v>44835</v>
      </c>
      <c r="F8" s="27">
        <v>44866</v>
      </c>
      <c r="G8" s="27">
        <v>44896</v>
      </c>
      <c r="H8" s="27">
        <v>44927</v>
      </c>
      <c r="I8" s="27">
        <v>44958</v>
      </c>
      <c r="J8" s="27">
        <v>44986</v>
      </c>
      <c r="K8" s="27">
        <v>45017</v>
      </c>
      <c r="L8" s="29">
        <v>45047</v>
      </c>
      <c r="M8" s="29">
        <v>45078</v>
      </c>
    </row>
    <row r="9" spans="2:13" x14ac:dyDescent="0.3">
      <c r="B9" s="26" t="s">
        <v>18</v>
      </c>
      <c r="C9" s="35"/>
      <c r="D9" s="18" t="s">
        <v>93</v>
      </c>
      <c r="E9" s="13">
        <v>36760</v>
      </c>
      <c r="F9" s="13">
        <v>36760</v>
      </c>
      <c r="G9" s="13">
        <v>36760</v>
      </c>
      <c r="H9" s="13">
        <v>36760</v>
      </c>
      <c r="I9" s="13">
        <v>36760</v>
      </c>
      <c r="J9" s="13">
        <v>36760</v>
      </c>
      <c r="K9" s="13">
        <v>36760</v>
      </c>
    </row>
    <row r="10" spans="2:13" x14ac:dyDescent="0.3">
      <c r="D10" t="s">
        <v>94</v>
      </c>
      <c r="J10" s="14">
        <f>J6*G4*'Hotel &amp; BB'!U30</f>
        <v>303270</v>
      </c>
      <c r="K10" s="14">
        <f>G4*K6*'Hotel &amp; BB'!U30</f>
        <v>707630</v>
      </c>
      <c r="M10" s="14">
        <f>M6*G4*'Hotel &amp; BB'!U30</f>
        <v>202180</v>
      </c>
    </row>
    <row r="11" spans="2:13" x14ac:dyDescent="0.3">
      <c r="D11" t="s">
        <v>95</v>
      </c>
      <c r="E11" s="11">
        <v>5700</v>
      </c>
      <c r="F11" s="11">
        <v>5700</v>
      </c>
      <c r="G11" s="11">
        <v>5700</v>
      </c>
      <c r="H11" s="11">
        <v>5700</v>
      </c>
      <c r="I11" s="11">
        <v>5700</v>
      </c>
      <c r="J11" s="11">
        <v>5700</v>
      </c>
      <c r="K11" s="11">
        <v>5700</v>
      </c>
      <c r="L11" s="11">
        <v>5700</v>
      </c>
      <c r="M11" s="11">
        <v>5700</v>
      </c>
    </row>
    <row r="12" spans="2:13" x14ac:dyDescent="0.3">
      <c r="D12" t="s">
        <v>96</v>
      </c>
      <c r="E12" s="14">
        <f>E11+E10+E9</f>
        <v>42460</v>
      </c>
      <c r="F12" s="14">
        <f t="shared" ref="F12:M12" si="0">F11+F10+F9</f>
        <v>42460</v>
      </c>
      <c r="G12" s="14">
        <f t="shared" si="0"/>
        <v>42460</v>
      </c>
      <c r="H12" s="14">
        <f t="shared" si="0"/>
        <v>42460</v>
      </c>
      <c r="I12" s="14">
        <f t="shared" si="0"/>
        <v>42460</v>
      </c>
      <c r="J12" s="14">
        <f t="shared" si="0"/>
        <v>345730</v>
      </c>
      <c r="K12" s="14">
        <f t="shared" si="0"/>
        <v>750090</v>
      </c>
      <c r="L12" s="14">
        <f t="shared" si="0"/>
        <v>5700</v>
      </c>
      <c r="M12" s="14">
        <f t="shared" si="0"/>
        <v>207880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Hotel &amp; BB</vt:lpstr>
      <vt:lpstr>Sheet1</vt:lpstr>
      <vt:lpstr>RESI</vt:lpstr>
      <vt:lpstr>DOCHESTER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Thomas</dc:creator>
  <cp:lastModifiedBy>Nayana WJK Weeraman</cp:lastModifiedBy>
  <cp:lastPrinted>2022-11-17T06:32:31Z</cp:lastPrinted>
  <dcterms:created xsi:type="dcterms:W3CDTF">2022-11-16T11:33:54Z</dcterms:created>
  <dcterms:modified xsi:type="dcterms:W3CDTF">2022-12-28T11:06:21Z</dcterms:modified>
</cp:coreProperties>
</file>