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P009 Joyz\3. Payment Assessment\6 March\"/>
    </mc:Choice>
  </mc:AlternateContent>
  <xr:revisionPtr revIDLastSave="0" documentId="13_ncr:1_{B98A7109-AF1E-4C62-95E0-151A5F4AD8CE}" xr6:coauthVersionLast="47" xr6:coauthVersionMax="47" xr10:uidLastSave="{00000000-0000-0000-0000-000000000000}"/>
  <bookViews>
    <workbookView xWindow="-90" yWindow="0" windowWidth="12980" windowHeight="13770" tabRatio="598" xr2:uid="{00000000-000D-0000-FFFF-FFFF00000000}"/>
  </bookViews>
  <sheets>
    <sheet name="Summary" sheetId="6" r:id="rId1"/>
    <sheet name="Progress Bill" sheetId="1" r:id="rId2"/>
    <sheet name="75MM-EIFS" sheetId="29" r:id="rId3"/>
    <sheet name="100MM-EIFS" sheetId="30" r:id="rId4"/>
    <sheet name="150MM-EIFS" sheetId="32" r:id="rId5"/>
    <sheet name="200MM-EIFS" sheetId="31" r:id="rId6"/>
    <sheet name="EIFS -STAND ALONE (75MM)" sheetId="33" r:id="rId7"/>
    <sheet name="EIFS -STAND ALONE (300MM) " sheetId="24" r:id="rId8"/>
    <sheet name="EIFS -STAND ALONE (400MM)" sheetId="25" r:id="rId9"/>
    <sheet name="EIFS RENDER" sheetId="20" r:id="rId10"/>
    <sheet name="VARIATIONS" sheetId="5" r:id="rId11"/>
    <sheet name="RPJV Variation" sheetId="22" r:id="rId12"/>
    <sheet name="PVC GROOVE" sheetId="21" r:id="rId13"/>
    <sheet name="EIFS + BUILTUP (300MM)" sheetId="27" r:id="rId14"/>
    <sheet name="EIFS + BUILTUP (400MM) " sheetId="26" r:id="rId15"/>
    <sheet name="KCE Variation" sheetId="28" r:id="rId16"/>
    <sheet name="EIFS 400mm EPS BOARDS" sheetId="8" state="hidden" r:id="rId17"/>
    <sheet name="EIFS 400mm BASECOAT" sheetId="9" state="hidden" r:id="rId18"/>
    <sheet name="EIFS 400mm PAINT" sheetId="10" state="hidden" r:id="rId19"/>
    <sheet name="EIFS 300mm EPS BOARDS" sheetId="11" state="hidden" r:id="rId20"/>
    <sheet name="EIFS 300mm BASECOAT" sheetId="12"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3">'100MM-EIFS'!$A$1:$V$59</definedName>
    <definedName name="_xlnm.Print_Area" localSheetId="4">'150MM-EIFS'!$A$1:$V$30</definedName>
    <definedName name="_xlnm.Print_Area" localSheetId="5">'200MM-EIFS'!$A$1:$V$33</definedName>
    <definedName name="_xlnm.Print_Area" localSheetId="2">'75MM-EIFS'!$A$1:$V$33</definedName>
    <definedName name="_xlnm.Print_Area" localSheetId="13">'EIFS + BUILTUP (300MM)'!$A$1:$V$32</definedName>
    <definedName name="_xlnm.Print_Area" localSheetId="14">'EIFS + BUILTUP (400MM) '!$A$1:$V$29</definedName>
    <definedName name="_xlnm.Print_Area" localSheetId="20">'EIFS 300mm BASECOAT'!$A$1:$S$11</definedName>
    <definedName name="_xlnm.Print_Area" localSheetId="19">'EIFS 300mm EPS BOARDS'!$A$1:$U$9</definedName>
    <definedName name="_xlnm.Print_Area" localSheetId="17">'EIFS 400mm BASECOAT'!$A$1:$S$21</definedName>
    <definedName name="_xlnm.Print_Area" localSheetId="16">'EIFS 400mm EPS BOARDS'!$A$1:$S$21</definedName>
    <definedName name="_xlnm.Print_Area" localSheetId="18">'EIFS 400mm PAINT'!$A$1:$S$21</definedName>
    <definedName name="_xlnm.Print_Area" localSheetId="9">'EIFS RENDER'!$A$1:$S$21</definedName>
    <definedName name="_xlnm.Print_Area" localSheetId="7">'EIFS -STAND ALONE (300MM) '!$A$1:$V$29</definedName>
    <definedName name="_xlnm.Print_Area" localSheetId="8">'EIFS -STAND ALONE (400MM)'!$A$1:$V$29</definedName>
    <definedName name="_xlnm.Print_Area" localSheetId="6">'EIFS -STAND ALONE (75MM)'!$A$1:$V$25</definedName>
    <definedName name="_xlnm.Print_Area" localSheetId="15">'KCE Variation'!$A$1:$V$477</definedName>
    <definedName name="_xlnm.Print_Area" localSheetId="1">'Progress Bill'!$A$1:$T$47</definedName>
    <definedName name="_xlnm.Print_Area" localSheetId="12">'PVC GROOVE'!$A$1:$T$31</definedName>
    <definedName name="_xlnm.Print_Area" localSheetId="11">'RPJV Variation'!$A$1:$U$81</definedName>
    <definedName name="_xlnm.Print_Area" localSheetId="0">Summary!$A$1:$G$11</definedName>
    <definedName name="_xlnm.Print_Area" localSheetId="10">VARIATIONS!$A$1:$L$103</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8" i="5" l="1"/>
  <c r="H98" i="5"/>
  <c r="I97" i="5"/>
  <c r="H97" i="5"/>
  <c r="I95" i="5"/>
  <c r="H95" i="5"/>
  <c r="I94" i="5"/>
  <c r="H94" i="5"/>
  <c r="L98" i="5"/>
  <c r="L97" i="5"/>
  <c r="L95" i="5"/>
  <c r="L94" i="5"/>
  <c r="K98" i="5"/>
  <c r="K97" i="5"/>
  <c r="K95" i="5"/>
  <c r="K94" i="5"/>
  <c r="E98" i="5"/>
  <c r="E97" i="5"/>
  <c r="E95" i="5"/>
  <c r="E94" i="5"/>
  <c r="R44" i="1" l="1"/>
  <c r="T477" i="28" l="1"/>
  <c r="Q477" i="28"/>
  <c r="K127" i="28"/>
  <c r="K126" i="28"/>
  <c r="K125" i="28"/>
  <c r="K124" i="28"/>
  <c r="Q124" i="28" s="1"/>
  <c r="S124" i="28" s="1"/>
  <c r="U124" i="28" s="1"/>
  <c r="J28" i="21"/>
  <c r="O28" i="21" s="1"/>
  <c r="K30" i="29"/>
  <c r="S28" i="21" l="1"/>
  <c r="Q28" i="21"/>
  <c r="T361" i="28" l="1"/>
  <c r="P347" i="28"/>
  <c r="K347" i="28"/>
  <c r="Q347" i="28" s="1"/>
  <c r="Q361" i="28" l="1"/>
  <c r="S347" i="28"/>
  <c r="U347" i="28" l="1"/>
  <c r="U361" i="28" s="1"/>
  <c r="S361" i="28"/>
  <c r="K464" i="28" l="1"/>
  <c r="P463" i="28"/>
  <c r="K463" i="28"/>
  <c r="Q463" i="28" s="1"/>
  <c r="S463" i="28" s="1"/>
  <c r="T455" i="28"/>
  <c r="K443" i="28"/>
  <c r="Q443" i="28" s="1"/>
  <c r="T437" i="28"/>
  <c r="P423" i="28"/>
  <c r="K423" i="28"/>
  <c r="Q423" i="28" s="1"/>
  <c r="T415" i="28"/>
  <c r="K403" i="28"/>
  <c r="Q403" i="28" s="1"/>
  <c r="S403" i="28" s="1"/>
  <c r="K22" i="29"/>
  <c r="K21" i="29"/>
  <c r="K20" i="29"/>
  <c r="K19" i="29"/>
  <c r="K18" i="29"/>
  <c r="U463" i="28" l="1"/>
  <c r="U477" i="28" s="1"/>
  <c r="S477" i="28"/>
  <c r="S443" i="28"/>
  <c r="Q455" i="28"/>
  <c r="U403" i="28"/>
  <c r="U415" i="28" s="1"/>
  <c r="S415" i="28"/>
  <c r="S423" i="28"/>
  <c r="Q437" i="28"/>
  <c r="Q415" i="28"/>
  <c r="S455" i="28" l="1"/>
  <c r="U443" i="28"/>
  <c r="U455" i="28" s="1"/>
  <c r="S437" i="28"/>
  <c r="U423" i="28"/>
  <c r="U437" i="28" s="1"/>
  <c r="E92" i="5" l="1"/>
  <c r="E91" i="5"/>
  <c r="E90" i="5"/>
  <c r="E89" i="5"/>
  <c r="E88" i="5"/>
  <c r="E79" i="5"/>
  <c r="E86" i="5"/>
  <c r="T397" i="28"/>
  <c r="K385" i="28"/>
  <c r="Q385" i="28" s="1"/>
  <c r="E87" i="5"/>
  <c r="E85" i="5"/>
  <c r="E82" i="5"/>
  <c r="T380" i="28"/>
  <c r="P366" i="28"/>
  <c r="K366" i="28"/>
  <c r="Q366" i="28" s="1"/>
  <c r="T341" i="28"/>
  <c r="K335" i="28"/>
  <c r="K334" i="28"/>
  <c r="K333" i="28"/>
  <c r="K332" i="28"/>
  <c r="K331" i="28"/>
  <c r="K330" i="28"/>
  <c r="K329" i="28"/>
  <c r="P328" i="28"/>
  <c r="K328" i="28"/>
  <c r="P327" i="28"/>
  <c r="K327" i="28"/>
  <c r="P326" i="28"/>
  <c r="K326" i="28"/>
  <c r="S385" i="28" l="1"/>
  <c r="Q397" i="28"/>
  <c r="Q380" i="28"/>
  <c r="S366" i="28"/>
  <c r="Q326" i="28"/>
  <c r="S326" i="28" s="1"/>
  <c r="K14" i="33"/>
  <c r="Q14" i="33" s="1"/>
  <c r="S14" i="33" s="1"/>
  <c r="U14" i="33" s="1"/>
  <c r="B10" i="33"/>
  <c r="T25" i="33"/>
  <c r="K29" i="31"/>
  <c r="Q29" i="31" s="1"/>
  <c r="S29" i="31" s="1"/>
  <c r="U29" i="31" s="1"/>
  <c r="K28" i="31"/>
  <c r="Q28" i="31" s="1"/>
  <c r="S28" i="31" s="1"/>
  <c r="U28" i="31" s="1"/>
  <c r="K27" i="31"/>
  <c r="Q27" i="31" s="1"/>
  <c r="S27" i="31" s="1"/>
  <c r="U27" i="31" s="1"/>
  <c r="P30" i="29"/>
  <c r="Q30" i="29"/>
  <c r="S30" i="29" s="1"/>
  <c r="U30" i="29" s="1"/>
  <c r="P27" i="29"/>
  <c r="K27" i="29"/>
  <c r="Q27" i="29" s="1"/>
  <c r="S27" i="29" s="1"/>
  <c r="U27" i="29" s="1"/>
  <c r="Q341" i="28" l="1"/>
  <c r="S397" i="28"/>
  <c r="K87" i="5" s="1"/>
  <c r="U385" i="28"/>
  <c r="U397" i="28" s="1"/>
  <c r="U366" i="28"/>
  <c r="U380" i="28" s="1"/>
  <c r="S380" i="28"/>
  <c r="K85" i="5" s="1"/>
  <c r="S341" i="28"/>
  <c r="K82" i="5" s="1"/>
  <c r="U326" i="28"/>
  <c r="U341" i="28" s="1"/>
  <c r="Q25" i="33"/>
  <c r="H82" i="5" l="1"/>
  <c r="L82" i="5"/>
  <c r="I82" i="5" s="1"/>
  <c r="J82" i="5"/>
  <c r="H87" i="5"/>
  <c r="L87" i="5"/>
  <c r="I87" i="5" s="1"/>
  <c r="J87" i="5"/>
  <c r="H85" i="5"/>
  <c r="J85" i="5"/>
  <c r="J86" i="5" s="1"/>
  <c r="K86" i="5" s="1"/>
  <c r="L85" i="5"/>
  <c r="I85" i="5" s="1"/>
  <c r="S25" i="33"/>
  <c r="U25" i="33"/>
  <c r="S15" i="1" l="1"/>
  <c r="H86" i="5"/>
  <c r="L86" i="5"/>
  <c r="I86" i="5" s="1"/>
  <c r="S29" i="33"/>
  <c r="S29" i="1"/>
  <c r="R29" i="1" s="1"/>
  <c r="L76" i="5" l="1"/>
  <c r="I76" i="5" s="1"/>
  <c r="J76" i="5"/>
  <c r="H76" i="5"/>
  <c r="E80" i="5"/>
  <c r="E78" i="5"/>
  <c r="E76" i="5"/>
  <c r="E75" i="5"/>
  <c r="E74" i="5"/>
  <c r="T321" i="28"/>
  <c r="K306" i="28"/>
  <c r="Q306" i="28" s="1"/>
  <c r="T301" i="28"/>
  <c r="K286" i="28"/>
  <c r="Q286" i="28" s="1"/>
  <c r="T281" i="28"/>
  <c r="K266" i="28"/>
  <c r="Q266" i="28" s="1"/>
  <c r="T261" i="28"/>
  <c r="K247" i="28"/>
  <c r="K246" i="28"/>
  <c r="T240" i="28"/>
  <c r="K225" i="28"/>
  <c r="Q225" i="28" s="1"/>
  <c r="S225" i="28" s="1"/>
  <c r="U225" i="28" s="1"/>
  <c r="U240" i="28" s="1"/>
  <c r="K148" i="28"/>
  <c r="K147" i="28"/>
  <c r="K146" i="28"/>
  <c r="K145" i="28"/>
  <c r="K144" i="28"/>
  <c r="K143" i="28"/>
  <c r="K142" i="28"/>
  <c r="K141" i="28"/>
  <c r="K140" i="28"/>
  <c r="K134" i="28"/>
  <c r="Q134" i="28" s="1"/>
  <c r="S134" i="28" s="1"/>
  <c r="K122" i="28"/>
  <c r="K121" i="28"/>
  <c r="K120" i="28"/>
  <c r="K119" i="28"/>
  <c r="K118" i="28"/>
  <c r="K117" i="28"/>
  <c r="K116" i="28"/>
  <c r="K115" i="28"/>
  <c r="K55" i="22"/>
  <c r="Q55" i="22" s="1"/>
  <c r="S55" i="22" s="1"/>
  <c r="U55" i="22" s="1"/>
  <c r="T30" i="32"/>
  <c r="K15" i="32"/>
  <c r="Q15" i="32" s="1"/>
  <c r="K54" i="30"/>
  <c r="Q54" i="30" s="1"/>
  <c r="S54" i="30" s="1"/>
  <c r="U54" i="30" s="1"/>
  <c r="P24" i="29"/>
  <c r="K24" i="29"/>
  <c r="Q27" i="20"/>
  <c r="Q25" i="20"/>
  <c r="Q24" i="20"/>
  <c r="Q23" i="20"/>
  <c r="B2" i="20"/>
  <c r="B10" i="25"/>
  <c r="B10" i="24"/>
  <c r="B10" i="31"/>
  <c r="B10" i="30"/>
  <c r="B10" i="29"/>
  <c r="H47" i="1"/>
  <c r="D3" i="6"/>
  <c r="H71" i="5"/>
  <c r="L65" i="5"/>
  <c r="I65" i="5" s="1"/>
  <c r="L63" i="5"/>
  <c r="I63" i="5" s="1"/>
  <c r="H59" i="5"/>
  <c r="J57" i="5"/>
  <c r="H57" i="5"/>
  <c r="J49" i="5"/>
  <c r="J48" i="5"/>
  <c r="J42" i="5"/>
  <c r="K39" i="5"/>
  <c r="L39" i="5" s="1"/>
  <c r="I39" i="5" s="1"/>
  <c r="L33" i="5"/>
  <c r="I33" i="5" s="1"/>
  <c r="B2" i="21"/>
  <c r="K52" i="22"/>
  <c r="Q52" i="22" s="1"/>
  <c r="S52" i="22" s="1"/>
  <c r="U52" i="22" s="1"/>
  <c r="K49" i="22"/>
  <c r="Q49" i="22" s="1"/>
  <c r="S49" i="22" s="1"/>
  <c r="U49" i="22" s="1"/>
  <c r="K22" i="22"/>
  <c r="Q22" i="22" s="1"/>
  <c r="S22" i="22" s="1"/>
  <c r="U22" i="22" s="1"/>
  <c r="P46" i="22"/>
  <c r="K46" i="22"/>
  <c r="P43" i="22"/>
  <c r="K43" i="22"/>
  <c r="Q43" i="22" s="1"/>
  <c r="S43" i="22" s="1"/>
  <c r="U43" i="22" s="1"/>
  <c r="P19" i="22"/>
  <c r="K19" i="22"/>
  <c r="P42" i="22"/>
  <c r="K42" i="22"/>
  <c r="Q42" i="22" s="1"/>
  <c r="S42" i="22" s="1"/>
  <c r="U42" i="22" s="1"/>
  <c r="P41" i="22"/>
  <c r="K41" i="22"/>
  <c r="P40" i="22"/>
  <c r="K40" i="22"/>
  <c r="P37" i="22"/>
  <c r="K37" i="22"/>
  <c r="P34" i="22"/>
  <c r="K34" i="22"/>
  <c r="Q34" i="22" s="1"/>
  <c r="S34" i="22" s="1"/>
  <c r="U34" i="22" s="1"/>
  <c r="P16" i="22"/>
  <c r="K16" i="22"/>
  <c r="Q16" i="22" s="1"/>
  <c r="S16" i="22" s="1"/>
  <c r="U16" i="22" s="1"/>
  <c r="P31" i="22"/>
  <c r="K31" i="22"/>
  <c r="Q31" i="22" s="1"/>
  <c r="S31" i="22" s="1"/>
  <c r="U31" i="22" s="1"/>
  <c r="P28" i="22"/>
  <c r="K28" i="22"/>
  <c r="P25" i="22"/>
  <c r="K25" i="22"/>
  <c r="Q25" i="22" s="1"/>
  <c r="S25" i="22" s="1"/>
  <c r="U25" i="22" s="1"/>
  <c r="T81" i="22"/>
  <c r="Q40" i="22" l="1"/>
  <c r="S40" i="22" s="1"/>
  <c r="U40" i="22" s="1"/>
  <c r="Q246" i="28"/>
  <c r="S246" i="28" s="1"/>
  <c r="Q26" i="20"/>
  <c r="Q28" i="20" s="1"/>
  <c r="Q24" i="29"/>
  <c r="S24" i="29" s="1"/>
  <c r="U24" i="29" s="1"/>
  <c r="Q321" i="28"/>
  <c r="S306" i="28"/>
  <c r="Q301" i="28"/>
  <c r="S286" i="28"/>
  <c r="Q281" i="28"/>
  <c r="S266" i="28"/>
  <c r="Q140" i="28"/>
  <c r="S140" i="28" s="1"/>
  <c r="U140" i="28" s="1"/>
  <c r="Q240" i="28"/>
  <c r="S240" i="28"/>
  <c r="K74" i="5" s="1"/>
  <c r="L74" i="5" s="1"/>
  <c r="Q115" i="28"/>
  <c r="S115" i="28" s="1"/>
  <c r="U115" i="28" s="1"/>
  <c r="U134" i="28"/>
  <c r="Q28" i="22"/>
  <c r="S28" i="22" s="1"/>
  <c r="U28" i="22" s="1"/>
  <c r="Q30" i="32"/>
  <c r="S15" i="32"/>
  <c r="H65" i="5"/>
  <c r="J65" i="5"/>
  <c r="J59" i="5"/>
  <c r="J39" i="5"/>
  <c r="H48" i="5"/>
  <c r="J71" i="5"/>
  <c r="H39" i="5"/>
  <c r="L49" i="5"/>
  <c r="I49" i="5" s="1"/>
  <c r="L71" i="5"/>
  <c r="I71" i="5" s="1"/>
  <c r="L59" i="5"/>
  <c r="I59" i="5" s="1"/>
  <c r="L48" i="5"/>
  <c r="I48" i="5" s="1"/>
  <c r="L57" i="5"/>
  <c r="I57" i="5" s="1"/>
  <c r="H63" i="5"/>
  <c r="J63" i="5"/>
  <c r="H49" i="5"/>
  <c r="H42" i="5"/>
  <c r="H33" i="5"/>
  <c r="J33" i="5"/>
  <c r="Q19" i="22"/>
  <c r="S19" i="22" s="1"/>
  <c r="U19" i="22" s="1"/>
  <c r="Q41" i="22"/>
  <c r="S41" i="22" s="1"/>
  <c r="U41" i="22" s="1"/>
  <c r="Q46" i="22"/>
  <c r="S46" i="22" s="1"/>
  <c r="U46" i="22" s="1"/>
  <c r="Q37" i="22"/>
  <c r="S37" i="22" s="1"/>
  <c r="U37" i="22" s="1"/>
  <c r="Q261" i="28" l="1"/>
  <c r="J74" i="5"/>
  <c r="H74" i="5"/>
  <c r="I74" i="5"/>
  <c r="U306" i="28"/>
  <c r="U321" i="28" s="1"/>
  <c r="S321" i="28"/>
  <c r="K67" i="5" s="1"/>
  <c r="S301" i="28"/>
  <c r="K80" i="5" s="1"/>
  <c r="U286" i="28"/>
  <c r="U301" i="28" s="1"/>
  <c r="S281" i="28"/>
  <c r="K78" i="5" s="1"/>
  <c r="U266" i="28"/>
  <c r="U281" i="28" s="1"/>
  <c r="S261" i="28"/>
  <c r="K75" i="5" s="1"/>
  <c r="U246" i="28"/>
  <c r="U261" i="28" s="1"/>
  <c r="S30" i="32"/>
  <c r="S17" i="1" s="1"/>
  <c r="U15" i="32"/>
  <c r="U30" i="32" s="1"/>
  <c r="B70" i="22"/>
  <c r="B59" i="22"/>
  <c r="B2" i="22"/>
  <c r="D15" i="5"/>
  <c r="C15" i="5"/>
  <c r="J12" i="5"/>
  <c r="J13" i="5" s="1"/>
  <c r="K13" i="5" s="1"/>
  <c r="L13" i="5" s="1"/>
  <c r="L12" i="5"/>
  <c r="I12" i="5" s="1"/>
  <c r="H12" i="5"/>
  <c r="E24" i="5"/>
  <c r="E23" i="5"/>
  <c r="E20" i="5"/>
  <c r="E13" i="5"/>
  <c r="E12" i="5"/>
  <c r="E8" i="5"/>
  <c r="E9" i="5"/>
  <c r="E7" i="5"/>
  <c r="L67" i="5" l="1"/>
  <c r="I67" i="5" s="1"/>
  <c r="H67" i="5"/>
  <c r="J67" i="5"/>
  <c r="L80" i="5"/>
  <c r="I80" i="5" s="1"/>
  <c r="J80" i="5"/>
  <c r="H80" i="5"/>
  <c r="L78" i="5"/>
  <c r="I78" i="5" s="1"/>
  <c r="J78" i="5"/>
  <c r="J79" i="5" s="1"/>
  <c r="K79" i="5" s="1"/>
  <c r="H78" i="5"/>
  <c r="J75" i="5"/>
  <c r="L75" i="5"/>
  <c r="I75" i="5" s="1"/>
  <c r="H75" i="5"/>
  <c r="T17" i="1"/>
  <c r="R17" i="1"/>
  <c r="E15" i="5"/>
  <c r="H13" i="5"/>
  <c r="I13" i="5"/>
  <c r="L79" i="5" l="1"/>
  <c r="I79" i="5" s="1"/>
  <c r="H79" i="5"/>
  <c r="S33" i="1"/>
  <c r="R33" i="1" s="1"/>
  <c r="S31" i="1"/>
  <c r="R31" i="1" s="1"/>
  <c r="S33" i="25"/>
  <c r="S33" i="24"/>
  <c r="S19" i="1"/>
  <c r="R19" i="1" s="1"/>
  <c r="S38" i="31"/>
  <c r="A37" i="5" l="1"/>
  <c r="A38" i="5" s="1"/>
  <c r="A39" i="5" s="1"/>
  <c r="G26" i="5"/>
  <c r="K77" i="22"/>
  <c r="Q77" i="22" s="1"/>
  <c r="S77" i="22" s="1"/>
  <c r="U77" i="22" s="1"/>
  <c r="Q74" i="22"/>
  <c r="S74" i="22" l="1"/>
  <c r="U74" i="22" l="1"/>
  <c r="T69" i="22" l="1"/>
  <c r="K63" i="22"/>
  <c r="Q63" i="22" s="1"/>
  <c r="Q69" i="22" l="1"/>
  <c r="S63" i="22"/>
  <c r="U63" i="22" l="1"/>
  <c r="U69" i="22" s="1"/>
  <c r="S69" i="22"/>
  <c r="K20" i="5" s="1"/>
  <c r="T219" i="28"/>
  <c r="K204" i="28"/>
  <c r="Q204" i="28" s="1"/>
  <c r="T198" i="28"/>
  <c r="K183" i="28"/>
  <c r="Q183" i="28" s="1"/>
  <c r="T177" i="28"/>
  <c r="K163" i="28"/>
  <c r="Q163" i="28" s="1"/>
  <c r="S163" i="28" s="1"/>
  <c r="U163" i="28" s="1"/>
  <c r="K162" i="28"/>
  <c r="Q162" i="28" s="1"/>
  <c r="K138" i="28"/>
  <c r="K137" i="28"/>
  <c r="K132" i="28"/>
  <c r="K131" i="28"/>
  <c r="K130" i="28"/>
  <c r="K113" i="28"/>
  <c r="K112" i="28"/>
  <c r="K111" i="28"/>
  <c r="K110" i="28"/>
  <c r="K109" i="28"/>
  <c r="K108" i="28"/>
  <c r="K107" i="28"/>
  <c r="K106" i="28"/>
  <c r="K105" i="28"/>
  <c r="P56" i="28"/>
  <c r="T29" i="28"/>
  <c r="K14" i="28"/>
  <c r="Q14" i="28" s="1"/>
  <c r="S14" i="28" s="1"/>
  <c r="P24" i="27"/>
  <c r="J27" i="21"/>
  <c r="J26" i="21"/>
  <c r="J25" i="21"/>
  <c r="O25" i="21" s="1"/>
  <c r="J23" i="21"/>
  <c r="J22" i="21"/>
  <c r="O22" i="21" s="1"/>
  <c r="P17" i="26"/>
  <c r="K51" i="30"/>
  <c r="Q51" i="30" s="1"/>
  <c r="S51" i="30" s="1"/>
  <c r="U51" i="30" s="1"/>
  <c r="P49" i="30"/>
  <c r="P48" i="30"/>
  <c r="P47" i="30"/>
  <c r="P46" i="30"/>
  <c r="P45" i="30"/>
  <c r="P44" i="30"/>
  <c r="K44" i="30"/>
  <c r="P17" i="29"/>
  <c r="Q17" i="29" s="1"/>
  <c r="I17" i="29"/>
  <c r="K17" i="29" s="1"/>
  <c r="E71" i="5"/>
  <c r="E67" i="5"/>
  <c r="E65" i="5"/>
  <c r="E63" i="5"/>
  <c r="E61" i="5"/>
  <c r="E59" i="5"/>
  <c r="E57" i="5"/>
  <c r="Q137" i="28" l="1"/>
  <c r="S137" i="28" s="1"/>
  <c r="U137" i="28" s="1"/>
  <c r="Q44" i="30"/>
  <c r="S44" i="30" s="1"/>
  <c r="U44" i="30" s="1"/>
  <c r="Q81" i="22"/>
  <c r="L20" i="5"/>
  <c r="I20" i="5" s="1"/>
  <c r="J20" i="5"/>
  <c r="H20" i="5"/>
  <c r="Q219" i="28"/>
  <c r="S204" i="28"/>
  <c r="Q198" i="28"/>
  <c r="S183" i="28"/>
  <c r="Q177" i="28"/>
  <c r="S162" i="28"/>
  <c r="Q105" i="28"/>
  <c r="S105" i="28" s="1"/>
  <c r="U105" i="28" s="1"/>
  <c r="Q130" i="28"/>
  <c r="S130" i="28" s="1"/>
  <c r="U130" i="28" s="1"/>
  <c r="S29" i="28"/>
  <c r="K53" i="5" s="1"/>
  <c r="U14" i="28"/>
  <c r="U29" i="28" s="1"/>
  <c r="Q29" i="28"/>
  <c r="Q22" i="21"/>
  <c r="S22" i="21"/>
  <c r="S25" i="21"/>
  <c r="Q25" i="21"/>
  <c r="S17" i="29"/>
  <c r="U17" i="29" s="1"/>
  <c r="E44" i="5"/>
  <c r="D42" i="5"/>
  <c r="L42" i="5" s="1"/>
  <c r="I42" i="5" s="1"/>
  <c r="E33" i="5"/>
  <c r="S219" i="28" l="1"/>
  <c r="K44" i="5" s="1"/>
  <c r="U204" i="28"/>
  <c r="U219" i="28" s="1"/>
  <c r="S198" i="28"/>
  <c r="K61" i="5" s="1"/>
  <c r="U183" i="28"/>
  <c r="U198" i="28" s="1"/>
  <c r="S177" i="28"/>
  <c r="K55" i="5" s="1"/>
  <c r="U162" i="28"/>
  <c r="U177" i="28" s="1"/>
  <c r="S21" i="1"/>
  <c r="E39" i="5"/>
  <c r="C37" i="5"/>
  <c r="E37" i="5" s="1"/>
  <c r="C38" i="5"/>
  <c r="E38" i="5" s="1"/>
  <c r="T33" i="31"/>
  <c r="K24" i="31"/>
  <c r="Q24" i="31" s="1"/>
  <c r="S24" i="31" s="1"/>
  <c r="U24" i="31" s="1"/>
  <c r="P21" i="31"/>
  <c r="K21" i="31"/>
  <c r="Q21" i="31" s="1"/>
  <c r="S21" i="31" s="1"/>
  <c r="U21" i="31" s="1"/>
  <c r="Q18" i="31"/>
  <c r="S18" i="31" s="1"/>
  <c r="U18" i="31" s="1"/>
  <c r="P18" i="31"/>
  <c r="K18" i="31"/>
  <c r="K15" i="31"/>
  <c r="Q15" i="31" s="1"/>
  <c r="L44" i="5" l="1"/>
  <c r="I44" i="5" s="1"/>
  <c r="H44" i="5"/>
  <c r="J44" i="5"/>
  <c r="L61" i="5"/>
  <c r="I61" i="5" s="1"/>
  <c r="H61" i="5"/>
  <c r="J61" i="5"/>
  <c r="Q33" i="31"/>
  <c r="S15" i="31"/>
  <c r="S33" i="31" l="1"/>
  <c r="S39" i="31" s="1"/>
  <c r="S41" i="31" s="1"/>
  <c r="U15" i="31"/>
  <c r="U33" i="31" s="1"/>
  <c r="T59" i="30" l="1"/>
  <c r="T28" i="30"/>
  <c r="K23" i="30"/>
  <c r="P22" i="30"/>
  <c r="J22" i="30"/>
  <c r="I22" i="30"/>
  <c r="P19" i="30"/>
  <c r="K19" i="30"/>
  <c r="P18" i="30"/>
  <c r="K18" i="30"/>
  <c r="P14" i="30"/>
  <c r="K14" i="30"/>
  <c r="K42" i="30"/>
  <c r="K41" i="30"/>
  <c r="Q41" i="30" s="1"/>
  <c r="S41" i="30" s="1"/>
  <c r="U41" i="30" s="1"/>
  <c r="K38" i="30"/>
  <c r="Q38" i="30" s="1"/>
  <c r="S38" i="30" s="1"/>
  <c r="K34" i="30"/>
  <c r="Q34" i="30" s="1"/>
  <c r="T33" i="29"/>
  <c r="K14" i="29"/>
  <c r="Q14" i="29" s="1"/>
  <c r="Q19" i="30" l="1"/>
  <c r="S19" i="30" s="1"/>
  <c r="U19" i="30" s="1"/>
  <c r="Q14" i="30"/>
  <c r="Q18" i="30"/>
  <c r="S18" i="30" s="1"/>
  <c r="U18" i="30" s="1"/>
  <c r="K22" i="30"/>
  <c r="Q22" i="30" s="1"/>
  <c r="U38" i="30"/>
  <c r="S14" i="30"/>
  <c r="S34" i="30"/>
  <c r="Q59" i="30"/>
  <c r="S14" i="29"/>
  <c r="Q33" i="29"/>
  <c r="S22" i="30" l="1"/>
  <c r="U22" i="30" s="1"/>
  <c r="Q28" i="30"/>
  <c r="U14" i="30"/>
  <c r="U34" i="30"/>
  <c r="U59" i="30" s="1"/>
  <c r="S59" i="30"/>
  <c r="S33" i="29"/>
  <c r="S13" i="1" s="1"/>
  <c r="R13" i="1" s="1"/>
  <c r="U14" i="29"/>
  <c r="U33" i="29" s="1"/>
  <c r="R15" i="1" l="1"/>
  <c r="S61" i="30"/>
  <c r="U28" i="30"/>
  <c r="S28" i="30"/>
  <c r="S60" i="30"/>
  <c r="K4" i="22"/>
  <c r="P4" i="22"/>
  <c r="K7" i="22"/>
  <c r="Q7" i="22" s="1"/>
  <c r="S7" i="22" s="1"/>
  <c r="U7" i="22" s="1"/>
  <c r="S10" i="22"/>
  <c r="U10" i="22" s="1"/>
  <c r="K13" i="22"/>
  <c r="Q13" i="22" s="1"/>
  <c r="S13" i="22" s="1"/>
  <c r="U13" i="22" s="1"/>
  <c r="T58" i="22"/>
  <c r="T29" i="26"/>
  <c r="P23" i="26"/>
  <c r="J23" i="26"/>
  <c r="K23" i="26" s="1"/>
  <c r="Q23" i="26" s="1"/>
  <c r="S23" i="26" s="1"/>
  <c r="U23" i="26" s="1"/>
  <c r="P20" i="26"/>
  <c r="K20" i="26"/>
  <c r="Q20" i="26" s="1"/>
  <c r="S20" i="26" s="1"/>
  <c r="U20" i="26" s="1"/>
  <c r="K17" i="26"/>
  <c r="Q17" i="26" s="1"/>
  <c r="S17" i="26" s="1"/>
  <c r="U17" i="26" s="1"/>
  <c r="K14" i="26"/>
  <c r="Q14" i="26" s="1"/>
  <c r="T32" i="27"/>
  <c r="Q32" i="27"/>
  <c r="K27" i="27"/>
  <c r="Q27" i="27" s="1"/>
  <c r="S27" i="27" s="1"/>
  <c r="U27" i="27" s="1"/>
  <c r="K24" i="27"/>
  <c r="Q24" i="27" s="1"/>
  <c r="S24" i="27" s="1"/>
  <c r="U24" i="27" s="1"/>
  <c r="K21" i="27"/>
  <c r="Q21" i="27" s="1"/>
  <c r="S21" i="27" s="1"/>
  <c r="U21" i="27" s="1"/>
  <c r="P19" i="27"/>
  <c r="K19" i="27"/>
  <c r="K18" i="27"/>
  <c r="K17" i="27"/>
  <c r="Q17" i="27" s="1"/>
  <c r="S17" i="27" s="1"/>
  <c r="U17" i="27" s="1"/>
  <c r="K14" i="27"/>
  <c r="Q14" i="27" s="1"/>
  <c r="R31" i="21"/>
  <c r="J19" i="21"/>
  <c r="O19" i="21" s="1"/>
  <c r="J16" i="21"/>
  <c r="O16" i="21" s="1"/>
  <c r="J13" i="21"/>
  <c r="O13" i="21" s="1"/>
  <c r="S13" i="21" s="1"/>
  <c r="J10" i="21"/>
  <c r="O10" i="21" s="1"/>
  <c r="J7" i="21"/>
  <c r="O7" i="21" s="1"/>
  <c r="J4" i="21"/>
  <c r="O4" i="21" s="1"/>
  <c r="S62" i="30" l="1"/>
  <c r="U81" i="22"/>
  <c r="S81" i="22"/>
  <c r="K23" i="5" s="1"/>
  <c r="S32" i="27"/>
  <c r="K31" i="5" s="1"/>
  <c r="Q4" i="22"/>
  <c r="S4" i="22" s="1"/>
  <c r="S14" i="26"/>
  <c r="Q29" i="26"/>
  <c r="S14" i="27"/>
  <c r="S4" i="21"/>
  <c r="Q4" i="21"/>
  <c r="S7" i="21"/>
  <c r="Q7" i="21"/>
  <c r="S10" i="21"/>
  <c r="Q10" i="21"/>
  <c r="Q16" i="21"/>
  <c r="S16" i="21"/>
  <c r="S19" i="21"/>
  <c r="Q19" i="21"/>
  <c r="Q13" i="21"/>
  <c r="L23" i="5" l="1"/>
  <c r="I23" i="5" s="1"/>
  <c r="H23" i="5"/>
  <c r="J23" i="5"/>
  <c r="J24" i="5" s="1"/>
  <c r="K24" i="5" s="1"/>
  <c r="Q58" i="22"/>
  <c r="S31" i="21"/>
  <c r="U4" i="22"/>
  <c r="U58" i="22" s="1"/>
  <c r="S58" i="22"/>
  <c r="K7" i="5" s="1"/>
  <c r="S29" i="26"/>
  <c r="K32" i="5" s="1"/>
  <c r="U14" i="26"/>
  <c r="U29" i="26" s="1"/>
  <c r="U14" i="27"/>
  <c r="U32" i="27" s="1"/>
  <c r="H24" i="5" l="1"/>
  <c r="L24" i="5"/>
  <c r="I24" i="5" s="1"/>
  <c r="J7" i="5"/>
  <c r="H7" i="5"/>
  <c r="L7" i="5"/>
  <c r="I7" i="5" s="1"/>
  <c r="E69" i="5"/>
  <c r="J8" i="5" l="1"/>
  <c r="K8" i="5" s="1"/>
  <c r="L8" i="5" s="1"/>
  <c r="I8" i="5" s="1"/>
  <c r="J9" i="5"/>
  <c r="K9" i="5" s="1"/>
  <c r="L47" i="1"/>
  <c r="H53" i="5"/>
  <c r="J53" i="5"/>
  <c r="L53" i="5"/>
  <c r="I53" i="5" s="1"/>
  <c r="E53" i="5"/>
  <c r="E52" i="5"/>
  <c r="E51" i="5"/>
  <c r="E50" i="5"/>
  <c r="E49" i="5"/>
  <c r="E48" i="5"/>
  <c r="E47" i="5"/>
  <c r="T156" i="28"/>
  <c r="K103" i="28"/>
  <c r="K102" i="28"/>
  <c r="K101" i="28"/>
  <c r="K100" i="28"/>
  <c r="K99" i="28"/>
  <c r="K98" i="28"/>
  <c r="T92" i="28"/>
  <c r="K78" i="28"/>
  <c r="Q78" i="28" s="1"/>
  <c r="K77" i="28"/>
  <c r="Q77" i="28" s="1"/>
  <c r="T71" i="28"/>
  <c r="K56" i="28"/>
  <c r="Q56" i="28" s="1"/>
  <c r="T49" i="28"/>
  <c r="K34" i="28"/>
  <c r="Q34" i="28" s="1"/>
  <c r="H8" i="5" l="1"/>
  <c r="S42" i="1"/>
  <c r="R42" i="1" s="1"/>
  <c r="L9" i="5"/>
  <c r="I9" i="5" s="1"/>
  <c r="H9" i="5"/>
  <c r="Q98" i="28"/>
  <c r="S98" i="28" s="1"/>
  <c r="S77" i="28"/>
  <c r="Q92" i="28"/>
  <c r="S56" i="28"/>
  <c r="Q71" i="28"/>
  <c r="Q49" i="28"/>
  <c r="S34" i="28"/>
  <c r="H55" i="5"/>
  <c r="J55" i="5"/>
  <c r="L55" i="5" s="1"/>
  <c r="I55" i="5" s="1"/>
  <c r="Q156" i="28" l="1"/>
  <c r="U98" i="28"/>
  <c r="U156" i="28" s="1"/>
  <c r="S156" i="28"/>
  <c r="K47" i="5" s="1"/>
  <c r="U77" i="28"/>
  <c r="U92" i="28" s="1"/>
  <c r="S92" i="28"/>
  <c r="K52" i="5" s="1"/>
  <c r="S71" i="28"/>
  <c r="K51" i="5" s="1"/>
  <c r="U56" i="28"/>
  <c r="U71" i="28" s="1"/>
  <c r="S49" i="28"/>
  <c r="K50" i="5" s="1"/>
  <c r="U34" i="28"/>
  <c r="U49" i="28" s="1"/>
  <c r="L52" i="5" l="1"/>
  <c r="I52" i="5" s="1"/>
  <c r="J52" i="5"/>
  <c r="H52" i="5"/>
  <c r="J50" i="5"/>
  <c r="L50" i="5"/>
  <c r="I50" i="5" s="1"/>
  <c r="H50" i="5"/>
  <c r="J51" i="5"/>
  <c r="L51" i="5"/>
  <c r="I51" i="5" s="1"/>
  <c r="H51" i="5"/>
  <c r="L47" i="5"/>
  <c r="I47" i="5" s="1"/>
  <c r="J47" i="5"/>
  <c r="H47" i="5"/>
  <c r="L34" i="5"/>
  <c r="I34" i="5" s="1"/>
  <c r="J34" i="5"/>
  <c r="H34" i="5"/>
  <c r="E34" i="5"/>
  <c r="E32" i="5"/>
  <c r="H31" i="5" l="1"/>
  <c r="T29" i="25"/>
  <c r="K14" i="25"/>
  <c r="Q14" i="25" s="1"/>
  <c r="T29" i="24"/>
  <c r="K17" i="24"/>
  <c r="Q17" i="24" s="1"/>
  <c r="S17" i="24" s="1"/>
  <c r="U17" i="24" s="1"/>
  <c r="K14" i="24"/>
  <c r="Q14" i="24" s="1"/>
  <c r="S14" i="25" l="1"/>
  <c r="Q29" i="25"/>
  <c r="S14" i="24"/>
  <c r="Q29" i="24"/>
  <c r="U14" i="25" l="1"/>
  <c r="U29" i="25" s="1"/>
  <c r="S29" i="25"/>
  <c r="U14" i="24"/>
  <c r="U29" i="24" s="1"/>
  <c r="S29" i="24"/>
  <c r="J32" i="5" l="1"/>
  <c r="J37" i="5" l="1"/>
  <c r="K37" i="5" s="1"/>
  <c r="S23" i="1" s="1"/>
  <c r="H32" i="5"/>
  <c r="L32" i="5"/>
  <c r="I32" i="5" s="1"/>
  <c r="L37" i="5" l="1"/>
  <c r="I37" i="5" s="1"/>
  <c r="R23" i="1"/>
  <c r="H37" i="5"/>
  <c r="R21" i="20"/>
  <c r="P4" i="20"/>
  <c r="Q4" i="20" s="1"/>
  <c r="K4" i="20"/>
  <c r="R11" i="12"/>
  <c r="P3" i="12"/>
  <c r="K3" i="12"/>
  <c r="Q3" i="12" s="1"/>
  <c r="T9" i="11"/>
  <c r="S9" i="11"/>
  <c r="P3" i="11"/>
  <c r="K3" i="11"/>
  <c r="Q3" i="11" s="1"/>
  <c r="R21" i="10"/>
  <c r="P4" i="10"/>
  <c r="K4" i="10"/>
  <c r="R21" i="9"/>
  <c r="P7" i="9"/>
  <c r="K7" i="9"/>
  <c r="P4" i="9"/>
  <c r="K4" i="9"/>
  <c r="Q4" i="9" s="1"/>
  <c r="R21" i="8"/>
  <c r="P7" i="8"/>
  <c r="K7" i="8"/>
  <c r="Q7" i="8" s="1"/>
  <c r="S7" i="8" s="1"/>
  <c r="P4" i="8"/>
  <c r="K4" i="8"/>
  <c r="O31" i="21" l="1"/>
  <c r="Q4" i="8"/>
  <c r="Q21" i="8" s="1"/>
  <c r="Q4" i="10"/>
  <c r="Q7" i="9"/>
  <c r="S7" i="9" s="1"/>
  <c r="Q21" i="9"/>
  <c r="S4" i="9"/>
  <c r="S21" i="9" s="1"/>
  <c r="Q21" i="20"/>
  <c r="S4" i="20"/>
  <c r="S21" i="20" s="1"/>
  <c r="Q9" i="11"/>
  <c r="U3" i="11"/>
  <c r="U9" i="11" s="1"/>
  <c r="S3" i="12"/>
  <c r="S11" i="12" s="1"/>
  <c r="Q11" i="12"/>
  <c r="Q21" i="10"/>
  <c r="S4" i="10"/>
  <c r="S21" i="10" s="1"/>
  <c r="S4" i="8" l="1"/>
  <c r="S21" i="8" s="1"/>
  <c r="Q31" i="21"/>
  <c r="K15" i="5" s="1"/>
  <c r="T42" i="1" l="1"/>
  <c r="T33" i="1"/>
  <c r="P33" i="1" s="1"/>
  <c r="T31" i="1"/>
  <c r="P31" i="1" s="1"/>
  <c r="T29" i="1"/>
  <c r="P29" i="1" s="1"/>
  <c r="T23" i="1"/>
  <c r="P23" i="1" s="1"/>
  <c r="T21" i="1"/>
  <c r="P21" i="1" s="1"/>
  <c r="P17" i="1"/>
  <c r="T13" i="1"/>
  <c r="P13" i="1" s="1"/>
  <c r="T15" i="1"/>
  <c r="N42" i="1"/>
  <c r="N33" i="1"/>
  <c r="N31" i="1"/>
  <c r="N23" i="1"/>
  <c r="N21" i="1"/>
  <c r="N17" i="1"/>
  <c r="N15" i="1"/>
  <c r="P15" i="1" l="1"/>
  <c r="T44" i="1"/>
  <c r="P44" i="1" s="1"/>
  <c r="P42" i="1"/>
  <c r="O29" i="1"/>
  <c r="O33" i="1"/>
  <c r="O31" i="1"/>
  <c r="O17" i="1"/>
  <c r="O42" i="1"/>
  <c r="O21" i="1"/>
  <c r="O13" i="1"/>
  <c r="J31" i="5"/>
  <c r="O23" i="1"/>
  <c r="S44" i="1" l="1"/>
  <c r="O44" i="1" s="1"/>
  <c r="J38" i="5"/>
  <c r="K38" i="5" s="1"/>
  <c r="H15" i="5"/>
  <c r="L31" i="5"/>
  <c r="E31" i="5"/>
  <c r="E103" i="5" s="1"/>
  <c r="C5" i="6" s="1"/>
  <c r="O15" i="1"/>
  <c r="L38" i="5" l="1"/>
  <c r="I38" i="5" s="1"/>
  <c r="S25" i="1"/>
  <c r="R25" i="1" s="1"/>
  <c r="N25" i="1" s="1"/>
  <c r="H38" i="5"/>
  <c r="I31" i="5"/>
  <c r="G103" i="5"/>
  <c r="L15" i="5"/>
  <c r="I15" i="5" s="1"/>
  <c r="O25" i="1" l="1"/>
  <c r="T25" i="1"/>
  <c r="L26" i="5"/>
  <c r="G3" i="6" s="1"/>
  <c r="I26" i="5"/>
  <c r="P25" i="1" l="1"/>
  <c r="R50" i="1"/>
  <c r="F42" i="1"/>
  <c r="F33" i="1"/>
  <c r="F31" i="1"/>
  <c r="F29" i="1"/>
  <c r="F25" i="1"/>
  <c r="H25" i="1" s="1"/>
  <c r="F23" i="1"/>
  <c r="H23" i="1" s="1"/>
  <c r="F21" i="1"/>
  <c r="F19" i="1"/>
  <c r="H19" i="1" s="1"/>
  <c r="F17" i="1"/>
  <c r="F15" i="1"/>
  <c r="H15" i="1" s="1"/>
  <c r="F13" i="1"/>
  <c r="F47" i="1" l="1"/>
  <c r="F3" i="6"/>
  <c r="I3" i="6"/>
  <c r="C2" i="6"/>
  <c r="H42" i="1"/>
  <c r="G44" i="1" s="1"/>
  <c r="H44" i="1" l="1"/>
  <c r="N44" i="1" l="1"/>
  <c r="E4" i="6" l="1"/>
  <c r="E6" i="6" s="1"/>
  <c r="E9" i="6" s="1"/>
  <c r="D4" i="6"/>
  <c r="D6" i="6" s="1"/>
  <c r="E11" i="6" l="1"/>
  <c r="E14" i="6" s="1"/>
  <c r="N13" i="1"/>
  <c r="N29" i="1"/>
  <c r="F8" i="6" l="1"/>
  <c r="H69" i="5" l="1"/>
  <c r="J69" i="5"/>
  <c r="L69" i="5"/>
  <c r="I69" i="5" s="1"/>
  <c r="L103" i="5" l="1"/>
  <c r="J103" i="5" l="1"/>
  <c r="G5" i="6"/>
  <c r="I103" i="5"/>
  <c r="F5" i="6" l="1"/>
  <c r="N19" i="1"/>
  <c r="O19" i="1"/>
  <c r="T19" i="1"/>
  <c r="P19" i="1" l="1"/>
  <c r="P47" i="1" s="1"/>
  <c r="T47" i="1"/>
  <c r="G2" i="6" l="1"/>
  <c r="S47" i="1"/>
  <c r="F2" i="6" l="1"/>
  <c r="G4" i="6"/>
  <c r="I2" i="6"/>
  <c r="G6" i="6" l="1"/>
  <c r="G9" i="6" s="1"/>
  <c r="I4" i="6"/>
  <c r="F4" i="6"/>
  <c r="L6" i="6" l="1"/>
  <c r="F6" i="6"/>
  <c r="F9" i="6"/>
  <c r="G11" i="6" l="1"/>
  <c r="E26" i="5"/>
  <c r="J15" i="5"/>
  <c r="F11" i="6" l="1"/>
  <c r="F14" i="6" s="1"/>
  <c r="G14" i="6"/>
  <c r="C3" i="6"/>
  <c r="J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15" authorId="0" shapeId="0" xr:uid="{CBBBB7A2-19FB-4D53-A164-FFF6504DFEBD}">
      <text>
        <r>
          <rPr>
            <b/>
            <sz val="9"/>
            <color indexed="81"/>
            <rFont val="Tahoma"/>
            <family val="2"/>
          </rPr>
          <t>Himal Kosala:</t>
        </r>
        <r>
          <rPr>
            <sz val="9"/>
            <color indexed="81"/>
            <rFont val="Tahoma"/>
            <family val="2"/>
          </rPr>
          <t xml:space="preserve">
WFA Certified qty</t>
        </r>
      </text>
    </comment>
    <comment ref="S23" authorId="0" shapeId="0" xr:uid="{7B9A0D33-612E-4DD0-8539-FF946306743B}">
      <text>
        <r>
          <rPr>
            <b/>
            <sz val="9"/>
            <color indexed="81"/>
            <rFont val="Tahoma"/>
            <family val="2"/>
          </rPr>
          <t>Himal Kosala:</t>
        </r>
        <r>
          <rPr>
            <sz val="9"/>
            <color indexed="81"/>
            <rFont val="Tahoma"/>
            <family val="2"/>
          </rPr>
          <t xml:space="preserve">
195.53 m2 WA-PS005 R2 Completed qty</t>
        </r>
      </text>
    </comment>
    <comment ref="S25" authorId="0" shapeId="0" xr:uid="{952C1A98-856D-4BEF-864C-6C34B47430A3}">
      <text>
        <r>
          <rPr>
            <b/>
            <sz val="9"/>
            <color indexed="81"/>
            <rFont val="Tahoma"/>
            <family val="2"/>
          </rPr>
          <t>Himal Kosala:</t>
        </r>
        <r>
          <rPr>
            <sz val="9"/>
            <color indexed="81"/>
            <rFont val="Tahoma"/>
            <family val="2"/>
          </rPr>
          <t xml:space="preserve">
141.46 m2 WA-PS005 R2 Completed qty</t>
        </r>
      </text>
    </comment>
    <comment ref="S42" authorId="0" shapeId="0" xr:uid="{C3D3AB09-23E5-48B5-AEF0-B2EE8C5993BE}">
      <text>
        <r>
          <rPr>
            <b/>
            <sz val="9"/>
            <color indexed="81"/>
            <rFont val="Tahoma"/>
            <family val="2"/>
          </rPr>
          <t>Himal Kosala:</t>
        </r>
        <r>
          <rPr>
            <sz val="9"/>
            <color indexed="81"/>
            <rFont val="Tahoma"/>
            <family val="2"/>
          </rPr>
          <t xml:space="preserve">
WFA Certified Qty (6%) = 77.88m2
 Extra Paid 244.28 qty from Nov bill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24" authorId="0" shapeId="0" xr:uid="{0E5D555C-45F1-4F7A-8E2C-5F940DE670E4}">
      <text>
        <r>
          <rPr>
            <b/>
            <sz val="9"/>
            <color indexed="81"/>
            <rFont val="Tahoma"/>
            <family val="2"/>
          </rPr>
          <t>Himal Kosala:</t>
        </r>
        <r>
          <rPr>
            <sz val="9"/>
            <color indexed="81"/>
            <rFont val="Tahoma"/>
            <family val="2"/>
          </rPr>
          <t xml:space="preserve">
Mention WIR for 200mm EIFS</t>
        </r>
      </text>
    </comment>
    <comment ref="R30" authorId="0" shapeId="0" xr:uid="{121313E0-70FA-4FAF-820E-387F33A5BDEC}">
      <text>
        <r>
          <rPr>
            <b/>
            <sz val="9"/>
            <color indexed="81"/>
            <rFont val="Tahoma"/>
            <family val="2"/>
          </rPr>
          <t>Himal Kosala:</t>
        </r>
        <r>
          <rPr>
            <sz val="9"/>
            <color indexed="81"/>
            <rFont val="Tahoma"/>
            <family val="2"/>
          </rPr>
          <t xml:space="preserve">
No WIR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27" authorId="0" shapeId="0" xr:uid="{32F3EE2B-3517-43FA-8C7C-A1C05FF7DF65}">
      <text>
        <r>
          <rPr>
            <b/>
            <sz val="9"/>
            <color indexed="81"/>
            <rFont val="Tahoma"/>
            <family val="2"/>
          </rPr>
          <t>Himal Kosala:</t>
        </r>
        <r>
          <rPr>
            <sz val="9"/>
            <color indexed="81"/>
            <rFont val="Tahoma"/>
            <family val="2"/>
          </rPr>
          <t xml:space="preserve">
WIR raised for basecoat approval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14" authorId="0" shapeId="0" xr:uid="{32D6A015-E0AD-4647-9535-D43F9D069670}">
      <text>
        <r>
          <rPr>
            <b/>
            <sz val="9"/>
            <color indexed="81"/>
            <rFont val="Tahoma"/>
            <family val="2"/>
          </rPr>
          <t>Himal Kosala:</t>
        </r>
        <r>
          <rPr>
            <sz val="9"/>
            <color indexed="81"/>
            <rFont val="Tahoma"/>
            <family val="2"/>
          </rPr>
          <t xml:space="preserve">
No approved WIR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 authorId="0" shapeId="0" xr:uid="{303E1DEE-5DA5-45F8-B9FF-BD7E84EFAE02}">
      <text>
        <r>
          <rPr>
            <b/>
            <sz val="9"/>
            <color indexed="81"/>
            <rFont val="Tahoma"/>
            <family val="2"/>
          </rPr>
          <t>Himal Kosala:</t>
        </r>
        <r>
          <rPr>
            <sz val="9"/>
            <color indexed="81"/>
            <rFont val="Tahoma"/>
            <family val="2"/>
          </rPr>
          <t xml:space="preserve">
This qty include WFA qty 35.21 (see the measurements)</t>
        </r>
      </text>
    </comment>
    <comment ref="K9" authorId="0" shapeId="0" xr:uid="{BB0ECC57-68D3-489A-8B28-0167B74A4242}">
      <text>
        <r>
          <rPr>
            <b/>
            <sz val="9"/>
            <color indexed="81"/>
            <rFont val="Tahoma"/>
            <family val="2"/>
          </rPr>
          <t>Himal Kosala:</t>
        </r>
        <r>
          <rPr>
            <sz val="9"/>
            <color indexed="81"/>
            <rFont val="Tahoma"/>
            <family val="2"/>
          </rPr>
          <t xml:space="preserve">
As per WFA, this deduction already paid in EIFS render in main bill</t>
        </r>
      </text>
    </comment>
    <comment ref="K15" authorId="0" shapeId="0" xr:uid="{3FC95228-8A25-4206-89C0-2948BE012ACC}">
      <text>
        <r>
          <rPr>
            <b/>
            <sz val="9"/>
            <color indexed="81"/>
            <rFont val="Tahoma"/>
            <family val="2"/>
          </rPr>
          <t>Himal Kosala:</t>
        </r>
        <r>
          <rPr>
            <sz val="9"/>
            <color indexed="81"/>
            <rFont val="Tahoma"/>
            <family val="2"/>
          </rPr>
          <t xml:space="preserve">
WFA qty 60.35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4" authorId="0" shapeId="0" xr:uid="{1266B321-526A-4EEC-AC1D-BD0EF84E25D7}">
      <text>
        <r>
          <rPr>
            <b/>
            <sz val="9"/>
            <color indexed="81"/>
            <rFont val="Tahoma"/>
            <family val="2"/>
          </rPr>
          <t>Himal Kosala:</t>
        </r>
        <r>
          <rPr>
            <sz val="9"/>
            <color indexed="81"/>
            <rFont val="Tahoma"/>
            <family val="2"/>
          </rPr>
          <t xml:space="preserve">
This is the WFA qty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77" authorId="0" shapeId="0" xr:uid="{0CB7AC20-ECEB-48A6-97A2-5ABBC4C468A5}">
      <text>
        <r>
          <rPr>
            <b/>
            <sz val="9"/>
            <color indexed="81"/>
            <rFont val="Tahoma"/>
            <family val="2"/>
          </rPr>
          <t>Himal Kosala:</t>
        </r>
        <r>
          <rPr>
            <sz val="9"/>
            <color indexed="81"/>
            <rFont val="Tahoma"/>
            <family val="2"/>
          </rPr>
          <t xml:space="preserve">
No WIR attached</t>
        </r>
      </text>
    </comment>
    <comment ref="R115" authorId="0" shapeId="0" xr:uid="{344690CB-39ED-460B-821E-1F6D449B62E1}">
      <text>
        <r>
          <rPr>
            <b/>
            <sz val="9"/>
            <color indexed="81"/>
            <rFont val="Tahoma"/>
            <family val="2"/>
          </rPr>
          <t>Himal Kosala:</t>
        </r>
        <r>
          <rPr>
            <sz val="9"/>
            <color indexed="81"/>
            <rFont val="Tahoma"/>
            <family val="2"/>
          </rPr>
          <t xml:space="preserve">
Supporting- Photos 
Please send the Approved WIR</t>
        </r>
      </text>
    </comment>
    <comment ref="C129" authorId="0" shapeId="0" xr:uid="{8E559DF9-E8CA-422F-AC1D-485ED5CD56A0}">
      <text>
        <r>
          <rPr>
            <b/>
            <sz val="9"/>
            <color indexed="81"/>
            <rFont val="Tahoma"/>
            <family val="2"/>
          </rPr>
          <t>Himal Kosala:</t>
        </r>
        <r>
          <rPr>
            <sz val="9"/>
            <color indexed="81"/>
            <rFont val="Tahoma"/>
            <family val="2"/>
          </rPr>
          <t xml:space="preserve">
No WIR for below</t>
        </r>
      </text>
    </comment>
    <comment ref="R130" authorId="0" shapeId="0" xr:uid="{10B2AC50-94DA-49D9-945F-7C12CB5A8E58}">
      <text>
        <r>
          <rPr>
            <b/>
            <sz val="9"/>
            <color indexed="81"/>
            <rFont val="Tahoma"/>
            <family val="2"/>
          </rPr>
          <t>Himal Kosala:</t>
        </r>
        <r>
          <rPr>
            <sz val="9"/>
            <color indexed="81"/>
            <rFont val="Tahoma"/>
            <family val="2"/>
          </rPr>
          <t xml:space="preserve">
Supporting- Photos 
Please send the Approved WIR</t>
        </r>
      </text>
    </comment>
    <comment ref="R134" authorId="0" shapeId="0" xr:uid="{1C62DE6E-D364-471A-8468-52DE2AB070FE}">
      <text>
        <r>
          <rPr>
            <b/>
            <sz val="9"/>
            <color indexed="81"/>
            <rFont val="Tahoma"/>
            <family val="2"/>
          </rPr>
          <t>Himal Kosala:</t>
        </r>
        <r>
          <rPr>
            <sz val="9"/>
            <color indexed="81"/>
            <rFont val="Tahoma"/>
            <family val="2"/>
          </rPr>
          <t xml:space="preserve">
Supporting- Photos 
Please send the Approved WIR</t>
        </r>
      </text>
    </comment>
    <comment ref="D137" authorId="0" shapeId="0" xr:uid="{B6D419D1-0891-4BBD-B3E1-6EBB98212A6B}">
      <text>
        <r>
          <rPr>
            <b/>
            <sz val="9"/>
            <color indexed="81"/>
            <rFont val="Tahoma"/>
            <family val="2"/>
          </rPr>
          <t>Himal Kosala:</t>
        </r>
        <r>
          <rPr>
            <sz val="9"/>
            <color indexed="81"/>
            <rFont val="Tahoma"/>
            <family val="2"/>
          </rPr>
          <t xml:space="preserve">
Wrong WIR</t>
        </r>
      </text>
    </comment>
    <comment ref="R137" authorId="0" shapeId="0" xr:uid="{E585EEC2-93E4-4330-B8FF-AE7D0004F93D}">
      <text>
        <r>
          <rPr>
            <b/>
            <sz val="9"/>
            <color indexed="81"/>
            <rFont val="Tahoma"/>
            <family val="2"/>
          </rPr>
          <t>Himal Kosala:</t>
        </r>
        <r>
          <rPr>
            <sz val="9"/>
            <color indexed="81"/>
            <rFont val="Tahoma"/>
            <family val="2"/>
          </rPr>
          <t xml:space="preserve">
Supporting- Photos 
Please send the Approved WIR</t>
        </r>
      </text>
    </comment>
    <comment ref="D138" authorId="0" shapeId="0" xr:uid="{BF42C03A-3455-43C8-A038-9CD54E957875}">
      <text>
        <r>
          <rPr>
            <b/>
            <sz val="9"/>
            <color indexed="81"/>
            <rFont val="Tahoma"/>
            <family val="2"/>
          </rPr>
          <t>Himal Kosala:</t>
        </r>
        <r>
          <rPr>
            <sz val="9"/>
            <color indexed="81"/>
            <rFont val="Tahoma"/>
            <family val="2"/>
          </rPr>
          <t xml:space="preserve">
Wrong WIR</t>
        </r>
      </text>
    </comment>
    <comment ref="R140" authorId="0" shapeId="0" xr:uid="{4B736576-B4CC-4E5D-B0A1-615971001520}">
      <text>
        <r>
          <rPr>
            <b/>
            <sz val="9"/>
            <color indexed="81"/>
            <rFont val="Tahoma"/>
            <family val="2"/>
          </rPr>
          <t>Himal Kosala:</t>
        </r>
        <r>
          <rPr>
            <sz val="9"/>
            <color indexed="81"/>
            <rFont val="Tahoma"/>
            <family val="2"/>
          </rPr>
          <t xml:space="preserve">
Supporting- Photos 
Please send the Approved WIR</t>
        </r>
      </text>
    </comment>
    <comment ref="B158" authorId="0" shapeId="0" xr:uid="{837DF9CC-FD37-43B4-B633-AFB68B99171F}">
      <text>
        <r>
          <rPr>
            <b/>
            <sz val="9"/>
            <color indexed="81"/>
            <rFont val="Tahoma"/>
            <family val="2"/>
          </rPr>
          <t>Himal Kosala:</t>
        </r>
        <r>
          <rPr>
            <sz val="9"/>
            <color indexed="81"/>
            <rFont val="Tahoma"/>
            <family val="2"/>
          </rPr>
          <t xml:space="preserve">
This Lump-sum is now 100% complete</t>
        </r>
      </text>
    </comment>
    <comment ref="R286" authorId="0" shapeId="0" xr:uid="{1F36E8CB-CE15-4A52-A5C9-F543772C0785}">
      <text>
        <r>
          <rPr>
            <b/>
            <sz val="9"/>
            <color indexed="81"/>
            <rFont val="Tahoma"/>
            <family val="2"/>
          </rPr>
          <t>Himal Kosala:</t>
        </r>
        <r>
          <rPr>
            <sz val="9"/>
            <color indexed="81"/>
            <rFont val="Tahoma"/>
            <family val="2"/>
          </rPr>
          <t xml:space="preserve">
No approved WIR</t>
        </r>
      </text>
    </comment>
    <comment ref="R306" authorId="0" shapeId="0" xr:uid="{75D67D89-D99E-4799-8F59-9B5D84ACEC7B}">
      <text>
        <r>
          <rPr>
            <b/>
            <sz val="9"/>
            <color indexed="81"/>
            <rFont val="Tahoma"/>
            <family val="2"/>
          </rPr>
          <t>Himal Kosala:</t>
        </r>
        <r>
          <rPr>
            <sz val="9"/>
            <color indexed="81"/>
            <rFont val="Tahoma"/>
            <family val="2"/>
          </rPr>
          <t xml:space="preserve">
WIR 230 not attached</t>
        </r>
      </text>
    </comment>
  </commentList>
</comments>
</file>

<file path=xl/sharedStrings.xml><?xml version="1.0" encoding="utf-8"?>
<sst xmlns="http://schemas.openxmlformats.org/spreadsheetml/2006/main" count="2027" uniqueCount="630">
  <si>
    <t>PROGRESS BOQ</t>
  </si>
  <si>
    <t>Item</t>
  </si>
  <si>
    <t>Description</t>
  </si>
  <si>
    <t>Qty.</t>
  </si>
  <si>
    <t>Unit</t>
  </si>
  <si>
    <t>Rate</t>
  </si>
  <si>
    <t>Amount</t>
  </si>
  <si>
    <t xml:space="preserve">OCI - Certified </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</si>
  <si>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</si>
  <si>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</si>
  <si>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</si>
  <si>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</si>
  <si>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</si>
  <si>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</si>
  <si>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</si>
  <si>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</si>
  <si>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</si>
  <si>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</si>
  <si>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</si>
  <si>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</si>
  <si>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</si>
  <si>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</si>
  <si>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</si>
  <si>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</si>
  <si>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</si>
  <si>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</si>
  <si>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</si>
  <si>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</si>
  <si>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</si>
  <si>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</si>
  <si>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</si>
  <si>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</si>
  <si>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</si>
  <si>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</si>
  <si>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</si>
  <si>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</si>
  <si>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</si>
  <si>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</si>
  <si>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</si>
  <si>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</si>
  <si>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</si>
  <si>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</si>
  <si>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</si>
  <si>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</si>
  <si>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</si>
  <si>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 xml:space="preserve">Previous </t>
  </si>
  <si>
    <t xml:space="preserve">This Month </t>
  </si>
  <si>
    <t xml:space="preserve">Cumulative </t>
  </si>
  <si>
    <t xml:space="preserve">QTY </t>
  </si>
  <si>
    <r>
      <t>Amoun</t>
    </r>
    <r>
      <rPr>
        <b/>
        <sz val="9"/>
        <rFont val="Calibri"/>
        <family val="2"/>
        <scheme val="minor"/>
      </rPr>
      <t xml:space="preserve">t </t>
    </r>
  </si>
  <si>
    <t>%</t>
  </si>
  <si>
    <t>01</t>
  </si>
  <si>
    <t>02</t>
  </si>
  <si>
    <t>03</t>
  </si>
  <si>
    <t>04</t>
  </si>
  <si>
    <t>05</t>
  </si>
  <si>
    <t xml:space="preserve">NEW VARIATIONS </t>
  </si>
  <si>
    <t>Sub-Totals</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</si>
  <si>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</si>
  <si>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</si>
  <si>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</si>
  <si>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</si>
  <si>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</si>
  <si>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</si>
  <si>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</si>
  <si>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</si>
  <si>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This Month Workdone</t>
  </si>
  <si>
    <t>Cumulative</t>
  </si>
  <si>
    <t>New Variations</t>
  </si>
  <si>
    <t>Variations (old)</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</si>
  <si>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</si>
  <si>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</si>
  <si>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</si>
  <si>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</si>
  <si>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</si>
  <si>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</si>
  <si>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</si>
  <si>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</si>
  <si>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</si>
  <si>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</si>
  <si>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</si>
  <si>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</si>
  <si>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</si>
  <si>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</si>
  <si>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</si>
  <si>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</si>
  <si>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</si>
  <si>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</si>
  <si>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</si>
  <si>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</si>
  <si>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</si>
  <si>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</si>
  <si>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</si>
  <si>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</si>
  <si>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</si>
  <si>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</si>
  <si>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</si>
  <si>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</si>
  <si>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</si>
  <si>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</si>
  <si>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</si>
  <si>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</si>
  <si>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</si>
  <si>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</si>
  <si>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</si>
  <si>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</si>
  <si>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</si>
  <si>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</si>
  <si>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</si>
  <si>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</si>
  <si>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</si>
  <si>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</si>
  <si>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</si>
  <si>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</si>
  <si>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</si>
  <si>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</si>
  <si>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</si>
  <si>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</si>
  <si>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</si>
  <si>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JOT-AX-SD-ML-00003_02</t>
  </si>
  <si>
    <t>E-H/10-11</t>
  </si>
  <si>
    <t>WALL L2</t>
  </si>
  <si>
    <t>(HOUSEKEEPING LOBBY)</t>
  </si>
  <si>
    <t>D-F/7-8</t>
  </si>
  <si>
    <t>WALL GF</t>
  </si>
  <si>
    <t>JOT-AX-WR-GF-00017</t>
  </si>
  <si>
    <t>E-F/6-7</t>
  </si>
  <si>
    <t>JOT-AX-SD-L4-00005_02</t>
  </si>
  <si>
    <t>E-H/10-12</t>
  </si>
  <si>
    <t>WALL L4</t>
  </si>
  <si>
    <t xml:space="preserve">STAIR 6 WALL,Elevation-10 </t>
  </si>
  <si>
    <t xml:space="preserve">JOT-AX-SD-L4-00005_02 </t>
  </si>
  <si>
    <t xml:space="preserve">E-H/10-12 </t>
  </si>
  <si>
    <t>JOT-AX-WR-L4-00071</t>
  </si>
  <si>
    <t>JOT-AX-WR-L4-00070_01</t>
  </si>
  <si>
    <t>JOT-AX-WR-L4-00036</t>
  </si>
  <si>
    <t>A-U/23-25</t>
  </si>
  <si>
    <t>BO22</t>
  </si>
  <si>
    <t>JOT-AX-WR-L29-00052</t>
  </si>
  <si>
    <t>STAIR 6 WALL,Elevation-07,</t>
  </si>
  <si>
    <t>JOT-AX-SD-ML-00003_01</t>
  </si>
  <si>
    <t>JOT-AX-WR-ML-00074_01</t>
  </si>
  <si>
    <t>GF Ballroom Wall</t>
  </si>
  <si>
    <t>L4 ZONE 3, GATE 2 FRONT</t>
  </si>
  <si>
    <t>JOT-AX-SD-L04-00005_00_E</t>
  </si>
  <si>
    <t>A-I/Y1-4</t>
  </si>
  <si>
    <t>JOT-AX-WR-L4-00009</t>
  </si>
  <si>
    <t>LEVEL-2 PARAPET-BASECOAT</t>
  </si>
  <si>
    <t>JOT-AX-SD-L4-00004_03</t>
  </si>
  <si>
    <t>U-Z/13-15</t>
  </si>
  <si>
    <t>JOT-AX-WR-L2-00082_00</t>
  </si>
  <si>
    <t>LEVEL-4,STAIR 6 WALL,Elevation-08</t>
  </si>
  <si>
    <t xml:space="preserve">HEIGHT </t>
  </si>
  <si>
    <t>L4, PARAPET</t>
  </si>
  <si>
    <t>W-X/13-16</t>
  </si>
  <si>
    <t>BO23</t>
  </si>
  <si>
    <t>X-Q/23-24</t>
  </si>
  <si>
    <t>PARAPET L4</t>
  </si>
  <si>
    <t>JOT-AX-WR-L4-00073</t>
  </si>
  <si>
    <t>L2 PARAPET, ROADSIDE</t>
  </si>
  <si>
    <t>JOT-AX-SD-L2-00004_03</t>
  </si>
  <si>
    <t>U-Z/13-22</t>
  </si>
  <si>
    <t>L4 PARAPET, ROADSIDE</t>
  </si>
  <si>
    <t>G-X / 11-16</t>
  </si>
  <si>
    <t>PARAPET L4, PAINT</t>
  </si>
  <si>
    <t>JOT-AX-WR-L2-00075_00</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</si>
  <si>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</si>
  <si>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</si>
  <si>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</si>
  <si>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</si>
  <si>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</si>
  <si>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</si>
  <si>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</si>
  <si>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</si>
  <si>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</si>
  <si>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</si>
  <si>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REMARKS</t>
  </si>
  <si>
    <t>WORK BREAKDOWN: 35%-FRAMING,35%-EPS BOARDS,20%-BASECOAT,10%-PAINT</t>
  </si>
  <si>
    <t>STAIR 6 WALL,LEVEL-02 to 3</t>
  </si>
  <si>
    <t>Residential,Stair-6,L4-5</t>
  </si>
  <si>
    <t>T-W/13-14</t>
  </si>
  <si>
    <t>WALL L4-5</t>
  </si>
  <si>
    <t>JOT-AX-WR-ML-00076,81,90,98</t>
  </si>
  <si>
    <t xml:space="preserve">Stair-6,GF to 1 st floor </t>
  </si>
  <si>
    <t>JOT-AX-SD-GF-00002_02</t>
  </si>
  <si>
    <t>Grid-E-H/10-12</t>
  </si>
  <si>
    <t xml:space="preserve">WORK BREAKDOWN : 70% UPTO EPS BOARDS, 20% UPTO BASECOAT, 10% PAINT </t>
  </si>
  <si>
    <t>WALL GF-L1</t>
  </si>
  <si>
    <t>Residential ,road side,GF to 1 st floor</t>
  </si>
  <si>
    <t>JOT-AX-SD-ML-00001_02</t>
  </si>
  <si>
    <t>G-H/3-8</t>
  </si>
  <si>
    <t>Residential ,Lobby,GF to 1 st floor</t>
  </si>
  <si>
    <t>RESIDENTIAL,RAMP AREA,GF to Level-3</t>
  </si>
  <si>
    <t>G-D/Y1</t>
  </si>
  <si>
    <t>WALL GF-L3</t>
  </si>
  <si>
    <t xml:space="preserve">STAIR 6 WALL,LEVEL-02 to 3 </t>
  </si>
  <si>
    <t>Hotel ramp area,Level-1 to lvl-3</t>
  </si>
  <si>
    <t>JOT-AX-SD-ML-00004_03</t>
  </si>
  <si>
    <t>W/18-22</t>
  </si>
  <si>
    <t>WALL L2-3</t>
  </si>
  <si>
    <t>Residential area,lvl-2 to lvl-3</t>
  </si>
  <si>
    <t>G/4-7</t>
  </si>
  <si>
    <t>JOT-AX-WR-ML-00093_00</t>
  </si>
  <si>
    <t>Residential,stair-6,L2</t>
  </si>
  <si>
    <t>JOT-AX-WR-ML-00110_00</t>
  </si>
  <si>
    <t>U-Z/18-22</t>
  </si>
  <si>
    <t>JOT-AX-WR-L2-00096_00</t>
  </si>
  <si>
    <t>L4 PARAPET,RESIDENTIAL</t>
  </si>
  <si>
    <t>W-X/15-17</t>
  </si>
  <si>
    <t>WALL,L4</t>
  </si>
  <si>
    <t>JOT-AX-WR-L4-00089,97</t>
  </si>
  <si>
    <t>EIFS SYSTEM+BUILT UP(300MM)- 35% framing, 35% ESP Boards, 20% Basecoat, 10% Paint</t>
  </si>
  <si>
    <t>EIFS SYSTEM+BUILT UP(400MM)- 35% framing, 35% ESP Boards, 20% Basecoat, 10% Paint</t>
  </si>
  <si>
    <t>JOT-AX-WR-L2-00078,82,84,92,96,109</t>
  </si>
  <si>
    <t>Valuation at WFA</t>
  </si>
  <si>
    <t>Omission</t>
  </si>
  <si>
    <t>KCE-VOR-04, ITEMS-04, 100MM EIFS FOR LEVEL 01</t>
  </si>
  <si>
    <t>DRAWING REF. NO/INSTRUCTION REF./RFI REF.</t>
  </si>
  <si>
    <t>WORK BREAKDOWN: 70%-EPS BOARDS,20%-BASECOAT,10%-PAINT</t>
  </si>
  <si>
    <t>100MM EIFS AT LEVEL-1,AV ROOMS EXTERNAL</t>
  </si>
  <si>
    <t>E11/K116/SN/dm/281, KCE-AX-RFI-L1-00232</t>
  </si>
  <si>
    <t>25/T-U</t>
  </si>
  <si>
    <t>WALL-LVL-1 AV ROOMS</t>
  </si>
  <si>
    <t>75MM EIFS AT B-1, EXTERNAL SEATING AREA</t>
  </si>
  <si>
    <t>EXTERNAL SEATING AREA</t>
  </si>
  <si>
    <t>WALL-B-1 EXTERNAL</t>
  </si>
  <si>
    <t>KCE-VOR-04, ITEM 06, PLASTER ON WALL SEATING AREA @BASEMENT</t>
  </si>
  <si>
    <t>WORK BREAKDOWN: 90%-20MM PLASTERING,10%-PAINT</t>
  </si>
  <si>
    <t>20mm PLASTER AT B-1, EXTERNAL SEATING AREA</t>
  </si>
  <si>
    <t>E11/K116/SN//, KCE-AX-RFI-B1-00186</t>
  </si>
  <si>
    <t>ABOVE GF</t>
  </si>
  <si>
    <t>KCE-VOR-04, ITEM 01, RENDER ON PLANTER WALLS AREA @</t>
  </si>
  <si>
    <t>Ground floor Planter wall EIFS render plaster</t>
  </si>
  <si>
    <t>FE-LX-SD-GL-00006_00</t>
  </si>
  <si>
    <t>GF Planter wall</t>
  </si>
  <si>
    <t>Additions</t>
  </si>
  <si>
    <t>DORCHESTER HOTEL &amp; RESIDENCIES</t>
  </si>
  <si>
    <t>JOYZ OVERSEAS - VARIATION SCHEDULE</t>
  </si>
  <si>
    <t xml:space="preserve">LEVEL-2 Hotel Ramp </t>
  </si>
  <si>
    <t>W/18-23</t>
  </si>
  <si>
    <t>WALL GF to L3</t>
  </si>
  <si>
    <t>JOT-AX-WR-ML-00085,100,104,116</t>
  </si>
  <si>
    <t>Residential &amp; Hotel entrance lvl-23,Elevation-20</t>
  </si>
  <si>
    <t>JOT-AX-SD-L23-00009_02</t>
  </si>
  <si>
    <t>D-G/10-11</t>
  </si>
  <si>
    <t>WALL L23</t>
  </si>
  <si>
    <t>Hotel Level-17,Elevation-24</t>
  </si>
  <si>
    <t>JOT-AX-SD-L17-00008_02</t>
  </si>
  <si>
    <t>WALL L17</t>
  </si>
  <si>
    <t>JOT-AX-WR-GF-00086,99,116</t>
  </si>
  <si>
    <t>JOT-AX-WR-ML-00111_00,112,113,114</t>
  </si>
  <si>
    <t>LEVEL-23,Elevation-0,</t>
  </si>
  <si>
    <t>C-E/10-11</t>
  </si>
  <si>
    <t>WALL INS.</t>
  </si>
  <si>
    <t>a</t>
  </si>
  <si>
    <t>L2,G/10-11</t>
  </si>
  <si>
    <t>WALL-L2</t>
  </si>
  <si>
    <t>JOT-AX-WR-ML-00110,116</t>
  </si>
  <si>
    <t>L2,T-W/10-12</t>
  </si>
  <si>
    <t>Hotel Ramp area ,Elevation-12</t>
  </si>
  <si>
    <t>GF-L2-W/22-23</t>
  </si>
  <si>
    <t>WALL,GF-L3</t>
  </si>
  <si>
    <t>Hotel, near Ball room  ,Elevation-14</t>
  </si>
  <si>
    <t>GF-A-U/25</t>
  </si>
  <si>
    <t>JOT-AX-WR-ML-00116</t>
  </si>
  <si>
    <t>RATE BREAKDOWN: 70%-EPS BOARDS,20%-BASECOAT,10%-PAINT</t>
  </si>
  <si>
    <t>BO5</t>
  </si>
  <si>
    <t>upto basecoat done under roberts</t>
  </si>
  <si>
    <t>paint done under KCE</t>
  </si>
  <si>
    <t>B10</t>
  </si>
  <si>
    <t>GF BALL ROOM WALL</t>
  </si>
  <si>
    <t xml:space="preserve"> WALL GF</t>
  </si>
  <si>
    <t>LEVEL-4 to 5,STAIR 6 WALL,Elevation-10</t>
  </si>
  <si>
    <t>JOT-AX-WR-L4-00071,JOT-AX-WR-ML-00098_0</t>
  </si>
  <si>
    <t>LEVEL- GF to 1 ,STAIR-6 WALL,ELEVATION-7</t>
  </si>
  <si>
    <t>T-W/10-14</t>
  </si>
  <si>
    <t>WALL GF-1</t>
  </si>
  <si>
    <t>JOT-AX-WR-ML-00083_00,110,116</t>
  </si>
  <si>
    <t>LEVEL- GF to 1 ,STAIR-6 WALL,ELEVATION-9</t>
  </si>
  <si>
    <t>JOT-AX-WR-ML-00083_00</t>
  </si>
  <si>
    <t>LEVEL-GROUND FLOOR ,NEAR LOBBY</t>
  </si>
  <si>
    <t>JOT-AX-SD-GF-00001_02</t>
  </si>
  <si>
    <t>E-D/6-8</t>
  </si>
  <si>
    <t>JOT-AX-WR-ML-00077_00</t>
  </si>
  <si>
    <t>Removal &amp; reinstatement of 200m thick with 400mm thick EIFS and framing as per the response to KCE-AX-RFI-GF-00254 dt 22.10.22 &amp; &amp; Joyz variation submission ref JOT-KCE-VOR-00007  dated 17.11.22. (PS-019 R5)</t>
  </si>
  <si>
    <t>Additional scope of EIFS 50mm,75mm,100mm thick system and EIFS 20mm render as per the attached Joyz Variation ref. KCE- JOT-VOR-00004 dated 14.09.22. (PS-019 R3)</t>
  </si>
  <si>
    <t>Cutting of existing 100mm thick EIFS and reinstatement of EIFS system after the cutting at L 29 parapet (PS-019 R4)</t>
  </si>
  <si>
    <t>Supply &amp; installation of insulation behind the gabion wall as per the response to KCE-AX-RFI-GF-00072 dt 15.07.22 &amp; Joyz variation submission ref  JOT-KCE-DOR-202209-005 dated 26.10.22. (PS-019 R4)</t>
  </si>
  <si>
    <t>External door jamb finishes due to changes in finishing details &amp; as per Joyz variation submission ref JOT-KCE-VOR-00006  dated 17.11.22. (PS-019 R5)</t>
  </si>
  <si>
    <t>Paint finish to match with GRC colour in place of GRC coping at Residence tower level 32 as per Joyz variation submission ref JOT-KCE-VOR-00007  dated 17.11.22. (PS-019 R5)</t>
  </si>
  <si>
    <t>Additional EIFS works as per the shop drawing ref GLA-AX-SD-L31-66195 comments &amp; Joyz variation submission ref JOT-KCE-VOR-00007  dated 17.11.22. (PS-019 R5)</t>
  </si>
  <si>
    <t>Installation of stud frame + 200mm EIFS system to replace 300mm EIFS system (PS-005)</t>
  </si>
  <si>
    <t>Installation of stud frame + 200mm EIFS system to replace 400mm EIFS system (PS-005)</t>
  </si>
  <si>
    <t>Installation of stud frame + 200mm EIFS system to replace 275mm EIFS system (PS-005)</t>
  </si>
  <si>
    <t>Removal of framing in areas where the works are completed (PS-005 R1)</t>
  </si>
  <si>
    <t>EIFS System with TERRACO finishes (TERRACO acid wash finishes) with Built-up 400mm (PS-005 R2)</t>
  </si>
  <si>
    <t>EIFS System with TERRACO finishes (TERRACO acid wash finishes) with Built-up 300mm (PS-005 R2)</t>
  </si>
  <si>
    <t>EIFS System with TERRACO finishes (TERRACO acid wash finishes) with Built-up 275mm (PS-005 R2)</t>
  </si>
  <si>
    <t>Removal &amp; reinstatement of EIFS for waterproofing termination at ground floor as per the attached Joyz Variation ref. KCE-JOT-VOR-00002 Rev 01 dated 15.08.22 (PS-019 R0)</t>
  </si>
  <si>
    <t>Supply &amp; installation of 100mm thick EIFS on stair wall at Residence level 23 as per the attached Joyz Variation ref. KCE-JOT-VOR-00003 Rev 0 dated 01.09.22 (PS-019 R1)</t>
  </si>
  <si>
    <t>WA PS-005</t>
  </si>
  <si>
    <t>WA PS-019</t>
  </si>
  <si>
    <t>Render on Planter Wall</t>
  </si>
  <si>
    <t>Render on Parapet Coping &amp; Internal Face</t>
  </si>
  <si>
    <t>100mm EIFS at Level-01 AV Rooms External</t>
  </si>
  <si>
    <t>50mm EIFS Build-up on top of the Level-02 Parapet Wall</t>
  </si>
  <si>
    <t>75mm EIFS at Basement-01 External Seating Area</t>
  </si>
  <si>
    <t>Render on Basement-01 to Level-01A</t>
  </si>
  <si>
    <t>Render near AV Room External Area</t>
  </si>
  <si>
    <t>Supply &amp; installation of 200mm fluted EIFS on Level 29 as per the response to KCE-AX-RFI-GF-00072 date 15.07.22 &amp; Joyz variation submission ref JOT-KCE-DOR-202209-005 dated 26.10.22 (PS-019 R4)</t>
  </si>
  <si>
    <t>Supply &amp; installation of 400mm fluted EIFS (200mm built up + 200mm EIFS) on level 28 as per the Joyz variation submission JOT-KCE-DOR-202209-005 dated 26.10.22 and mockup approval. (PS-019 R4)</t>
  </si>
  <si>
    <t>Additional scope of EIFS 20mmm render as per the attached Joyz variation ref. KCE-JOT-VOR-00004 rev 1 dated 29.11.22. (PS-019 R6)</t>
  </si>
  <si>
    <t>L 31,RESIDENTIAL</t>
  </si>
  <si>
    <t>JOT-AX-SD-L31-00011_00</t>
  </si>
  <si>
    <t>F-G/4-6</t>
  </si>
  <si>
    <t>Hotel ,Damac side ,podium level-2</t>
  </si>
  <si>
    <t>JOT-AX-SD-ML-00004_02</t>
  </si>
  <si>
    <t>T-W/22-23</t>
  </si>
  <si>
    <t>LOUVER-1</t>
  </si>
  <si>
    <t>JOT-AX-WR-ML-00136.140,147</t>
  </si>
  <si>
    <t>LOUVER-2</t>
  </si>
  <si>
    <t>WINDOW-1</t>
  </si>
  <si>
    <t>WINDOW-2</t>
  </si>
  <si>
    <t>WINDOW-3</t>
  </si>
  <si>
    <t>DOOR-1</t>
  </si>
  <si>
    <t>L 23 RESIDENTIAL,ELEVATION-20</t>
  </si>
  <si>
    <t>E-D/11</t>
  </si>
  <si>
    <t>WALL-L23</t>
  </si>
  <si>
    <t>D-03b</t>
  </si>
  <si>
    <t>Door</t>
  </si>
  <si>
    <t>JOT-AX-WR-ML-00118,119,140</t>
  </si>
  <si>
    <t>Hotel,Damac side,</t>
  </si>
  <si>
    <t>W-T/23</t>
  </si>
  <si>
    <t xml:space="preserve"> level-2 to 4</t>
  </si>
  <si>
    <t>JOT-AX-WR-ML-00140</t>
  </si>
  <si>
    <t>KCE-VOR-04, ITEMS-04, 20MM PLASTERING FOR LEVEL 01</t>
  </si>
  <si>
    <t>WORK BREAKDOWN: 90%-PLASTERING,10%-PAINT</t>
  </si>
  <si>
    <t>JOT-AX-WR-L1-00149</t>
  </si>
  <si>
    <t>20MM PLASTER AT LEVEL-1,AV ROOMS EXTERNAL</t>
  </si>
  <si>
    <t>D-03e</t>
  </si>
  <si>
    <t>VOR-4, ITEM -5,75 MM EIFS</t>
  </si>
  <si>
    <t>PLANTER WALL,NEAR KCE OFFICE</t>
  </si>
  <si>
    <t>GRID-A/3-5</t>
  </si>
  <si>
    <t>WALL</t>
  </si>
  <si>
    <t>LPG TANK ,ROAD SIDE</t>
  </si>
  <si>
    <t>GRID-K/Y1</t>
  </si>
  <si>
    <t>LPG TANK INSIDE</t>
  </si>
  <si>
    <t>CANAL SIDE WALL</t>
  </si>
  <si>
    <t>GRID-17-21/A</t>
  </si>
  <si>
    <t>GRID-20-24/A</t>
  </si>
  <si>
    <t>SIDES+TOP</t>
  </si>
  <si>
    <t>GRID-23-24/A</t>
  </si>
  <si>
    <t>GRID-18-21/A</t>
  </si>
  <si>
    <t>COPING</t>
  </si>
  <si>
    <t>GRID-21/A</t>
  </si>
  <si>
    <t>NEAR ENTRANCE OF HOTEL</t>
  </si>
  <si>
    <t>GRID-15-16/B-C</t>
  </si>
  <si>
    <t>GRID-15-16/V-Z</t>
  </si>
  <si>
    <t>NEAR CLIENT OFFICE</t>
  </si>
  <si>
    <t>GRID-1-3/F</t>
  </si>
  <si>
    <t>b</t>
  </si>
  <si>
    <t>c</t>
  </si>
  <si>
    <t>DAMAC BUILDING SIDE</t>
  </si>
  <si>
    <t>GRID-22-24/V-A</t>
  </si>
  <si>
    <t>CAMNAL SIDE</t>
  </si>
  <si>
    <t>GRID-3-9/B-C</t>
  </si>
  <si>
    <t>GRID-3-9/D</t>
  </si>
  <si>
    <t>SECOND FLOOR PLANTER WALL/ECO1A</t>
  </si>
  <si>
    <t>FOURTH FLOOR PLANTER WALL/ECO1A</t>
  </si>
  <si>
    <t xml:space="preserve">KCE-VOR-05, ITEM 01, 50mm CUTTING OF PARAPET &amp; REINSTATEMENT </t>
  </si>
  <si>
    <t>WORK BREAKDOWN: 20%-50MM CUTTING OF PARAPET,70%-REINSTATEMENT OF BASECOAT,10%-REINSTATEMENT OF PAINT</t>
  </si>
  <si>
    <t>CUTTING OF PARAPET AND REINSTATEMENT</t>
  </si>
  <si>
    <t>E11-K116-JA-dm-273</t>
  </si>
  <si>
    <t>L29 PARAPET</t>
  </si>
  <si>
    <t>JOT-AX-WR-L29-00127,135,160</t>
  </si>
  <si>
    <t xml:space="preserve">KCE-VOR-05, ITEM 04,400MM FLUTED EIFS </t>
  </si>
  <si>
    <t>WORK BREAKDOWN: 35%-BUILT UP,35%-INSULATION,20%-BASECOAT,10%-PAINTING</t>
  </si>
  <si>
    <t>ROAD SIDE,FLUTED EIFS</t>
  </si>
  <si>
    <t>JOT-AX-SD-ML-00006_03</t>
  </si>
  <si>
    <t>L29 ,GRID-X-W/16-19</t>
  </si>
  <si>
    <t>WORK BREAKDOWN: 70%-INSULATION,20%-BASECOAT,10%-PAINTING</t>
  </si>
  <si>
    <t>HOTEL ENTRANCE</t>
  </si>
  <si>
    <t>L2,GRID-T-W/18-19</t>
  </si>
  <si>
    <t>KCE-VOR-03-100MM EIFS ON STAIRWALL</t>
  </si>
  <si>
    <t>L 23 HOTEL ENTRANCE ,STAIRWALL</t>
  </si>
  <si>
    <t xml:space="preserve">E11-K116-MS-dm-135 ,lvl-23 </t>
  </si>
  <si>
    <t>L23</t>
  </si>
  <si>
    <t>JOT-AX-WR-L23-00130,159</t>
  </si>
  <si>
    <t>L2 parapet,Damac side,Hotel</t>
  </si>
  <si>
    <t>Y-X/23-25</t>
  </si>
  <si>
    <t>L2</t>
  </si>
  <si>
    <t>WIR: JOT-AX-WR-GF-00131</t>
  </si>
  <si>
    <t>WIR: JOT-AX-WR-GF-00133</t>
  </si>
  <si>
    <t>WIR: JOT-AX-WR-GF-00134</t>
  </si>
  <si>
    <t>WFA Amount</t>
  </si>
  <si>
    <t>Approved qty from WFA</t>
  </si>
  <si>
    <t>BOQ qty</t>
  </si>
  <si>
    <t>Extra qty</t>
  </si>
  <si>
    <t>Work is 100% completed</t>
  </si>
  <si>
    <t>Extra qty from BOQ</t>
  </si>
  <si>
    <t xml:space="preserve">RPJV-JOT-VOR-001 Rev00 </t>
  </si>
  <si>
    <t>Additional EIFS for the parapets at level 04 and level 29</t>
  </si>
  <si>
    <t>DDT: L29 Parapet  Hight error</t>
  </si>
  <si>
    <t>DDT: Contract scope (EIFS Render)</t>
  </si>
  <si>
    <t>RPJV-JOT-VOR-002 Rev00</t>
  </si>
  <si>
    <t xml:space="preserve">Additional EIFS for the non accessible balconies at various floor levels </t>
  </si>
  <si>
    <t>DDT: Rate error. Use 150mm Build up Rate</t>
  </si>
  <si>
    <t>RPJV-JOT-VOR-003 Rev00</t>
  </si>
  <si>
    <t>PVC Grooves for EIFS</t>
  </si>
  <si>
    <t>DDT: Quantity Error. Lump Sum Contract</t>
  </si>
  <si>
    <t xml:space="preserve">RPJV-JOT-VOR-004 Rev00 </t>
  </si>
  <si>
    <t xml:space="preserve">Additional EIFS at level 02 entrance </t>
  </si>
  <si>
    <t xml:space="preserve">RPJV-JOT-VOR-005 Rev00 </t>
  </si>
  <si>
    <t>Additional EIFS for the parapets at level 02 floor</t>
  </si>
  <si>
    <t>L29, PARAPET</t>
  </si>
  <si>
    <t>RP-LX-SD-L29-1856</t>
  </si>
  <si>
    <t>S-T/16-18</t>
  </si>
  <si>
    <t>WALL L29</t>
  </si>
  <si>
    <t>BO11</t>
  </si>
  <si>
    <t>JOT-AX-WR-GF-00005</t>
  </si>
  <si>
    <t>JOT-AX-SD-ML-00006_01</t>
  </si>
  <si>
    <t>S-W/13-14</t>
  </si>
  <si>
    <t>BO13</t>
  </si>
  <si>
    <t>JOT-AX-WR-L29-00020</t>
  </si>
  <si>
    <t>S-T/18-24</t>
  </si>
  <si>
    <t>BO14</t>
  </si>
  <si>
    <t>JOT-AX-WR-L29-00030</t>
  </si>
  <si>
    <t>B-G/Y1</t>
  </si>
  <si>
    <t>BO15</t>
  </si>
  <si>
    <t>JOT-AX-WR-L4-00031</t>
  </si>
  <si>
    <t>S-T/14-18</t>
  </si>
  <si>
    <t>BO16</t>
  </si>
  <si>
    <t>JOT-AX-WR-L29-00037</t>
  </si>
  <si>
    <t>S-X/23-24</t>
  </si>
  <si>
    <t>BO17</t>
  </si>
  <si>
    <t>JOT-AX-WR-L29-00040</t>
  </si>
  <si>
    <t>W-X/13-18</t>
  </si>
  <si>
    <t>BO18</t>
  </si>
  <si>
    <t>Paint balance to do</t>
  </si>
  <si>
    <t>JOT-AX-WR-L29-00043</t>
  </si>
  <si>
    <t>F-H/Y1-4</t>
  </si>
  <si>
    <t>BO19</t>
  </si>
  <si>
    <t>JOT-AX-SD-ML-00006_02</t>
  </si>
  <si>
    <t>S-T/13-15</t>
  </si>
  <si>
    <t>PARAPET WALL L29</t>
  </si>
  <si>
    <t>BO20</t>
  </si>
  <si>
    <t>JOT-AX-WR-L29-00048</t>
  </si>
  <si>
    <t>V-X/13-14</t>
  </si>
  <si>
    <t>BO21</t>
  </si>
  <si>
    <t>paint balance to do</t>
  </si>
  <si>
    <t>JOT-AX-WR-L29-00051</t>
  </si>
  <si>
    <t>L4-DAMAC SIDE</t>
  </si>
  <si>
    <t>B-X/23-24</t>
  </si>
  <si>
    <t>WALL-L4</t>
  </si>
  <si>
    <t>B024</t>
  </si>
  <si>
    <t>paint done under khansaheb</t>
  </si>
  <si>
    <t>JOT-AX-WR-L4-00062_00</t>
  </si>
  <si>
    <t>in no:01</t>
  </si>
  <si>
    <t>L29 ROAD SIDE</t>
  </si>
  <si>
    <t>L29 WALL</t>
  </si>
  <si>
    <t>B025</t>
  </si>
  <si>
    <t>JOT-AX-WR-L4-00068_00</t>
  </si>
  <si>
    <t>PA10</t>
  </si>
  <si>
    <t>JOT-AX-WR-L4-00055_00</t>
  </si>
  <si>
    <t>Total qty claimed by sc</t>
  </si>
  <si>
    <t>WFA approved qty</t>
  </si>
  <si>
    <t>Difference</t>
  </si>
  <si>
    <t>Total qty</t>
  </si>
  <si>
    <t>Total qty from BOQ</t>
  </si>
  <si>
    <t>Omission from V01</t>
  </si>
  <si>
    <t>Omission from V05</t>
  </si>
  <si>
    <t>Balance rendering qty</t>
  </si>
  <si>
    <t>Completed qty upto now</t>
  </si>
  <si>
    <t>New qty need to be completed</t>
  </si>
  <si>
    <t>Rate Only</t>
  </si>
  <si>
    <t>Hotel Level-30</t>
  </si>
  <si>
    <t>JOT-AX-SD-L29-0006_04</t>
  </si>
  <si>
    <t>U-X/21-22</t>
  </si>
  <si>
    <t>WALL INS</t>
  </si>
  <si>
    <t>L 10 ,RESIDENTIAL</t>
  </si>
  <si>
    <t>KCE-AX-RFI-L10-00365</t>
  </si>
  <si>
    <t>G-D/10-11</t>
  </si>
  <si>
    <t>MONTH:</t>
  </si>
  <si>
    <t>January 2023</t>
  </si>
  <si>
    <t>150MM -EIFS</t>
  </si>
  <si>
    <t>L-10 EIFS</t>
  </si>
  <si>
    <t>KCE-RFI-L10-00365</t>
  </si>
  <si>
    <t>G-D/10-11,L10</t>
  </si>
  <si>
    <t>L29 PARAPET,HOTEL</t>
  </si>
  <si>
    <t>JOT-AX-SD-L29-00006_04</t>
  </si>
  <si>
    <t>WIR-169,192</t>
  </si>
  <si>
    <t>Damac side</t>
  </si>
  <si>
    <t>GRID-24/T</t>
  </si>
  <si>
    <t>GRID-24/B</t>
  </si>
  <si>
    <t>Block wall</t>
  </si>
  <si>
    <t>External wall of stair</t>
  </si>
  <si>
    <t>GRID-24/A</t>
  </si>
  <si>
    <t>Stair wall ,and outer wall</t>
  </si>
  <si>
    <t>Wall of planter side</t>
  </si>
  <si>
    <t>d</t>
  </si>
  <si>
    <t>N-E CORNER (DAMAC-ROAD SIDE)</t>
  </si>
  <si>
    <t>GRID-23-24/T-Z</t>
  </si>
  <si>
    <t>Residential Road</t>
  </si>
  <si>
    <t>Near stair-06</t>
  </si>
  <si>
    <t>e</t>
  </si>
  <si>
    <t>Canal side ,Hotel</t>
  </si>
  <si>
    <t>GRID-24/Q-U</t>
  </si>
  <si>
    <t>KCE-VOR-08-ITEM-1</t>
  </si>
  <si>
    <t>December 2022</t>
  </si>
  <si>
    <t xml:space="preserve">Additional 200mm </t>
  </si>
  <si>
    <t xml:space="preserve">E11-K116-JA-dm-607 ,lvl-30 </t>
  </si>
  <si>
    <t>U/20-22,L30</t>
  </si>
  <si>
    <t>WIR-165,171,182</t>
  </si>
  <si>
    <t>KCE-VOR-08-ITEM-2</t>
  </si>
  <si>
    <t xml:space="preserve">Additional 75mm EIFS </t>
  </si>
  <si>
    <t>U-X/22,L30</t>
  </si>
  <si>
    <t>KCE-VOR-08-ITEM-4(300MM BUILT-UP+200MM EIFS)</t>
  </si>
  <si>
    <t xml:space="preserve">500mm thick(300mm built-upo+200mm EIFS) </t>
  </si>
  <si>
    <t>E11-K116-JA-dm-607 ,lvl-29</t>
  </si>
  <si>
    <t>17-19/X,L29</t>
  </si>
  <si>
    <t>WIR-174,175,176,183</t>
  </si>
  <si>
    <t>KCE-VOR-08-ITEM-5(100MM BUILT-UP+RENDERING+TRUSTONE PAINT</t>
  </si>
  <si>
    <t>100MM BUILT-UP+RENDERING+TRUSTONE FINISH</t>
  </si>
  <si>
    <t>L29</t>
  </si>
  <si>
    <t>KCE-VOR-07-ITEM-2</t>
  </si>
  <si>
    <t xml:space="preserve">75MM EIFS at L31 residential </t>
  </si>
  <si>
    <t>5-4/F-D,L31</t>
  </si>
  <si>
    <t>JOT-AX-WR-L2-00144,156,164,163,161</t>
  </si>
  <si>
    <t>JOT-AX-WR-ML-00120, JOT-AX-WR-L23-00159,191.</t>
  </si>
  <si>
    <t>JOT-AX-WR-L1-122_00,146</t>
  </si>
  <si>
    <t>JOT-AX-WR-B1-123_00,137,148</t>
  </si>
  <si>
    <t>JOT-AX-WR-B1-00124_00,138</t>
  </si>
  <si>
    <t>JOT-AX-WR-L29-145,154,181,170</t>
  </si>
  <si>
    <t>Additional area of 200mm EIFS in L30(L29 in Instruction)</t>
  </si>
  <si>
    <t>Additional area of 75mm EIFS in L30(L29 in Instruction)</t>
  </si>
  <si>
    <t>Additional area of 20mm Plastering + Paint finish in L30(L29 in Instruction)</t>
  </si>
  <si>
    <t>Additional area in which 300mm EIFS change to 300mm built-up+200mm EIFS (500mm thick) in L29.</t>
  </si>
  <si>
    <t>300mm builtup+ 200mm EIFS (500mm thick)</t>
  </si>
  <si>
    <t>Omission of 300mm EIFS</t>
  </si>
  <si>
    <t>100 mm Built-up + Rendering + Trustone paint finish in L29</t>
  </si>
  <si>
    <t>only until WA</t>
  </si>
  <si>
    <t>Hotel Level-30,Road side</t>
  </si>
  <si>
    <t>JOT-AX-WR-L30-000209</t>
  </si>
  <si>
    <t>Hotel ,L30,Lift machine room room</t>
  </si>
  <si>
    <t>Doors</t>
  </si>
  <si>
    <t>JOT-AX-WR-L23-00152,173,189</t>
  </si>
  <si>
    <t>WR-180,214</t>
  </si>
  <si>
    <t>JOT-AX-WR-L23-000121, 159, 201</t>
  </si>
  <si>
    <t>JOT-AX-WR-ML-00107,118,147</t>
  </si>
  <si>
    <t xml:space="preserve">L30 ,Hotel,B/W  canopies </t>
  </si>
  <si>
    <t>JOT-AX-WR-ML-00193,197,208</t>
  </si>
  <si>
    <t>JOT-AX-WR-ML-00095,106,107,157,158,190</t>
  </si>
  <si>
    <t>JOT-AX-WR-ML-00106_00,115,128,191</t>
  </si>
  <si>
    <t>JOT-AX-WR-ML-00103_00,198,211</t>
  </si>
  <si>
    <t>WIR-162,171,182,194,200,217</t>
  </si>
  <si>
    <t>WIR-174,178,182,195,205,206</t>
  </si>
  <si>
    <t>KCE-VOR-09</t>
  </si>
  <si>
    <t>100 MM EIFS  at GF,LV room</t>
  </si>
  <si>
    <t>LOUVER</t>
  </si>
  <si>
    <t>JOT-AX-WR-GF-00203,204,212</t>
  </si>
  <si>
    <t>DOOR-2</t>
  </si>
  <si>
    <t>KCE-VOR-10,Item-1</t>
  </si>
  <si>
    <t>100mm built-up+200mm EIFS(300 MM thick) at L17</t>
  </si>
  <si>
    <t>KCE-AX-SD-L17-00034_00</t>
  </si>
  <si>
    <t>JOT-AX-WR-00199,179</t>
  </si>
  <si>
    <t>KCE-VOR-10,Item-2</t>
  </si>
  <si>
    <t>Residential side</t>
  </si>
  <si>
    <t>JOT-AX-WR-L17-00155,120</t>
  </si>
  <si>
    <t>JOT-AX-WR-L2-00144,177,216</t>
  </si>
  <si>
    <t>Additional scope of 300mm EIFS changes to 500mm thick (200mm ELFS+ 300mm buit-up), Rendering on buit-up + Trustone paint finishing in Hotel Level 29 and 200mm, 75mm EIFS in Hotel Level - 30 wall as per instruction Ref no: E11-K116-JA-dm-607</t>
  </si>
  <si>
    <t>25.4a</t>
  </si>
  <si>
    <t>25.4b</t>
  </si>
  <si>
    <t>Supply and Installation of 100mm EIFS to Substation and LV room as per the attached Joyz Variation ref. KCE-JOT-VOR-00009 rev 0 dated 09.02.23</t>
  </si>
  <si>
    <t>EIFS thickness at Level 17 Butterfly bar changes as per latest approved shop drawing as per attached Joyz Variation ref. KCE-JOT-VOR-00010 Rev 0</t>
  </si>
  <si>
    <t>Additional 100mm built-up + 200mm EIFS (300mm thick)</t>
  </si>
  <si>
    <t>Omission for 100mm EIFS</t>
  </si>
  <si>
    <t>Additional 200mm EIFS</t>
  </si>
  <si>
    <t>Omission of 100mm built-up + 200mm EIFS (300mm thick)</t>
  </si>
  <si>
    <t>KCE Claim</t>
  </si>
  <si>
    <t>JOT-AX-WR-L31-000153,229</t>
  </si>
  <si>
    <t>KCE-VOR-11,REV00,ITEM-01</t>
  </si>
  <si>
    <t>March 2023</t>
  </si>
  <si>
    <t xml:space="preserve">200 MM EIFS  </t>
  </si>
  <si>
    <t>E11/K116/SC/dm/802</t>
  </si>
  <si>
    <t>GRID-W/18-22</t>
  </si>
  <si>
    <t>JOT-AX-WR-L30-226,227,223</t>
  </si>
  <si>
    <t>CEMENT BOARD PARTITION AT L29</t>
  </si>
  <si>
    <t xml:space="preserve">E11/K116/SC/dm/755 </t>
  </si>
  <si>
    <t>JOT-AX-WR-L29-217</t>
  </si>
  <si>
    <t>KCE-VOR-12,REV00,ITEM-01</t>
  </si>
  <si>
    <t xml:space="preserve">75 MM EIFS  </t>
  </si>
  <si>
    <t>JOT-AX-SD-L31-00011 REV00</t>
  </si>
  <si>
    <t>L 31,RESIDENTIAL PLANT ROOM</t>
  </si>
  <si>
    <t>JOT-AX-WR-L31-229</t>
  </si>
  <si>
    <t>KCE-VOR-12,REV00,ITEM-02</t>
  </si>
  <si>
    <t>CEMENT BOARD PARTITION AT L31</t>
  </si>
  <si>
    <t xml:space="preserve"> E11/K116/SMF/dm/718</t>
  </si>
  <si>
    <t>L31,RESIDENTIAL</t>
  </si>
  <si>
    <t>WALL-1</t>
  </si>
  <si>
    <t>JOT-AX-WR-L31-217</t>
  </si>
  <si>
    <t>WALL-2</t>
  </si>
  <si>
    <t>KCE-VOR-09 REV01,ITEM-02</t>
  </si>
  <si>
    <t>20mm rendering +Decorend finishing</t>
  </si>
  <si>
    <t>E11/K116/SC/dm/811</t>
  </si>
  <si>
    <t>GF,LV ROOM</t>
  </si>
  <si>
    <t>JOT-AX-WR-GF-002231</t>
  </si>
  <si>
    <t>JOT-AX-WR-L30-000187,207,223</t>
  </si>
  <si>
    <t>JOT-AX-WR-L30-00215,224,232</t>
  </si>
  <si>
    <t>JOT-AX-WR-ML-00107_00,117,118,119,125</t>
  </si>
  <si>
    <t>JOT-AX-WR-ML-00120,JOT-AX-WR-L17-00155.</t>
  </si>
  <si>
    <t xml:space="preserve">L10 RESIDENTIAL </t>
  </si>
  <si>
    <t>JOT-AX-SD-ML-000204_02</t>
  </si>
  <si>
    <t>JOT-AX-WR-L10-00214</t>
  </si>
  <si>
    <t>JOT-AX-WR-ML-00213,225,232</t>
  </si>
  <si>
    <t>JOT-AX-WR-ML-00085,100,116,104,110</t>
  </si>
  <si>
    <t>RESIDENTIAL ROAD SIDE NEAR GATE -1</t>
  </si>
  <si>
    <t>GRID-K/1-4</t>
  </si>
  <si>
    <t>NEAR RESIDENTIAL RAMP</t>
  </si>
  <si>
    <t>GRID-H-I/1</t>
  </si>
  <si>
    <t>OUTSIDE OF THE RAMP WALL</t>
  </si>
  <si>
    <t>GRID-D-I/1</t>
  </si>
  <si>
    <t xml:space="preserve">RESIDENTIAL AREA ROAD SIDE </t>
  </si>
  <si>
    <t>GRID-I/5-8</t>
  </si>
  <si>
    <t>JOT-AX-SD-L31-00187,210,230</t>
  </si>
  <si>
    <t>No Work Approval</t>
  </si>
  <si>
    <t>Item-1-200MM EIFS</t>
  </si>
  <si>
    <t>Item-2-CEMENT BOARD PARTITION IN L29</t>
  </si>
  <si>
    <t>Item-1-75MM EIFS IN PLANT ROOM</t>
  </si>
  <si>
    <t>Item-2-CEMENT BOARD PARTITION IN L31</t>
  </si>
  <si>
    <t>No Workapproval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</si>
</sst>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quot;Level &quot;0"/>
    <numFmt numFmtId="166" formatCode="0.00000"/>
    <numFmt numFmtId="167" formatCode="0.0"/>
    <numFmt numFmtId="168" formatCode="0.0000"/>
  </numFmts>
  <fonts count="32">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2"/>
      <color theme="1"/>
      <name val="Arial"/>
      <family val="2"/>
    </font>
    <font>
      <i/>
      <sz val="10"/>
      <color theme="1"/>
      <name val="Arial"/>
      <family val="2"/>
    </font>
    <font>
      <b/>
      <i/>
      <sz val="10"/>
      <color theme="1"/>
      <name val="Arial"/>
      <family val="2"/>
    </font>
    <font>
      <b/>
      <sz val="10"/>
      <color theme="1"/>
      <name val="Arial"/>
      <family val="2"/>
    </font>
    <font>
      <sz val="11"/>
      <color rgb="FF000000"/>
      <name val="Calibri"/>
      <family val="2"/>
      <scheme val="minor"/>
    </font>
    <font>
      <sz val="9"/>
      <color indexed="81"/>
      <name val="Tahoma"/>
      <family val="2"/>
    </font>
    <font>
      <b/>
      <sz val="9"/>
      <color indexed="81"/>
      <name val="Tahoma"/>
      <family val="2"/>
    </font>
    <font>
      <sz val="11"/>
      <name val="Calibri"/>
      <family val="2"/>
      <scheme val="minor"/>
    </font>
    <font>
      <sz val="8"/>
      <name val="Calibri"/>
      <family val="2"/>
      <scheme val="minor"/>
    </font>
    <font>
      <b/>
      <sz val="11"/>
      <color theme="1"/>
      <name val="Calibri"/>
      <family val="2"/>
      <scheme val="minor"/>
    </font>
    <font>
      <b/>
      <sz val="10"/>
      <color theme="1"/>
      <name val="Arial"/>
      <family val="2"/>
    </font>
    <font>
      <sz val="10"/>
      <color theme="2" tint="-0.249977111117893"/>
      <name val="Calibri"/>
      <family val="2"/>
      <scheme val="minor"/>
    </font>
    <font>
      <sz val="10"/>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theme="4" tint="0.79995117038483843"/>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3" tint="0.79998168889431442"/>
        <bgColor indexed="64"/>
      </patternFill>
    </fill>
  </fills>
  <borders count="91">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medium">
        <color indexed="64"/>
      </right>
      <top/>
      <bottom/>
      <diagonal/>
    </border>
    <border>
      <left/>
      <right style="medium">
        <color indexed="64"/>
      </right>
      <top style="thin">
        <color indexed="64"/>
      </top>
      <bottom/>
      <diagonal/>
    </border>
    <border>
      <left style="thin">
        <color indexed="64"/>
      </left>
      <right style="thin">
        <color indexed="64"/>
      </right>
      <top style="hair">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cellStyleXfs>
  <cellXfs count="578">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0" fontId="2" fillId="0" borderId="0" xfId="0" applyFont="1"/>
    <xf numFmtId="43" fontId="13" fillId="0" borderId="14" xfId="1" applyFont="1" applyFill="1" applyBorder="1" applyAlignment="1">
      <alignment vertical="center" wrapText="1"/>
    </xf>
    <xf numFmtId="43" fontId="15" fillId="0" borderId="26" xfId="1" applyFont="1" applyFill="1" applyBorder="1" applyAlignment="1">
      <alignment horizontal="left" vertical="center" indent="1"/>
    </xf>
    <xf numFmtId="43" fontId="16" fillId="0" borderId="26" xfId="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43" fontId="18" fillId="0" borderId="8" xfId="1" applyFont="1" applyFill="1" applyBorder="1" applyAlignment="1">
      <alignment vertical="center"/>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Border="1" applyAlignment="1">
      <alignment horizontal="left" vertical="center" indent="1"/>
    </xf>
    <xf numFmtId="0" fontId="15" fillId="0" borderId="30" xfId="0" applyFont="1" applyBorder="1" applyAlignment="1">
      <alignment horizontal="left" vertical="center" indent="1"/>
    </xf>
    <xf numFmtId="43" fontId="15" fillId="0" borderId="30" xfId="1" applyFont="1" applyFill="1" applyBorder="1" applyAlignment="1">
      <alignment horizontal="left" vertical="center" indent="1"/>
    </xf>
    <xf numFmtId="0" fontId="15" fillId="0" borderId="26" xfId="0" quotePrefix="1" applyFont="1" applyBorder="1" applyAlignment="1">
      <alignment horizontal="left" vertical="center" indent="1"/>
    </xf>
    <xf numFmtId="0" fontId="15" fillId="0" borderId="26" xfId="0" applyFont="1" applyBorder="1" applyAlignment="1">
      <alignment horizontal="left" vertical="center" indent="1"/>
    </xf>
    <xf numFmtId="0" fontId="17" fillId="0" borderId="26" xfId="0" quotePrefix="1" applyFont="1" applyBorder="1" applyAlignment="1">
      <alignment horizontal="left" vertical="center" indent="1"/>
    </xf>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43" fontId="15" fillId="0" borderId="35" xfId="1" applyFont="1" applyFill="1" applyBorder="1" applyAlignment="1">
      <alignment horizontal="left" vertical="center" indent="1"/>
    </xf>
    <xf numFmtId="0" fontId="0" fillId="0" borderId="23" xfId="0" applyBorder="1"/>
    <xf numFmtId="0" fontId="20" fillId="2" borderId="0" xfId="7" applyFont="1" applyFill="1"/>
    <xf numFmtId="0" fontId="22" fillId="2" borderId="0" xfId="7" applyFont="1" applyFill="1" applyAlignment="1">
      <alignment horizontal="center"/>
    </xf>
    <xf numFmtId="0" fontId="21" fillId="2" borderId="0" xfId="7" applyFont="1" applyFill="1" applyAlignment="1">
      <alignment horizontal="left"/>
    </xf>
    <xf numFmtId="0" fontId="0" fillId="2" borderId="0" xfId="0" applyFill="1"/>
    <xf numFmtId="1" fontId="0" fillId="2" borderId="0" xfId="0" applyNumberFormat="1" applyFill="1"/>
    <xf numFmtId="0" fontId="22" fillId="2" borderId="36" xfId="7" applyFont="1" applyFill="1" applyBorder="1" applyAlignment="1">
      <alignment horizontal="center" vertical="center" wrapText="1"/>
    </xf>
    <xf numFmtId="0" fontId="22" fillId="2" borderId="38"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 fillId="2" borderId="46" xfId="0" applyFont="1" applyFill="1" applyBorder="1"/>
    <xf numFmtId="0" fontId="0" fillId="2" borderId="47" xfId="0" applyFill="1" applyBorder="1"/>
    <xf numFmtId="0" fontId="0" fillId="2" borderId="48" xfId="0" applyFill="1" applyBorder="1"/>
    <xf numFmtId="0" fontId="0" fillId="2" borderId="50" xfId="0" applyFill="1" applyBorder="1"/>
    <xf numFmtId="0" fontId="0" fillId="2" borderId="51" xfId="0" applyFill="1" applyBorder="1" applyAlignment="1">
      <alignment horizontal="center"/>
    </xf>
    <xf numFmtId="0" fontId="0" fillId="2" borderId="52" xfId="0" applyFill="1" applyBorder="1" applyAlignment="1">
      <alignment horizontal="center"/>
    </xf>
    <xf numFmtId="0" fontId="0" fillId="2" borderId="47" xfId="0" applyFill="1" applyBorder="1" applyAlignment="1">
      <alignment horizontal="center"/>
    </xf>
    <xf numFmtId="1" fontId="0" fillId="2" borderId="50" xfId="0" applyNumberFormat="1" applyFill="1" applyBorder="1" applyAlignment="1">
      <alignment horizontal="center"/>
    </xf>
    <xf numFmtId="0" fontId="0" fillId="2" borderId="53" xfId="0" applyFill="1" applyBorder="1" applyAlignment="1">
      <alignment horizontal="center"/>
    </xf>
    <xf numFmtId="0" fontId="0" fillId="2" borderId="54" xfId="0" applyFill="1" applyBorder="1"/>
    <xf numFmtId="0" fontId="0" fillId="2" borderId="55" xfId="0" applyFill="1" applyBorder="1"/>
    <xf numFmtId="0" fontId="0" fillId="2" borderId="56" xfId="0" applyFill="1" applyBorder="1"/>
    <xf numFmtId="2" fontId="0" fillId="2" borderId="55" xfId="0" applyNumberFormat="1" applyFill="1" applyBorder="1"/>
    <xf numFmtId="0" fontId="0" fillId="2" borderId="57" xfId="0" applyFill="1" applyBorder="1"/>
    <xf numFmtId="0" fontId="0" fillId="2" borderId="58" xfId="0" applyFill="1" applyBorder="1"/>
    <xf numFmtId="1" fontId="0" fillId="2" borderId="54" xfId="0" applyNumberFormat="1" applyFill="1" applyBorder="1"/>
    <xf numFmtId="0" fontId="0" fillId="3" borderId="60"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0"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1" xfId="0" applyNumberFormat="1" applyFill="1" applyBorder="1" applyAlignment="1">
      <alignment horizontal="center"/>
    </xf>
    <xf numFmtId="0" fontId="0" fillId="2" borderId="23" xfId="0" applyFill="1" applyBorder="1"/>
    <xf numFmtId="1" fontId="0" fillId="2" borderId="62" xfId="0" applyNumberFormat="1" applyFill="1" applyBorder="1" applyAlignment="1">
      <alignment horizontal="center"/>
    </xf>
    <xf numFmtId="0" fontId="0" fillId="2" borderId="8" xfId="0" applyFill="1" applyBorder="1" applyAlignment="1">
      <alignment horizontal="center"/>
    </xf>
    <xf numFmtId="2" fontId="0" fillId="2" borderId="63"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64" xfId="0" applyFill="1" applyBorder="1"/>
    <xf numFmtId="0" fontId="0" fillId="2" borderId="65" xfId="0" applyFill="1" applyBorder="1"/>
    <xf numFmtId="0" fontId="0" fillId="2" borderId="66" xfId="0" applyFill="1" applyBorder="1"/>
    <xf numFmtId="0" fontId="0" fillId="2" borderId="66" xfId="0" applyFill="1" applyBorder="1" applyAlignment="1">
      <alignment horizontal="center"/>
    </xf>
    <xf numFmtId="0" fontId="0" fillId="2" borderId="64" xfId="0" applyFill="1" applyBorder="1" applyAlignment="1">
      <alignment horizontal="center"/>
    </xf>
    <xf numFmtId="2" fontId="0" fillId="2" borderId="65" xfId="0" applyNumberFormat="1" applyFill="1" applyBorder="1" applyAlignment="1">
      <alignment horizontal="center"/>
    </xf>
    <xf numFmtId="2" fontId="0" fillId="2" borderId="67" xfId="0" applyNumberFormat="1" applyFill="1" applyBorder="1" applyAlignment="1">
      <alignment horizontal="center"/>
    </xf>
    <xf numFmtId="0" fontId="0" fillId="2" borderId="68" xfId="0" applyFill="1" applyBorder="1"/>
    <xf numFmtId="1" fontId="0" fillId="2" borderId="64" xfId="0" applyNumberFormat="1" applyFill="1" applyBorder="1" applyAlignment="1">
      <alignment horizontal="center"/>
    </xf>
    <xf numFmtId="0" fontId="0" fillId="2" borderId="65" xfId="0" applyFill="1" applyBorder="1" applyAlignment="1">
      <alignment horizontal="center"/>
    </xf>
    <xf numFmtId="2" fontId="0" fillId="2" borderId="67"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2" fillId="2" borderId="37" xfId="2" applyFont="1" applyFill="1" applyBorder="1" applyAlignment="1">
      <alignment horizontal="center" vertical="center" wrapText="1"/>
    </xf>
    <xf numFmtId="9" fontId="0" fillId="2" borderId="46" xfId="2" applyFont="1" applyFill="1" applyBorder="1" applyAlignment="1">
      <alignment horizontal="center"/>
    </xf>
    <xf numFmtId="9" fontId="0" fillId="2" borderId="41" xfId="2" applyFont="1" applyFill="1" applyBorder="1" applyAlignment="1">
      <alignment horizontal="center"/>
    </xf>
    <xf numFmtId="9" fontId="0" fillId="2" borderId="70"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3"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74" xfId="0" applyNumberFormat="1" applyFill="1" applyBorder="1" applyAlignment="1">
      <alignment horizontal="center"/>
    </xf>
    <xf numFmtId="1" fontId="0" fillId="2" borderId="60" xfId="0" applyNumberFormat="1" applyFill="1" applyBorder="1" applyAlignment="1">
      <alignment horizontal="center"/>
    </xf>
    <xf numFmtId="0" fontId="0" fillId="2" borderId="10" xfId="0" applyFill="1" applyBorder="1" applyAlignment="1">
      <alignment horizontal="center"/>
    </xf>
    <xf numFmtId="2" fontId="0" fillId="2" borderId="74"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75" xfId="0" applyNumberFormat="1" applyFill="1" applyBorder="1" applyAlignment="1">
      <alignment horizontal="center"/>
    </xf>
    <xf numFmtId="1" fontId="0" fillId="2" borderId="76" xfId="0" applyNumberFormat="1" applyFill="1" applyBorder="1" applyAlignment="1">
      <alignment horizontal="center"/>
    </xf>
    <xf numFmtId="0" fontId="0" fillId="2" borderId="15" xfId="0" applyFill="1" applyBorder="1" applyAlignment="1">
      <alignment horizontal="center"/>
    </xf>
    <xf numFmtId="2" fontId="0" fillId="2" borderId="75" xfId="0" applyNumberFormat="1" applyFill="1" applyBorder="1" applyAlignment="1">
      <alignment horizontal="center" vertical="center"/>
    </xf>
    <xf numFmtId="2" fontId="0" fillId="2" borderId="66" xfId="0" applyNumberFormat="1" applyFill="1" applyBorder="1" applyAlignment="1">
      <alignment horizontal="center"/>
    </xf>
    <xf numFmtId="9" fontId="0" fillId="2" borderId="45" xfId="2" applyFont="1" applyFill="1" applyBorder="1"/>
    <xf numFmtId="9" fontId="0" fillId="2" borderId="69" xfId="2" applyFont="1" applyFill="1" applyBorder="1" applyAlignment="1">
      <alignment horizontal="center"/>
    </xf>
    <xf numFmtId="9" fontId="22" fillId="2" borderId="36" xfId="2" applyFont="1" applyFill="1" applyBorder="1" applyAlignment="1">
      <alignment horizontal="center" vertical="center" wrapText="1"/>
    </xf>
    <xf numFmtId="0" fontId="23" fillId="5" borderId="10" xfId="0" applyFont="1" applyFill="1" applyBorder="1"/>
    <xf numFmtId="0" fontId="23" fillId="5" borderId="25" xfId="0" applyFont="1" applyFill="1" applyBorder="1"/>
    <xf numFmtId="0" fontId="23" fillId="0" borderId="29" xfId="0" applyFont="1" applyBorder="1"/>
    <xf numFmtId="0" fontId="0" fillId="2" borderId="79" xfId="0" applyFill="1" applyBorder="1" applyAlignment="1">
      <alignment horizontal="center"/>
    </xf>
    <xf numFmtId="2" fontId="0" fillId="2" borderId="56" xfId="0" applyNumberForma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0"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1" xfId="0" applyNumberFormat="1" applyBorder="1" applyAlignment="1">
      <alignment horizontal="center"/>
    </xf>
    <xf numFmtId="1" fontId="0" fillId="0" borderId="62" xfId="0" applyNumberFormat="1" applyBorder="1" applyAlignment="1">
      <alignment horizontal="center"/>
    </xf>
    <xf numFmtId="0" fontId="0" fillId="0" borderId="8" xfId="0" applyBorder="1" applyAlignment="1">
      <alignment horizontal="center"/>
    </xf>
    <xf numFmtId="2" fontId="0" fillId="0" borderId="63" xfId="0" applyNumberFormat="1" applyBorder="1" applyAlignment="1">
      <alignment horizontal="center" vertical="center"/>
    </xf>
    <xf numFmtId="0" fontId="0" fillId="0" borderId="8" xfId="0" applyBorder="1"/>
    <xf numFmtId="2" fontId="0" fillId="2" borderId="23" xfId="0" applyNumberFormat="1" applyFill="1" applyBorder="1" applyAlignment="1">
      <alignment horizontal="center"/>
    </xf>
    <xf numFmtId="2" fontId="0" fillId="2" borderId="41" xfId="0" applyNumberFormat="1" applyFill="1" applyBorder="1" applyAlignment="1">
      <alignment horizontal="center"/>
    </xf>
    <xf numFmtId="2" fontId="0" fillId="2" borderId="40" xfId="0" applyNumberFormat="1" applyFill="1" applyBorder="1" applyAlignment="1">
      <alignment horizontal="center"/>
    </xf>
    <xf numFmtId="2" fontId="22" fillId="2" borderId="36" xfId="7" applyNumberFormat="1" applyFont="1" applyFill="1" applyBorder="1" applyAlignment="1">
      <alignment horizontal="center" vertical="center" wrapText="1"/>
    </xf>
    <xf numFmtId="2" fontId="22" fillId="2" borderId="49" xfId="7" applyNumberFormat="1" applyFont="1" applyFill="1" applyBorder="1" applyAlignment="1">
      <alignment horizontal="center" vertical="center" wrapText="1"/>
    </xf>
    <xf numFmtId="2" fontId="0" fillId="2" borderId="53" xfId="0" applyNumberFormat="1" applyFill="1" applyBorder="1" applyAlignment="1">
      <alignment horizontal="center"/>
    </xf>
    <xf numFmtId="2" fontId="0" fillId="2" borderId="46" xfId="0" applyNumberFormat="1" applyFill="1" applyBorder="1" applyAlignment="1">
      <alignment horizontal="center"/>
    </xf>
    <xf numFmtId="2" fontId="0" fillId="2" borderId="45" xfId="0" applyNumberFormat="1" applyFill="1" applyBorder="1"/>
    <xf numFmtId="2" fontId="0" fillId="2" borderId="59" xfId="0" applyNumberFormat="1" applyFill="1" applyBorder="1"/>
    <xf numFmtId="2" fontId="0" fillId="0" borderId="41" xfId="0" applyNumberFormat="1" applyBorder="1" applyAlignment="1">
      <alignment horizontal="center"/>
    </xf>
    <xf numFmtId="2" fontId="0" fillId="0" borderId="40" xfId="0" applyNumberFormat="1" applyBorder="1" applyAlignment="1">
      <alignment horizontal="center"/>
    </xf>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71" xfId="0" applyNumberFormat="1" applyFill="1" applyBorder="1" applyAlignment="1">
      <alignment horizontal="center"/>
    </xf>
    <xf numFmtId="2" fontId="0" fillId="2" borderId="0" xfId="2" applyNumberFormat="1" applyFont="1" applyFill="1"/>
    <xf numFmtId="2" fontId="22" fillId="2" borderId="38" xfId="7" applyNumberFormat="1" applyFont="1" applyFill="1" applyBorder="1" applyAlignment="1">
      <alignment horizontal="center" vertical="center" wrapText="1"/>
    </xf>
    <xf numFmtId="2" fontId="0" fillId="2" borderId="72" xfId="0" applyNumberFormat="1" applyFill="1" applyBorder="1" applyAlignment="1">
      <alignment horizontal="center"/>
    </xf>
    <xf numFmtId="2" fontId="0" fillId="2" borderId="64" xfId="0" applyNumberFormat="1" applyFill="1" applyBorder="1" applyAlignment="1">
      <alignment horizontal="center"/>
    </xf>
    <xf numFmtId="2" fontId="0" fillId="2" borderId="40" xfId="0" applyNumberFormat="1" applyFill="1" applyBorder="1"/>
    <xf numFmtId="2" fontId="0" fillId="2" borderId="58" xfId="0" applyNumberFormat="1" applyFill="1" applyBorder="1"/>
    <xf numFmtId="2" fontId="0" fillId="2" borderId="69" xfId="0" applyNumberFormat="1" applyFill="1" applyBorder="1" applyAlignment="1">
      <alignment horizontal="center"/>
    </xf>
    <xf numFmtId="2" fontId="0" fillId="2" borderId="43" xfId="0" applyNumberFormat="1" applyFill="1" applyBorder="1"/>
    <xf numFmtId="2" fontId="0" fillId="2" borderId="12" xfId="0" applyNumberFormat="1" applyFill="1" applyBorder="1" applyAlignment="1">
      <alignment horizontal="center"/>
    </xf>
    <xf numFmtId="2" fontId="0" fillId="2" borderId="63" xfId="0" applyNumberFormat="1" applyFill="1" applyBorder="1" applyAlignment="1">
      <alignment horizontal="center"/>
    </xf>
    <xf numFmtId="2" fontId="0" fillId="2" borderId="25" xfId="0" applyNumberFormat="1" applyFill="1" applyBorder="1"/>
    <xf numFmtId="0" fontId="0" fillId="0" borderId="0" xfId="0" applyAlignment="1">
      <alignment wrapText="1"/>
    </xf>
    <xf numFmtId="0" fontId="16" fillId="0" borderId="0" xfId="0" applyFont="1" applyAlignment="1">
      <alignment wrapText="1"/>
    </xf>
    <xf numFmtId="43" fontId="16" fillId="0" borderId="0" xfId="1" applyFont="1"/>
    <xf numFmtId="0" fontId="19" fillId="2" borderId="0" xfId="7" applyFont="1" applyFill="1" applyAlignment="1">
      <alignment horizontal="center"/>
    </xf>
    <xf numFmtId="1" fontId="19" fillId="2" borderId="0" xfId="7" applyNumberFormat="1" applyFont="1" applyFill="1" applyAlignment="1">
      <alignment horizontal="center"/>
    </xf>
    <xf numFmtId="0" fontId="21" fillId="2" borderId="0" xfId="7" applyFont="1" applyFill="1" applyAlignment="1">
      <alignment horizontal="center"/>
    </xf>
    <xf numFmtId="1" fontId="22" fillId="2" borderId="0" xfId="7" applyNumberFormat="1" applyFont="1" applyFill="1" applyAlignment="1">
      <alignment horizontal="center"/>
    </xf>
    <xf numFmtId="0" fontId="12" fillId="2" borderId="0" xfId="7" applyFill="1"/>
    <xf numFmtId="0" fontId="22" fillId="2" borderId="0" xfId="7" applyFont="1" applyFill="1" applyAlignment="1">
      <alignment horizontal="left"/>
    </xf>
    <xf numFmtId="0" fontId="2" fillId="2" borderId="69" xfId="0" applyFont="1" applyFill="1" applyBorder="1"/>
    <xf numFmtId="0" fontId="0" fillId="2" borderId="0" xfId="0" applyFill="1" applyAlignment="1">
      <alignment horizontal="left" vertical="center"/>
    </xf>
    <xf numFmtId="0" fontId="22" fillId="7" borderId="36" xfId="7" applyFont="1" applyFill="1" applyBorder="1" applyAlignment="1">
      <alignment horizontal="center" vertical="center" wrapText="1"/>
    </xf>
    <xf numFmtId="0" fontId="0" fillId="2" borderId="46" xfId="0" applyFill="1" applyBorder="1"/>
    <xf numFmtId="0" fontId="0" fillId="7" borderId="53" xfId="0" applyFill="1" applyBorder="1" applyAlignment="1">
      <alignment horizontal="center"/>
    </xf>
    <xf numFmtId="2" fontId="0" fillId="2" borderId="55" xfId="0" applyNumberFormat="1" applyFill="1" applyBorder="1" applyAlignment="1">
      <alignment horizontal="center"/>
    </xf>
    <xf numFmtId="9" fontId="0" fillId="7" borderId="45" xfId="2" applyFont="1" applyFill="1" applyBorder="1" applyAlignment="1">
      <alignment horizontal="center"/>
    </xf>
    <xf numFmtId="2" fontId="0" fillId="2" borderId="45" xfId="0" applyNumberFormat="1" applyFill="1" applyBorder="1" applyAlignment="1">
      <alignment horizontal="center"/>
    </xf>
    <xf numFmtId="2" fontId="0" fillId="8" borderId="45" xfId="0" applyNumberFormat="1" applyFill="1" applyBorder="1" applyAlignment="1">
      <alignment horizontal="center"/>
    </xf>
    <xf numFmtId="166" fontId="0" fillId="2" borderId="63" xfId="0" applyNumberFormat="1" applyFill="1" applyBorder="1" applyAlignment="1">
      <alignment horizontal="center"/>
    </xf>
    <xf numFmtId="9" fontId="0" fillId="7" borderId="42" xfId="2" applyFont="1" applyFill="1" applyBorder="1" applyAlignment="1">
      <alignment horizontal="center"/>
    </xf>
    <xf numFmtId="0" fontId="0" fillId="2" borderId="42" xfId="0" applyFill="1" applyBorder="1" applyAlignment="1">
      <alignment horizontal="center"/>
    </xf>
    <xf numFmtId="0" fontId="0" fillId="2" borderId="74" xfId="0" applyFill="1" applyBorder="1" applyAlignment="1">
      <alignment horizontal="center"/>
    </xf>
    <xf numFmtId="9" fontId="0" fillId="7" borderId="41" xfId="2" applyFont="1" applyFill="1" applyBorder="1"/>
    <xf numFmtId="0" fontId="0" fillId="2" borderId="12" xfId="0" applyFill="1" applyBorder="1" applyAlignment="1">
      <alignment wrapText="1"/>
    </xf>
    <xf numFmtId="9" fontId="0" fillId="7" borderId="39" xfId="2" applyFont="1" applyFill="1" applyBorder="1"/>
    <xf numFmtId="0" fontId="0" fillId="2" borderId="39" xfId="0" applyFill="1" applyBorder="1"/>
    <xf numFmtId="166" fontId="0" fillId="2" borderId="75" xfId="0" applyNumberFormat="1" applyFill="1" applyBorder="1" applyAlignment="1">
      <alignment horizontal="center"/>
    </xf>
    <xf numFmtId="0" fontId="0" fillId="2" borderId="77" xfId="0" applyFill="1" applyBorder="1"/>
    <xf numFmtId="9" fontId="0" fillId="7" borderId="78" xfId="2" applyFont="1" applyFill="1" applyBorder="1" applyAlignment="1">
      <alignment horizontal="center"/>
    </xf>
    <xf numFmtId="2" fontId="0" fillId="8" borderId="78" xfId="0" applyNumberFormat="1" applyFill="1" applyBorder="1" applyAlignment="1">
      <alignment horizontal="center"/>
    </xf>
    <xf numFmtId="166" fontId="0" fillId="2" borderId="67" xfId="0" applyNumberFormat="1" applyFill="1" applyBorder="1" applyAlignment="1">
      <alignment horizontal="center"/>
    </xf>
    <xf numFmtId="0" fontId="2" fillId="2" borderId="0" xfId="0" applyFont="1" applyFill="1"/>
    <xf numFmtId="0" fontId="2" fillId="2" borderId="53" xfId="0" applyFont="1" applyFill="1" applyBorder="1" applyAlignment="1">
      <alignment vertical="center"/>
    </xf>
    <xf numFmtId="0" fontId="0" fillId="2" borderId="41" xfId="0" applyFill="1" applyBorder="1"/>
    <xf numFmtId="0" fontId="0" fillId="2" borderId="42" xfId="0" applyFill="1" applyBorder="1"/>
    <xf numFmtId="9" fontId="0" fillId="7" borderId="41" xfId="2" applyFont="1" applyFill="1" applyBorder="1" applyAlignment="1">
      <alignment horizontal="center"/>
    </xf>
    <xf numFmtId="0" fontId="0" fillId="2" borderId="44" xfId="0" applyFill="1" applyBorder="1"/>
    <xf numFmtId="0" fontId="0" fillId="2" borderId="37" xfId="0" applyFill="1" applyBorder="1"/>
    <xf numFmtId="0" fontId="0" fillId="2" borderId="61" xfId="0" applyFill="1" applyBorder="1" applyAlignment="1">
      <alignment horizontal="center"/>
    </xf>
    <xf numFmtId="0" fontId="0" fillId="2" borderId="67" xfId="0" applyFill="1" applyBorder="1" applyAlignment="1">
      <alignment horizontal="center"/>
    </xf>
    <xf numFmtId="0" fontId="0" fillId="2" borderId="78" xfId="0" applyFill="1" applyBorder="1"/>
    <xf numFmtId="0" fontId="0" fillId="2" borderId="27" xfId="0" applyFill="1" applyBorder="1" applyAlignment="1">
      <alignment horizontal="center"/>
    </xf>
    <xf numFmtId="0" fontId="23" fillId="10" borderId="8" xfId="0" applyFont="1" applyFill="1" applyBorder="1"/>
    <xf numFmtId="43" fontId="2" fillId="0" borderId="0" xfId="0" applyNumberFormat="1" applyFont="1"/>
    <xf numFmtId="0" fontId="17" fillId="0" borderId="26" xfId="0" applyFont="1" applyBorder="1" applyAlignment="1">
      <alignment horizontal="left" vertical="center" indent="1"/>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23" fillId="10" borderId="10" xfId="0" applyFont="1" applyFill="1" applyBorder="1"/>
    <xf numFmtId="1" fontId="0" fillId="2" borderId="42" xfId="0" applyNumberFormat="1" applyFill="1" applyBorder="1" applyAlignment="1">
      <alignment horizontal="center"/>
    </xf>
    <xf numFmtId="1" fontId="0" fillId="2" borderId="78" xfId="0" applyNumberFormat="1" applyFill="1" applyBorder="1" applyAlignment="1">
      <alignment horizontal="center"/>
    </xf>
    <xf numFmtId="0" fontId="0" fillId="2" borderId="78" xfId="0" applyFill="1" applyBorder="1" applyAlignment="1">
      <alignment horizontal="center"/>
    </xf>
    <xf numFmtId="0" fontId="0" fillId="2" borderId="28" xfId="0" applyFill="1" applyBorder="1" applyAlignment="1">
      <alignment wrapText="1"/>
    </xf>
    <xf numFmtId="0" fontId="0" fillId="0" borderId="73" xfId="0" applyBorder="1" applyAlignment="1">
      <alignment horizontal="center"/>
    </xf>
    <xf numFmtId="0" fontId="0" fillId="0" borderId="29" xfId="0" applyBorder="1" applyAlignment="1">
      <alignment wrapText="1"/>
    </xf>
    <xf numFmtId="0" fontId="0" fillId="0" borderId="28" xfId="0" applyBorder="1" applyAlignment="1">
      <alignment wrapText="1"/>
    </xf>
    <xf numFmtId="0" fontId="0" fillId="0" borderId="28" xfId="0" applyBorder="1" applyAlignment="1">
      <alignment horizontal="center"/>
    </xf>
    <xf numFmtId="0" fontId="0" fillId="0" borderId="0" xfId="0" applyAlignment="1">
      <alignment horizontal="center"/>
    </xf>
    <xf numFmtId="2" fontId="0" fillId="0" borderId="8" xfId="0" applyNumberFormat="1" applyBorder="1" applyAlignment="1">
      <alignment horizontal="center"/>
    </xf>
    <xf numFmtId="2" fontId="0" fillId="0" borderId="63" xfId="0" applyNumberFormat="1" applyBorder="1" applyAlignment="1">
      <alignment horizontal="center"/>
    </xf>
    <xf numFmtId="0" fontId="0" fillId="0" borderId="42" xfId="0" applyBorder="1" applyAlignment="1">
      <alignment horizontal="center"/>
    </xf>
    <xf numFmtId="0" fontId="0" fillId="0" borderId="74" xfId="0" applyBorder="1" applyAlignment="1">
      <alignment horizontal="center"/>
    </xf>
    <xf numFmtId="0" fontId="0" fillId="0" borderId="28" xfId="0" applyBorder="1"/>
    <xf numFmtId="2" fontId="0" fillId="0" borderId="14" xfId="0" applyNumberFormat="1" applyBorder="1" applyAlignment="1">
      <alignment horizontal="center"/>
    </xf>
    <xf numFmtId="0" fontId="0" fillId="0" borderId="12" xfId="0" applyBorder="1" applyAlignment="1">
      <alignment wrapText="1"/>
    </xf>
    <xf numFmtId="0" fontId="23" fillId="0" borderId="25" xfId="0" applyFont="1" applyBorder="1"/>
    <xf numFmtId="0" fontId="0" fillId="0" borderId="42" xfId="0" applyBorder="1"/>
    <xf numFmtId="1" fontId="0" fillId="0" borderId="72" xfId="0" applyNumberFormat="1" applyBorder="1" applyAlignment="1">
      <alignment horizontal="center"/>
    </xf>
    <xf numFmtId="1" fontId="0" fillId="2" borderId="72" xfId="0" applyNumberFormat="1" applyFill="1" applyBorder="1" applyAlignment="1">
      <alignment horizontal="center"/>
    </xf>
    <xf numFmtId="1" fontId="0" fillId="2" borderId="25" xfId="0" applyNumberFormat="1" applyFill="1" applyBorder="1" applyAlignment="1">
      <alignment horizontal="center"/>
    </xf>
    <xf numFmtId="2" fontId="0" fillId="2" borderId="12" xfId="0" applyNumberFormat="1" applyFill="1" applyBorder="1" applyAlignment="1">
      <alignment horizontal="center" vertical="center"/>
    </xf>
    <xf numFmtId="9" fontId="0" fillId="7" borderId="42" xfId="2" applyFont="1" applyFill="1" applyBorder="1"/>
    <xf numFmtId="1" fontId="0" fillId="2" borderId="77" xfId="0" applyNumberFormat="1" applyFill="1" applyBorder="1" applyAlignment="1">
      <alignment horizontal="center"/>
    </xf>
    <xf numFmtId="2" fontId="0" fillId="2" borderId="66" xfId="0" applyNumberFormat="1" applyFill="1" applyBorder="1" applyAlignment="1">
      <alignment horizontal="center" vertical="center"/>
    </xf>
    <xf numFmtId="9" fontId="2" fillId="2" borderId="0" xfId="2" applyFont="1" applyFill="1" applyBorder="1" applyAlignment="1">
      <alignment vertical="center"/>
    </xf>
    <xf numFmtId="9" fontId="22" fillId="7" borderId="37" xfId="2" applyFont="1" applyFill="1" applyBorder="1" applyAlignment="1">
      <alignment horizontal="center" vertical="center" wrapText="1"/>
    </xf>
    <xf numFmtId="0" fontId="22" fillId="2" borderId="53" xfId="7" applyFont="1" applyFill="1" applyBorder="1" applyAlignment="1">
      <alignment horizontal="center" vertical="center" wrapText="1"/>
    </xf>
    <xf numFmtId="0" fontId="0" fillId="2" borderId="49" xfId="0" applyFill="1" applyBorder="1"/>
    <xf numFmtId="0" fontId="0" fillId="2" borderId="81" xfId="0" applyFill="1" applyBorder="1"/>
    <xf numFmtId="0" fontId="0" fillId="2" borderId="82" xfId="0" applyFill="1" applyBorder="1"/>
    <xf numFmtId="0" fontId="0" fillId="2" borderId="83" xfId="0" applyFill="1" applyBorder="1"/>
    <xf numFmtId="0" fontId="0" fillId="2" borderId="82" xfId="0" applyFill="1" applyBorder="1" applyAlignment="1">
      <alignment horizontal="center"/>
    </xf>
    <xf numFmtId="0" fontId="0" fillId="2" borderId="83" xfId="0" applyFill="1" applyBorder="1" applyAlignment="1">
      <alignment horizontal="center"/>
    </xf>
    <xf numFmtId="0" fontId="0" fillId="2" borderId="37" xfId="0" applyFill="1" applyBorder="1" applyAlignment="1">
      <alignment horizontal="center"/>
    </xf>
    <xf numFmtId="1" fontId="0" fillId="2" borderId="49" xfId="0" applyNumberFormat="1" applyFill="1" applyBorder="1" applyAlignment="1">
      <alignment horizontal="center"/>
    </xf>
    <xf numFmtId="9" fontId="0" fillId="7" borderId="36" xfId="2" applyFont="1" applyFill="1" applyBorder="1" applyAlignment="1">
      <alignment horizontal="center"/>
    </xf>
    <xf numFmtId="0" fontId="2" fillId="2" borderId="42" xfId="0" applyFont="1" applyFill="1" applyBorder="1"/>
    <xf numFmtId="0" fontId="0" fillId="2" borderId="60" xfId="0" applyFill="1" applyBorder="1"/>
    <xf numFmtId="0" fontId="0" fillId="2" borderId="74" xfId="0" applyFill="1" applyBorder="1"/>
    <xf numFmtId="0" fontId="0" fillId="2" borderId="24" xfId="0" applyFill="1" applyBorder="1" applyAlignment="1">
      <alignment horizontal="center"/>
    </xf>
    <xf numFmtId="1" fontId="0" fillId="2" borderId="64" xfId="0" applyNumberFormat="1" applyFill="1" applyBorder="1"/>
    <xf numFmtId="0" fontId="0" fillId="2" borderId="67" xfId="0" applyFill="1" applyBorder="1"/>
    <xf numFmtId="9" fontId="0" fillId="7" borderId="70" xfId="2" applyFont="1" applyFill="1" applyBorder="1" applyAlignment="1">
      <alignment horizontal="center"/>
    </xf>
    <xf numFmtId="3" fontId="0" fillId="0" borderId="25" xfId="0" applyNumberFormat="1" applyBorder="1"/>
    <xf numFmtId="0" fontId="0" fillId="0" borderId="72" xfId="0" applyBorder="1"/>
    <xf numFmtId="0" fontId="0" fillId="0" borderId="44" xfId="0" applyBorder="1" applyAlignment="1">
      <alignment horizontal="center"/>
    </xf>
    <xf numFmtId="0" fontId="0" fillId="0" borderId="29" xfId="0" applyBorder="1"/>
    <xf numFmtId="0" fontId="0" fillId="0" borderId="34" xfId="0" applyBorder="1"/>
    <xf numFmtId="1" fontId="0" fillId="0" borderId="73" xfId="0" applyNumberFormat="1" applyBorder="1" applyAlignment="1">
      <alignment horizontal="center"/>
    </xf>
    <xf numFmtId="0" fontId="0" fillId="0" borderId="14" xfId="0" applyBorder="1" applyAlignment="1">
      <alignment horizontal="center"/>
    </xf>
    <xf numFmtId="2" fontId="0" fillId="0" borderId="61" xfId="0" applyNumberFormat="1" applyBorder="1" applyAlignment="1">
      <alignment horizontal="center" vertical="center"/>
    </xf>
    <xf numFmtId="1" fontId="0" fillId="0" borderId="60" xfId="0" applyNumberFormat="1" applyBorder="1" applyAlignment="1">
      <alignment horizontal="center"/>
    </xf>
    <xf numFmtId="0" fontId="0" fillId="0" borderId="10" xfId="0" applyBorder="1" applyAlignment="1">
      <alignment horizontal="center"/>
    </xf>
    <xf numFmtId="2" fontId="0" fillId="0" borderId="74" xfId="0" applyNumberFormat="1" applyBorder="1" applyAlignment="1">
      <alignment horizontal="center" vertical="center"/>
    </xf>
    <xf numFmtId="2" fontId="0" fillId="9" borderId="42" xfId="0" applyNumberFormat="1" applyFill="1" applyBorder="1" applyAlignment="1">
      <alignment horizontal="center"/>
    </xf>
    <xf numFmtId="167" fontId="0" fillId="2" borderId="60" xfId="0" applyNumberFormat="1" applyFill="1" applyBorder="1" applyAlignment="1">
      <alignment horizontal="center"/>
    </xf>
    <xf numFmtId="0" fontId="15" fillId="0" borderId="26" xfId="0" applyFont="1" applyBorder="1" applyAlignment="1">
      <alignment horizontal="left" vertical="center" wrapText="1" indent="1"/>
    </xf>
    <xf numFmtId="10" fontId="5" fillId="0" borderId="15" xfId="2" applyNumberFormat="1" applyFont="1" applyFill="1" applyBorder="1" applyAlignment="1">
      <alignment vertical="center"/>
    </xf>
    <xf numFmtId="43" fontId="5" fillId="0" borderId="16" xfId="1" applyFont="1" applyFill="1" applyBorder="1" applyAlignment="1">
      <alignment vertical="center"/>
    </xf>
    <xf numFmtId="43" fontId="5" fillId="0" borderId="18" xfId="1" applyFont="1" applyFill="1" applyBorder="1" applyAlignment="1">
      <alignment vertical="center"/>
    </xf>
    <xf numFmtId="0" fontId="13" fillId="0" borderId="26" xfId="0" applyFont="1" applyBorder="1" applyAlignment="1">
      <alignment horizontal="left" vertical="center" indent="1"/>
    </xf>
    <xf numFmtId="2" fontId="19" fillId="2" borderId="0" xfId="7" applyNumberFormat="1" applyFont="1" applyFill="1" applyAlignment="1">
      <alignment horizontal="center"/>
    </xf>
    <xf numFmtId="2" fontId="22" fillId="2" borderId="0" xfId="7" applyNumberFormat="1" applyFont="1" applyFill="1" applyAlignment="1">
      <alignment horizontal="center"/>
    </xf>
    <xf numFmtId="2" fontId="0" fillId="2" borderId="24" xfId="0" applyNumberFormat="1" applyFill="1" applyBorder="1"/>
    <xf numFmtId="2" fontId="0" fillId="2" borderId="0" xfId="0" applyNumberFormat="1" applyFill="1" applyAlignment="1">
      <alignment horizontal="center"/>
    </xf>
    <xf numFmtId="2" fontId="0" fillId="2" borderId="68" xfId="0" applyNumberFormat="1" applyFill="1" applyBorder="1" applyAlignment="1">
      <alignment horizontal="center"/>
    </xf>
    <xf numFmtId="2" fontId="0" fillId="2" borderId="42" xfId="0" applyNumberFormat="1" applyFill="1" applyBorder="1" applyAlignment="1">
      <alignment horizontal="center"/>
    </xf>
    <xf numFmtId="2" fontId="0" fillId="2" borderId="39" xfId="0" applyNumberFormat="1" applyFill="1" applyBorder="1"/>
    <xf numFmtId="2" fontId="0" fillId="2" borderId="0" xfId="0" applyNumberFormat="1" applyFill="1" applyAlignment="1">
      <alignment horizontal="right" vertical="center"/>
    </xf>
    <xf numFmtId="2" fontId="22" fillId="8" borderId="36" xfId="7" applyNumberFormat="1" applyFont="1" applyFill="1" applyBorder="1" applyAlignment="1">
      <alignment horizontal="center" vertical="center" wrapText="1"/>
    </xf>
    <xf numFmtId="2" fontId="0" fillId="8" borderId="53" xfId="0" applyNumberFormat="1" applyFill="1" applyBorder="1" applyAlignment="1">
      <alignment horizontal="center"/>
    </xf>
    <xf numFmtId="2" fontId="0" fillId="8" borderId="42" xfId="0" applyNumberFormat="1" applyFill="1" applyBorder="1" applyAlignment="1">
      <alignment horizontal="center"/>
    </xf>
    <xf numFmtId="2" fontId="0" fillId="8" borderId="39" xfId="0" applyNumberFormat="1" applyFill="1" applyBorder="1"/>
    <xf numFmtId="2" fontId="2" fillId="2" borderId="0" xfId="0" applyNumberFormat="1" applyFont="1" applyFill="1" applyAlignment="1">
      <alignment horizontal="right" vertical="center"/>
    </xf>
    <xf numFmtId="2" fontId="0" fillId="2" borderId="38" xfId="0" applyNumberFormat="1" applyFill="1" applyBorder="1" applyAlignment="1">
      <alignment horizontal="center"/>
    </xf>
    <xf numFmtId="2" fontId="0" fillId="2" borderId="43" xfId="0" applyNumberFormat="1" applyFill="1" applyBorder="1" applyAlignment="1">
      <alignment horizontal="center"/>
    </xf>
    <xf numFmtId="2" fontId="0" fillId="0" borderId="43" xfId="0" applyNumberFormat="1" applyBorder="1" applyAlignment="1">
      <alignment horizontal="center"/>
    </xf>
    <xf numFmtId="2" fontId="0" fillId="2" borderId="42" xfId="0" applyNumberFormat="1" applyFill="1" applyBorder="1"/>
    <xf numFmtId="2" fontId="2" fillId="2" borderId="0" xfId="2" applyNumberFormat="1" applyFont="1" applyFill="1" applyBorder="1" applyAlignment="1">
      <alignment vertical="center"/>
    </xf>
    <xf numFmtId="2" fontId="0" fillId="2" borderId="36" xfId="0" applyNumberFormat="1" applyFill="1" applyBorder="1" applyAlignment="1">
      <alignment horizontal="center"/>
    </xf>
    <xf numFmtId="2" fontId="0" fillId="0" borderId="42" xfId="0" applyNumberFormat="1" applyBorder="1" applyAlignment="1">
      <alignment horizontal="center"/>
    </xf>
    <xf numFmtId="2" fontId="22" fillId="8" borderId="49" xfId="7" applyNumberFormat="1" applyFont="1" applyFill="1" applyBorder="1" applyAlignment="1">
      <alignment horizontal="center" vertical="center" wrapText="1"/>
    </xf>
    <xf numFmtId="2" fontId="0" fillId="8" borderId="36" xfId="0" applyNumberFormat="1" applyFill="1" applyBorder="1" applyAlignment="1">
      <alignment horizontal="center"/>
    </xf>
    <xf numFmtId="2" fontId="0" fillId="8" borderId="70" xfId="0" applyNumberFormat="1" applyFill="1" applyBorder="1" applyAlignment="1">
      <alignment horizontal="center"/>
    </xf>
    <xf numFmtId="2" fontId="0" fillId="8" borderId="42" xfId="0" applyNumberFormat="1" applyFill="1" applyBorder="1"/>
    <xf numFmtId="2" fontId="2" fillId="2" borderId="0" xfId="0" applyNumberFormat="1" applyFont="1" applyFill="1" applyAlignment="1">
      <alignment horizontal="left" vertical="top"/>
    </xf>
    <xf numFmtId="2" fontId="22" fillId="9" borderId="36" xfId="7" applyNumberFormat="1" applyFont="1" applyFill="1" applyBorder="1" applyAlignment="1">
      <alignment horizontal="center" vertical="center" wrapText="1"/>
    </xf>
    <xf numFmtId="2" fontId="0" fillId="9" borderId="36" xfId="0" applyNumberFormat="1" applyFill="1" applyBorder="1" applyAlignment="1">
      <alignment horizontal="center"/>
    </xf>
    <xf numFmtId="2" fontId="0" fillId="9" borderId="70" xfId="0" applyNumberFormat="1" applyFill="1" applyBorder="1" applyAlignment="1">
      <alignment horizontal="center"/>
    </xf>
    <xf numFmtId="2" fontId="0" fillId="9" borderId="53" xfId="0" applyNumberFormat="1" applyFill="1" applyBorder="1" applyAlignment="1">
      <alignment horizontal="center"/>
    </xf>
    <xf numFmtId="2" fontId="0" fillId="9" borderId="45" xfId="0" applyNumberFormat="1" applyFill="1" applyBorder="1" applyAlignment="1">
      <alignment horizontal="center"/>
    </xf>
    <xf numFmtId="2" fontId="0" fillId="9" borderId="78" xfId="0" applyNumberFormat="1" applyFill="1" applyBorder="1" applyAlignment="1">
      <alignment horizontal="center"/>
    </xf>
    <xf numFmtId="2" fontId="0" fillId="9" borderId="39" xfId="0" applyNumberFormat="1" applyFill="1" applyBorder="1" applyAlignment="1">
      <alignment horizontal="center"/>
    </xf>
    <xf numFmtId="2" fontId="0" fillId="0" borderId="42" xfId="0" applyNumberFormat="1" applyBorder="1"/>
    <xf numFmtId="2" fontId="0" fillId="2" borderId="39" xfId="0" applyNumberFormat="1" applyFill="1" applyBorder="1" applyAlignment="1">
      <alignment horizontal="center"/>
    </xf>
    <xf numFmtId="2" fontId="0" fillId="2" borderId="80" xfId="0" applyNumberFormat="1" applyFill="1" applyBorder="1" applyAlignment="1">
      <alignment horizontal="center"/>
    </xf>
    <xf numFmtId="2" fontId="0" fillId="0" borderId="24" xfId="0" applyNumberFormat="1" applyBorder="1"/>
    <xf numFmtId="2" fontId="0" fillId="0" borderId="23" xfId="0" applyNumberFormat="1" applyBorder="1" applyAlignment="1">
      <alignment horizontal="center"/>
    </xf>
    <xf numFmtId="2" fontId="0" fillId="8" borderId="41" xfId="0" applyNumberFormat="1" applyFill="1" applyBorder="1" applyAlignment="1">
      <alignment horizontal="center"/>
    </xf>
    <xf numFmtId="2" fontId="0" fillId="9" borderId="40" xfId="0" applyNumberFormat="1" applyFill="1" applyBorder="1" applyAlignment="1">
      <alignment horizontal="center"/>
    </xf>
    <xf numFmtId="9" fontId="0" fillId="11" borderId="42" xfId="2" applyFont="1" applyFill="1" applyBorder="1" applyAlignment="1">
      <alignment horizontal="center"/>
    </xf>
    <xf numFmtId="0" fontId="0" fillId="12" borderId="42" xfId="0" applyFill="1" applyBorder="1" applyAlignment="1">
      <alignment horizontal="center"/>
    </xf>
    <xf numFmtId="0" fontId="0" fillId="13" borderId="42" xfId="0" applyFill="1" applyBorder="1" applyAlignment="1">
      <alignment horizontal="center"/>
    </xf>
    <xf numFmtId="166" fontId="0" fillId="2" borderId="24" xfId="0" applyNumberFormat="1" applyFill="1" applyBorder="1"/>
    <xf numFmtId="9" fontId="0" fillId="11" borderId="41" xfId="2" applyFont="1" applyFill="1" applyBorder="1"/>
    <xf numFmtId="166" fontId="0" fillId="2" borderId="42" xfId="0" applyNumberFormat="1" applyFill="1" applyBorder="1"/>
    <xf numFmtId="1" fontId="0" fillId="2" borderId="29" xfId="0" applyNumberFormat="1" applyFill="1" applyBorder="1" applyAlignment="1">
      <alignment horizontal="center"/>
    </xf>
    <xf numFmtId="0" fontId="0" fillId="2" borderId="14" xfId="0" applyFill="1" applyBorder="1" applyAlignment="1">
      <alignment horizontal="center"/>
    </xf>
    <xf numFmtId="9" fontId="0" fillId="11" borderId="44" xfId="2" applyFont="1" applyFill="1" applyBorder="1" applyAlignment="1">
      <alignment horizontal="center"/>
    </xf>
    <xf numFmtId="0" fontId="0" fillId="12" borderId="44" xfId="0" applyFill="1" applyBorder="1" applyAlignment="1">
      <alignment horizontal="center"/>
    </xf>
    <xf numFmtId="2" fontId="0" fillId="2" borderId="28" xfId="0" applyNumberFormat="1" applyFill="1" applyBorder="1" applyAlignment="1">
      <alignment horizontal="center" vertical="center"/>
    </xf>
    <xf numFmtId="166" fontId="0" fillId="2" borderId="44" xfId="0" applyNumberFormat="1" applyFill="1" applyBorder="1" applyAlignment="1">
      <alignment horizontal="center"/>
    </xf>
    <xf numFmtId="0" fontId="0" fillId="2" borderId="44" xfId="0" applyFill="1" applyBorder="1" applyAlignment="1">
      <alignment horizontal="center"/>
    </xf>
    <xf numFmtId="166" fontId="0" fillId="13" borderId="44" xfId="0" applyNumberFormat="1" applyFill="1" applyBorder="1" applyAlignment="1">
      <alignment horizontal="center"/>
    </xf>
    <xf numFmtId="9" fontId="26" fillId="0" borderId="25" xfId="0" applyNumberFormat="1" applyFont="1" applyBorder="1"/>
    <xf numFmtId="1" fontId="0" fillId="2" borderId="44" xfId="0" applyNumberFormat="1" applyFill="1" applyBorder="1" applyAlignment="1">
      <alignment horizontal="center"/>
    </xf>
    <xf numFmtId="166" fontId="0" fillId="2" borderId="41" xfId="0" applyNumberFormat="1" applyFill="1" applyBorder="1" applyAlignment="1">
      <alignment horizontal="center"/>
    </xf>
    <xf numFmtId="166" fontId="0" fillId="12" borderId="44" xfId="0" applyNumberFormat="1" applyFill="1" applyBorder="1" applyAlignment="1">
      <alignment horizontal="center"/>
    </xf>
    <xf numFmtId="166" fontId="22" fillId="2" borderId="0" xfId="7" applyNumberFormat="1" applyFont="1" applyFill="1" applyAlignment="1">
      <alignment horizont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6" fontId="22" fillId="2" borderId="38" xfId="7" applyNumberFormat="1" applyFont="1" applyFill="1" applyBorder="1" applyAlignment="1">
      <alignment horizontal="center" vertical="center" wrapText="1"/>
    </xf>
    <xf numFmtId="0" fontId="22" fillId="11" borderId="36" xfId="7" applyFont="1" applyFill="1" applyBorder="1" applyAlignment="1">
      <alignment horizontal="center" vertical="center" wrapText="1"/>
    </xf>
    <xf numFmtId="0" fontId="22" fillId="12" borderId="36" xfId="7" applyFont="1" applyFill="1" applyBorder="1" applyAlignment="1">
      <alignment horizontal="center" vertical="center" wrapText="1"/>
    </xf>
    <xf numFmtId="0" fontId="22" fillId="13" borderId="36" xfId="7" applyFont="1" applyFill="1" applyBorder="1" applyAlignment="1">
      <alignment horizontal="center" vertical="center" wrapText="1"/>
    </xf>
    <xf numFmtId="166" fontId="0" fillId="2" borderId="53" xfId="0" applyNumberFormat="1" applyFill="1" applyBorder="1" applyAlignment="1">
      <alignment horizontal="center"/>
    </xf>
    <xf numFmtId="0" fontId="0" fillId="11" borderId="53" xfId="0" applyFill="1" applyBorder="1" applyAlignment="1">
      <alignment horizontal="center"/>
    </xf>
    <xf numFmtId="0" fontId="0" fillId="12" borderId="53" xfId="0" applyFill="1" applyBorder="1" applyAlignment="1">
      <alignment horizontal="center"/>
    </xf>
    <xf numFmtId="0" fontId="0" fillId="13" borderId="53" xfId="0" applyFill="1" applyBorder="1" applyAlignment="1">
      <alignment horizontal="center"/>
    </xf>
    <xf numFmtId="166" fontId="0" fillId="2" borderId="80" xfId="0" applyNumberFormat="1" applyFill="1" applyBorder="1" applyAlignment="1">
      <alignment horizontal="center"/>
    </xf>
    <xf numFmtId="9" fontId="0" fillId="11" borderId="45" xfId="2" applyFont="1" applyFill="1" applyBorder="1" applyAlignment="1">
      <alignment horizontal="center"/>
    </xf>
    <xf numFmtId="2" fontId="0" fillId="12" borderId="45" xfId="0" applyNumberFormat="1" applyFill="1" applyBorder="1" applyAlignment="1">
      <alignment horizontal="center"/>
    </xf>
    <xf numFmtId="166" fontId="0" fillId="13" borderId="45" xfId="0" applyNumberFormat="1" applyFill="1" applyBorder="1" applyAlignment="1">
      <alignment horizontal="center"/>
    </xf>
    <xf numFmtId="166" fontId="0" fillId="2" borderId="39" xfId="0" applyNumberFormat="1" applyFill="1" applyBorder="1" applyAlignment="1">
      <alignment horizontal="center"/>
    </xf>
    <xf numFmtId="9" fontId="0" fillId="11" borderId="39" xfId="2" applyFont="1" applyFill="1" applyBorder="1"/>
    <xf numFmtId="0" fontId="0" fillId="12" borderId="39" xfId="0" applyFill="1" applyBorder="1"/>
    <xf numFmtId="166" fontId="0" fillId="13" borderId="39" xfId="0" applyNumberFormat="1" applyFill="1" applyBorder="1" applyAlignment="1">
      <alignment horizontal="center"/>
    </xf>
    <xf numFmtId="166" fontId="0" fillId="2" borderId="78" xfId="0" applyNumberFormat="1" applyFill="1" applyBorder="1" applyAlignment="1">
      <alignment horizontal="center"/>
    </xf>
    <xf numFmtId="9" fontId="0" fillId="11" borderId="78" xfId="2" applyFont="1" applyFill="1" applyBorder="1" applyAlignment="1">
      <alignment horizontal="center"/>
    </xf>
    <xf numFmtId="2" fontId="0" fillId="12" borderId="78" xfId="0" applyNumberFormat="1" applyFill="1" applyBorder="1" applyAlignment="1">
      <alignment horizontal="center"/>
    </xf>
    <xf numFmtId="166" fontId="0" fillId="13" borderId="78" xfId="0" applyNumberFormat="1" applyFill="1" applyBorder="1" applyAlignment="1">
      <alignment horizontal="center"/>
    </xf>
    <xf numFmtId="0" fontId="0" fillId="0" borderId="10" xfId="0" applyBorder="1" applyAlignment="1">
      <alignment wrapText="1"/>
    </xf>
    <xf numFmtId="1" fontId="0" fillId="2" borderId="62" xfId="0" applyNumberFormat="1" applyFill="1" applyBorder="1" applyAlignment="1">
      <alignment horizontal="center" vertical="center"/>
    </xf>
    <xf numFmtId="0" fontId="0" fillId="2" borderId="8" xfId="0" applyFill="1" applyBorder="1" applyAlignment="1">
      <alignment horizontal="center" vertical="center"/>
    </xf>
    <xf numFmtId="166" fontId="0" fillId="2" borderId="42" xfId="0" applyNumberFormat="1" applyFill="1" applyBorder="1" applyAlignment="1">
      <alignment horizontal="center"/>
    </xf>
    <xf numFmtId="166" fontId="0" fillId="2" borderId="24" xfId="0" applyNumberFormat="1" applyFill="1" applyBorder="1" applyAlignment="1">
      <alignment horizontal="center"/>
    </xf>
    <xf numFmtId="0" fontId="0" fillId="4" borderId="29" xfId="0" applyFill="1" applyBorder="1" applyAlignment="1">
      <alignment wrapText="1"/>
    </xf>
    <xf numFmtId="0" fontId="0" fillId="4" borderId="29" xfId="0" applyFill="1" applyBorder="1"/>
    <xf numFmtId="0" fontId="28" fillId="2" borderId="69" xfId="0" applyFont="1" applyFill="1" applyBorder="1"/>
    <xf numFmtId="0" fontId="28" fillId="2" borderId="0" xfId="0" applyFont="1" applyFill="1" applyAlignment="1">
      <alignment vertical="center"/>
    </xf>
    <xf numFmtId="9" fontId="28" fillId="2" borderId="0" xfId="2" applyFont="1" applyFill="1" applyBorder="1" applyAlignment="1">
      <alignment vertical="center"/>
    </xf>
    <xf numFmtId="49" fontId="28" fillId="2" borderId="0" xfId="0" applyNumberFormat="1" applyFont="1" applyFill="1" applyAlignment="1">
      <alignment horizontal="left" vertical="top"/>
    </xf>
    <xf numFmtId="0" fontId="29" fillId="2" borderId="36" xfId="7" applyFont="1" applyFill="1" applyBorder="1" applyAlignment="1">
      <alignment horizontal="center" vertical="center" wrapText="1"/>
    </xf>
    <xf numFmtId="0" fontId="29" fillId="2" borderId="38" xfId="7" applyFont="1" applyFill="1" applyBorder="1" applyAlignment="1">
      <alignment horizontal="center" vertical="center" wrapText="1"/>
    </xf>
    <xf numFmtId="0" fontId="29" fillId="2" borderId="47" xfId="7" applyFont="1" applyFill="1" applyBorder="1" applyAlignment="1">
      <alignment horizontal="center" vertical="center" wrapText="1"/>
    </xf>
    <xf numFmtId="166" fontId="29" fillId="2" borderId="38" xfId="7" applyNumberFormat="1" applyFont="1" applyFill="1" applyBorder="1" applyAlignment="1">
      <alignment horizontal="center" vertical="center" wrapText="1"/>
    </xf>
    <xf numFmtId="9" fontId="29" fillId="11" borderId="37" xfId="2" applyFont="1" applyFill="1" applyBorder="1" applyAlignment="1">
      <alignment horizontal="center" vertical="center" wrapText="1"/>
    </xf>
    <xf numFmtId="166" fontId="29" fillId="2" borderId="36" xfId="7" applyNumberFormat="1" applyFont="1" applyFill="1" applyBorder="1" applyAlignment="1">
      <alignment horizontal="center" vertical="center" wrapText="1"/>
    </xf>
    <xf numFmtId="0" fontId="29" fillId="12" borderId="49" xfId="7" applyFont="1" applyFill="1" applyBorder="1" applyAlignment="1">
      <alignment horizontal="center" vertical="center" wrapText="1"/>
    </xf>
    <xf numFmtId="0" fontId="29" fillId="13" borderId="36" xfId="7" applyFont="1" applyFill="1" applyBorder="1" applyAlignment="1">
      <alignment horizontal="center" vertical="center" wrapText="1"/>
    </xf>
    <xf numFmtId="0" fontId="29" fillId="2" borderId="53" xfId="7" applyFont="1" applyFill="1" applyBorder="1" applyAlignment="1">
      <alignment horizontal="center" vertical="center" wrapText="1"/>
    </xf>
    <xf numFmtId="0" fontId="28" fillId="2" borderId="46" xfId="0" applyFont="1" applyFill="1" applyBorder="1"/>
    <xf numFmtId="9" fontId="0" fillId="11" borderId="46" xfId="2" applyFont="1" applyFill="1" applyBorder="1" applyAlignment="1">
      <alignment horizontal="center"/>
    </xf>
    <xf numFmtId="166" fontId="0" fillId="12" borderId="46" xfId="0" applyNumberFormat="1" applyFill="1" applyBorder="1" applyAlignment="1">
      <alignment horizontal="center"/>
    </xf>
    <xf numFmtId="0" fontId="0" fillId="0" borderId="54" xfId="0" applyBorder="1"/>
    <xf numFmtId="166" fontId="0" fillId="2" borderId="45" xfId="0" applyNumberFormat="1" applyFill="1" applyBorder="1" applyAlignment="1">
      <alignment horizontal="center"/>
    </xf>
    <xf numFmtId="9" fontId="0" fillId="11" borderId="58" xfId="2" applyFont="1" applyFill="1" applyBorder="1"/>
    <xf numFmtId="166" fontId="0" fillId="12" borderId="45" xfId="0" applyNumberFormat="1" applyFill="1" applyBorder="1"/>
    <xf numFmtId="0" fontId="0" fillId="13" borderId="59" xfId="0" applyFill="1" applyBorder="1"/>
    <xf numFmtId="9" fontId="0" fillId="11" borderId="40" xfId="2" applyFont="1" applyFill="1" applyBorder="1" applyAlignment="1">
      <alignment horizontal="center"/>
    </xf>
    <xf numFmtId="9" fontId="0" fillId="11" borderId="41" xfId="2" applyFont="1" applyFill="1" applyBorder="1" applyAlignment="1">
      <alignment horizontal="center"/>
    </xf>
    <xf numFmtId="166" fontId="0" fillId="12" borderId="42" xfId="0" applyNumberFormat="1" applyFill="1" applyBorder="1" applyAlignment="1">
      <alignment horizontal="center"/>
    </xf>
    <xf numFmtId="166" fontId="0" fillId="13" borderId="42" xfId="0" applyNumberFormat="1" applyFill="1" applyBorder="1" applyAlignment="1">
      <alignment horizontal="center"/>
    </xf>
    <xf numFmtId="0" fontId="0" fillId="2" borderId="70" xfId="0" applyFill="1" applyBorder="1"/>
    <xf numFmtId="1" fontId="0" fillId="2" borderId="84" xfId="0" applyNumberFormat="1" applyFill="1" applyBorder="1" applyAlignment="1">
      <alignment horizontal="center"/>
    </xf>
    <xf numFmtId="0" fontId="0" fillId="2" borderId="85" xfId="0" applyFill="1" applyBorder="1" applyAlignment="1">
      <alignment horizontal="center"/>
    </xf>
    <xf numFmtId="2" fontId="0" fillId="2" borderId="86" xfId="0" applyNumberFormat="1" applyFill="1" applyBorder="1" applyAlignment="1">
      <alignment horizontal="center" vertical="center"/>
    </xf>
    <xf numFmtId="166" fontId="0" fillId="2" borderId="87" xfId="0" applyNumberFormat="1" applyFill="1" applyBorder="1" applyAlignment="1">
      <alignment horizontal="center"/>
    </xf>
    <xf numFmtId="9" fontId="0" fillId="11" borderId="70" xfId="2" applyFont="1" applyFill="1" applyBorder="1" applyAlignment="1">
      <alignment horizontal="center"/>
    </xf>
    <xf numFmtId="166" fontId="0" fillId="2" borderId="70" xfId="0" applyNumberFormat="1" applyFill="1" applyBorder="1" applyAlignment="1">
      <alignment horizontal="center"/>
    </xf>
    <xf numFmtId="166" fontId="0" fillId="12" borderId="70" xfId="0" applyNumberFormat="1" applyFill="1" applyBorder="1" applyAlignment="1">
      <alignment horizontal="center"/>
    </xf>
    <xf numFmtId="2" fontId="28" fillId="2" borderId="0" xfId="0" applyNumberFormat="1" applyFont="1" applyFill="1"/>
    <xf numFmtId="9" fontId="28" fillId="2" borderId="0" xfId="2" applyFont="1" applyFill="1"/>
    <xf numFmtId="2" fontId="0" fillId="2" borderId="24" xfId="0" applyNumberFormat="1" applyFill="1" applyBorder="1" applyAlignment="1">
      <alignment horizontal="center"/>
    </xf>
    <xf numFmtId="2" fontId="0" fillId="12" borderId="41" xfId="0" applyNumberFormat="1" applyFill="1" applyBorder="1" applyAlignment="1">
      <alignment horizontal="center"/>
    </xf>
    <xf numFmtId="2" fontId="0" fillId="13" borderId="40" xfId="0" applyNumberFormat="1" applyFill="1" applyBorder="1" applyAlignment="1">
      <alignment horizontal="center"/>
    </xf>
    <xf numFmtId="2" fontId="0" fillId="12" borderId="42" xfId="0" applyNumberFormat="1" applyFill="1" applyBorder="1" applyAlignment="1">
      <alignment horizontal="center"/>
    </xf>
    <xf numFmtId="2" fontId="0" fillId="13" borderId="42" xfId="0" applyNumberFormat="1" applyFill="1" applyBorder="1" applyAlignment="1">
      <alignment horizontal="center"/>
    </xf>
    <xf numFmtId="2" fontId="0" fillId="12" borderId="39" xfId="0" applyNumberFormat="1" applyFill="1" applyBorder="1"/>
    <xf numFmtId="43" fontId="5" fillId="0" borderId="0" xfId="1" applyFont="1" applyBorder="1" applyAlignment="1">
      <alignment vertical="center"/>
    </xf>
    <xf numFmtId="0" fontId="0" fillId="2" borderId="0" xfId="0" applyFill="1" applyAlignment="1">
      <alignment horizontal="right"/>
    </xf>
    <xf numFmtId="43" fontId="0" fillId="2" borderId="0" xfId="1" applyFont="1" applyFill="1"/>
    <xf numFmtId="0" fontId="15" fillId="0" borderId="26" xfId="0" applyFont="1" applyBorder="1" applyAlignment="1">
      <alignment horizontal="left" vertical="center" wrapText="1" indent="2"/>
    </xf>
    <xf numFmtId="0" fontId="15" fillId="0" borderId="26" xfId="0" applyFont="1" applyBorder="1" applyAlignment="1">
      <alignment horizontal="left" vertical="center" indent="2"/>
    </xf>
    <xf numFmtId="0" fontId="15" fillId="0" borderId="35" xfId="0" applyFont="1" applyBorder="1" applyAlignment="1">
      <alignment horizontal="left" vertical="center" indent="2"/>
    </xf>
    <xf numFmtId="43" fontId="30" fillId="0" borderId="26" xfId="1" applyFont="1" applyFill="1" applyBorder="1" applyAlignment="1">
      <alignment vertical="center"/>
    </xf>
    <xf numFmtId="0" fontId="30" fillId="0" borderId="26" xfId="0" applyFont="1" applyBorder="1" applyAlignment="1">
      <alignment horizontal="left" vertical="center" indent="2"/>
    </xf>
    <xf numFmtId="2" fontId="0" fillId="2" borderId="88" xfId="0" applyNumberFormat="1" applyFill="1" applyBorder="1" applyAlignment="1">
      <alignment horizontal="center"/>
    </xf>
    <xf numFmtId="0" fontId="0" fillId="2" borderId="62" xfId="0" applyFill="1" applyBorder="1"/>
    <xf numFmtId="0" fontId="0" fillId="2" borderId="72" xfId="0" applyFill="1" applyBorder="1"/>
    <xf numFmtId="0" fontId="0" fillId="2" borderId="63" xfId="0" applyFill="1" applyBorder="1" applyAlignment="1">
      <alignment horizontal="center"/>
    </xf>
    <xf numFmtId="0" fontId="0" fillId="2" borderId="62" xfId="0" applyFill="1" applyBorder="1" applyAlignment="1">
      <alignment horizontal="center"/>
    </xf>
    <xf numFmtId="1" fontId="0" fillId="2" borderId="73" xfId="0" applyNumberFormat="1" applyFill="1" applyBorder="1" applyAlignment="1">
      <alignment horizontal="center"/>
    </xf>
    <xf numFmtId="2" fontId="0" fillId="2" borderId="61" xfId="0" applyNumberFormat="1" applyFill="1" applyBorder="1" applyAlignment="1">
      <alignment horizontal="center" vertical="center"/>
    </xf>
    <xf numFmtId="1" fontId="0" fillId="2" borderId="10" xfId="0" applyNumberFormat="1" applyFill="1" applyBorder="1" applyAlignment="1">
      <alignment horizontal="center"/>
    </xf>
    <xf numFmtId="1" fontId="0" fillId="2" borderId="74" xfId="0" applyNumberFormat="1" applyFill="1" applyBorder="1" applyAlignment="1">
      <alignment horizontal="center"/>
    </xf>
    <xf numFmtId="2" fontId="0" fillId="13" borderId="41" xfId="0" applyNumberFormat="1" applyFill="1" applyBorder="1" applyAlignment="1">
      <alignment horizontal="center"/>
    </xf>
    <xf numFmtId="0" fontId="0" fillId="0" borderId="78" xfId="0" applyBorder="1"/>
    <xf numFmtId="0" fontId="0" fillId="0" borderId="36" xfId="0" applyBorder="1" applyAlignment="1">
      <alignment horizontal="center"/>
    </xf>
    <xf numFmtId="0" fontId="0" fillId="0" borderId="41" xfId="0" applyBorder="1" applyAlignment="1">
      <alignment horizontal="center"/>
    </xf>
    <xf numFmtId="0" fontId="13" fillId="0" borderId="26" xfId="0" applyFont="1" applyBorder="1" applyAlignment="1">
      <alignment horizontal="left" vertical="center" wrapText="1" indent="1"/>
    </xf>
    <xf numFmtId="0" fontId="18" fillId="0" borderId="16" xfId="0" applyFont="1" applyBorder="1" applyAlignment="1">
      <alignment vertical="center"/>
    </xf>
    <xf numFmtId="0" fontId="18" fillId="0" borderId="0" xfId="0" applyFont="1" applyAlignment="1">
      <alignment vertical="center"/>
    </xf>
    <xf numFmtId="43" fontId="18" fillId="0" borderId="0" xfId="1" applyFont="1" applyFill="1" applyBorder="1" applyAlignment="1">
      <alignment vertical="center"/>
    </xf>
    <xf numFmtId="0" fontId="17" fillId="0" borderId="30" xfId="0" quotePrefix="1" applyFont="1" applyBorder="1" applyAlignment="1">
      <alignment horizontal="left" vertical="center" indent="1"/>
    </xf>
    <xf numFmtId="0" fontId="17" fillId="0" borderId="30" xfId="0" applyFont="1" applyBorder="1" applyAlignment="1">
      <alignment horizontal="left" vertical="center" indent="1"/>
    </xf>
    <xf numFmtId="9" fontId="0" fillId="0" borderId="10" xfId="2" applyFont="1" applyBorder="1" applyAlignment="1">
      <alignment vertical="center"/>
    </xf>
    <xf numFmtId="43" fontId="5" fillId="6" borderId="16" xfId="1" applyFont="1" applyFill="1" applyBorder="1" applyAlignment="1">
      <alignment vertical="center"/>
    </xf>
    <xf numFmtId="9" fontId="0" fillId="14" borderId="42" xfId="2" applyFont="1" applyFill="1" applyBorder="1" applyAlignment="1">
      <alignment horizontal="center"/>
    </xf>
    <xf numFmtId="9" fontId="0" fillId="14" borderId="44" xfId="2" applyFont="1" applyFill="1" applyBorder="1" applyAlignment="1">
      <alignment horizontal="center"/>
    </xf>
    <xf numFmtId="0" fontId="0" fillId="0" borderId="25" xfId="0" applyBorder="1" applyAlignment="1">
      <alignment wrapText="1"/>
    </xf>
    <xf numFmtId="0" fontId="26" fillId="2" borderId="10" xfId="0" applyFont="1" applyFill="1" applyBorder="1"/>
    <xf numFmtId="0" fontId="26" fillId="2" borderId="8" xfId="0" applyFont="1" applyFill="1" applyBorder="1"/>
    <xf numFmtId="0" fontId="26" fillId="2" borderId="14" xfId="0" applyFont="1" applyFill="1" applyBorder="1"/>
    <xf numFmtId="2" fontId="0" fillId="6" borderId="41" xfId="0" applyNumberFormat="1" applyFill="1" applyBorder="1" applyAlignment="1">
      <alignment horizontal="center"/>
    </xf>
    <xf numFmtId="9" fontId="0" fillId="4" borderId="42" xfId="2" applyFont="1" applyFill="1" applyBorder="1" applyAlignment="1">
      <alignment horizontal="center"/>
    </xf>
    <xf numFmtId="166" fontId="0" fillId="2" borderId="25" xfId="0" applyNumberFormat="1" applyFill="1" applyBorder="1"/>
    <xf numFmtId="166" fontId="19" fillId="2" borderId="0" xfId="7" applyNumberFormat="1" applyFont="1" applyFill="1" applyAlignment="1">
      <alignment horizontal="center"/>
    </xf>
    <xf numFmtId="166" fontId="0" fillId="2" borderId="23" xfId="0" applyNumberFormat="1" applyFill="1" applyBorder="1" applyAlignment="1">
      <alignment horizontal="center"/>
    </xf>
    <xf numFmtId="0" fontId="1" fillId="2" borderId="10" xfId="0" applyFont="1" applyFill="1" applyBorder="1"/>
    <xf numFmtId="0" fontId="1" fillId="2" borderId="14" xfId="0" applyFont="1" applyFill="1" applyBorder="1"/>
    <xf numFmtId="0" fontId="1" fillId="2" borderId="28" xfId="0" applyFont="1" applyFill="1" applyBorder="1"/>
    <xf numFmtId="0" fontId="1" fillId="2" borderId="25" xfId="0" applyFont="1" applyFill="1" applyBorder="1"/>
    <xf numFmtId="166" fontId="0" fillId="2" borderId="0" xfId="0" applyNumberFormat="1" applyFill="1" applyAlignment="1">
      <alignment horizontal="center"/>
    </xf>
    <xf numFmtId="166" fontId="0" fillId="2" borderId="68" xfId="0" applyNumberFormat="1" applyFill="1" applyBorder="1" applyAlignment="1">
      <alignment horizontal="center"/>
    </xf>
    <xf numFmtId="166" fontId="0" fillId="2" borderId="0" xfId="0" applyNumberFormat="1" applyFill="1"/>
    <xf numFmtId="1" fontId="0" fillId="2" borderId="14" xfId="0" applyNumberFormat="1" applyFill="1" applyBorder="1" applyAlignment="1">
      <alignment horizontal="center"/>
    </xf>
    <xf numFmtId="1" fontId="0" fillId="2" borderId="61" xfId="0" applyNumberFormat="1" applyFill="1" applyBorder="1" applyAlignment="1">
      <alignment horizontal="center"/>
    </xf>
    <xf numFmtId="2" fontId="0" fillId="2" borderId="34" xfId="0" applyNumberFormat="1" applyFill="1" applyBorder="1" applyAlignment="1">
      <alignment horizontal="center"/>
    </xf>
    <xf numFmtId="2" fontId="0" fillId="2" borderId="44" xfId="0" applyNumberFormat="1" applyFill="1" applyBorder="1" applyAlignment="1">
      <alignment horizontal="center"/>
    </xf>
    <xf numFmtId="2" fontId="0" fillId="12" borderId="39" xfId="0" applyNumberFormat="1" applyFill="1" applyBorder="1" applyAlignment="1">
      <alignment horizontal="center"/>
    </xf>
    <xf numFmtId="2" fontId="0" fillId="13" borderId="89" xfId="0" applyNumberFormat="1" applyFill="1" applyBorder="1" applyAlignment="1">
      <alignment horizontal="center"/>
    </xf>
    <xf numFmtId="0" fontId="23" fillId="10" borderId="25" xfId="0" applyFont="1" applyFill="1" applyBorder="1"/>
    <xf numFmtId="2" fontId="0" fillId="2" borderId="8" xfId="0" applyNumberFormat="1" applyFill="1" applyBorder="1" applyAlignment="1">
      <alignment horizontal="right"/>
    </xf>
    <xf numFmtId="9" fontId="0" fillId="11" borderId="42" xfId="2" applyFont="1" applyFill="1" applyBorder="1"/>
    <xf numFmtId="0" fontId="26" fillId="2" borderId="15" xfId="0" applyFont="1" applyFill="1" applyBorder="1"/>
    <xf numFmtId="0" fontId="0" fillId="4" borderId="73" xfId="0" applyFill="1" applyBorder="1" applyAlignment="1">
      <alignment horizontal="center"/>
    </xf>
    <xf numFmtId="0" fontId="0" fillId="4" borderId="14" xfId="0" applyFill="1" applyBorder="1"/>
    <xf numFmtId="0" fontId="0" fillId="4" borderId="12" xfId="0" applyFill="1" applyBorder="1"/>
    <xf numFmtId="0" fontId="0" fillId="4" borderId="28" xfId="0" applyFill="1" applyBorder="1"/>
    <xf numFmtId="9" fontId="0" fillId="7" borderId="44" xfId="2" applyFont="1" applyFill="1" applyBorder="1" applyAlignment="1">
      <alignment horizontal="center"/>
    </xf>
    <xf numFmtId="0" fontId="1" fillId="2" borderId="29" xfId="0" applyFont="1" applyFill="1" applyBorder="1"/>
    <xf numFmtId="0" fontId="1" fillId="2" borderId="29" xfId="0" applyFont="1" applyFill="1" applyBorder="1" applyAlignment="1">
      <alignment horizontal="center" wrapText="1"/>
    </xf>
    <xf numFmtId="9" fontId="0" fillId="7" borderId="0" xfId="2" applyFont="1" applyFill="1" applyBorder="1" applyAlignment="1">
      <alignment horizontal="center"/>
    </xf>
    <xf numFmtId="0" fontId="1" fillId="2" borderId="29" xfId="0" applyFont="1" applyFill="1" applyBorder="1" applyAlignment="1">
      <alignment wrapText="1"/>
    </xf>
    <xf numFmtId="2" fontId="0" fillId="13" borderId="39" xfId="0" applyNumberFormat="1" applyFill="1" applyBorder="1" applyAlignment="1">
      <alignment horizontal="center"/>
    </xf>
    <xf numFmtId="2" fontId="0" fillId="0" borderId="25" xfId="0" applyNumberFormat="1" applyBorder="1"/>
    <xf numFmtId="0" fontId="26" fillId="4" borderId="8" xfId="0" applyFont="1" applyFill="1" applyBorder="1"/>
    <xf numFmtId="43" fontId="16" fillId="0" borderId="35" xfId="1" applyFont="1" applyFill="1" applyBorder="1" applyAlignment="1">
      <alignment vertical="center"/>
    </xf>
    <xf numFmtId="43" fontId="0" fillId="0" borderId="0" xfId="1" applyFont="1" applyAlignment="1">
      <alignment horizontal="right"/>
    </xf>
    <xf numFmtId="43" fontId="13" fillId="0" borderId="14" xfId="1" applyFont="1" applyFill="1" applyBorder="1" applyAlignment="1">
      <alignment horizontal="center" vertical="center" wrapText="1"/>
    </xf>
    <xf numFmtId="43" fontId="16" fillId="0" borderId="30" xfId="1" applyFont="1" applyFill="1" applyBorder="1" applyAlignment="1">
      <alignment vertical="center"/>
    </xf>
    <xf numFmtId="43" fontId="15" fillId="0" borderId="26" xfId="1" applyFont="1" applyFill="1" applyBorder="1" applyAlignment="1">
      <alignment vertical="center"/>
    </xf>
    <xf numFmtId="43" fontId="18" fillId="0" borderId="15" xfId="1" applyFont="1" applyFill="1" applyBorder="1" applyAlignment="1">
      <alignment vertical="center"/>
    </xf>
    <xf numFmtId="43" fontId="16" fillId="0" borderId="26" xfId="1" applyFont="1" applyFill="1" applyBorder="1" applyAlignment="1">
      <alignment horizontal="center" vertical="center"/>
    </xf>
    <xf numFmtId="43" fontId="31" fillId="0" borderId="26" xfId="1" applyFont="1" applyFill="1" applyBorder="1" applyAlignment="1">
      <alignment vertical="center"/>
    </xf>
    <xf numFmtId="9" fontId="26" fillId="11" borderId="41" xfId="2" applyFont="1" applyFill="1" applyBorder="1" applyAlignment="1">
      <alignment horizontal="center"/>
    </xf>
    <xf numFmtId="9" fontId="13" fillId="0" borderId="14" xfId="2" applyFont="1" applyFill="1" applyBorder="1" applyAlignment="1">
      <alignment horizontal="center" vertical="center" wrapText="1"/>
    </xf>
    <xf numFmtId="9" fontId="0" fillId="0" borderId="0" xfId="2" applyFont="1" applyAlignment="1">
      <alignment horizontal="center"/>
    </xf>
    <xf numFmtId="9" fontId="16" fillId="0" borderId="30" xfId="2" applyFont="1" applyFill="1" applyBorder="1" applyAlignment="1">
      <alignment horizontal="center" vertical="center"/>
    </xf>
    <xf numFmtId="9" fontId="16" fillId="0" borderId="26" xfId="2" applyFont="1" applyFill="1" applyBorder="1" applyAlignment="1">
      <alignment horizontal="center" vertical="center"/>
    </xf>
    <xf numFmtId="9" fontId="15" fillId="0" borderId="26" xfId="2" applyFont="1" applyFill="1" applyBorder="1" applyAlignment="1">
      <alignment horizontal="center" vertical="center"/>
    </xf>
    <xf numFmtId="9" fontId="16" fillId="0" borderId="35" xfId="2" applyFont="1" applyFill="1" applyBorder="1" applyAlignment="1">
      <alignment horizontal="center" vertical="center"/>
    </xf>
    <xf numFmtId="9" fontId="18" fillId="0" borderId="15" xfId="2" applyFont="1" applyFill="1" applyBorder="1" applyAlignment="1">
      <alignment horizontal="center" vertical="center"/>
    </xf>
    <xf numFmtId="9" fontId="18" fillId="0" borderId="8" xfId="2" applyFont="1" applyFill="1" applyBorder="1" applyAlignment="1">
      <alignment horizontal="center" vertical="center"/>
    </xf>
    <xf numFmtId="168" fontId="0" fillId="13" borderId="42" xfId="0" applyNumberFormat="1" applyFill="1" applyBorder="1" applyAlignment="1">
      <alignment horizontal="center"/>
    </xf>
    <xf numFmtId="9" fontId="0" fillId="4" borderId="39" xfId="2" applyFont="1" applyFill="1" applyBorder="1" applyAlignment="1">
      <alignment horizontal="center"/>
    </xf>
    <xf numFmtId="2" fontId="0" fillId="4" borderId="61" xfId="0" applyNumberFormat="1" applyFill="1" applyBorder="1" applyAlignment="1">
      <alignment horizontal="center"/>
    </xf>
    <xf numFmtId="0" fontId="0" fillId="2" borderId="14" xfId="0" applyFill="1" applyBorder="1" applyAlignment="1">
      <alignment wrapText="1"/>
    </xf>
    <xf numFmtId="0" fontId="2" fillId="4" borderId="69" xfId="0" applyFont="1" applyFill="1" applyBorder="1"/>
    <xf numFmtId="9" fontId="0" fillId="4" borderId="41" xfId="2" applyFont="1" applyFill="1" applyBorder="1" applyAlignment="1">
      <alignment horizontal="center"/>
    </xf>
    <xf numFmtId="9" fontId="0" fillId="4" borderId="41" xfId="2" applyFont="1" applyFill="1" applyBorder="1"/>
    <xf numFmtId="9" fontId="0" fillId="6" borderId="44" xfId="2" applyFont="1" applyFill="1" applyBorder="1" applyAlignment="1">
      <alignment horizontal="center"/>
    </xf>
    <xf numFmtId="0" fontId="0" fillId="2" borderId="74" xfId="0" applyFill="1" applyBorder="1" applyAlignment="1">
      <alignment horizontal="left"/>
    </xf>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0" fontId="19" fillId="2" borderId="0" xfId="7" applyFont="1" applyFill="1" applyAlignment="1">
      <alignment horizontal="center"/>
    </xf>
    <xf numFmtId="0" fontId="22" fillId="2" borderId="46"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2" fillId="2" borderId="48" xfId="7" applyFont="1" applyFill="1" applyBorder="1" applyAlignment="1">
      <alignment horizontal="center" vertical="center" wrapText="1"/>
    </xf>
    <xf numFmtId="0" fontId="0" fillId="2" borderId="0" xfId="0" applyFill="1" applyAlignment="1">
      <alignment horizontal="right"/>
    </xf>
    <xf numFmtId="0" fontId="0" fillId="2" borderId="0" xfId="0" applyFill="1" applyAlignment="1">
      <alignment horizontal="center"/>
    </xf>
    <xf numFmtId="43" fontId="13" fillId="0" borderId="28" xfId="1" applyFont="1" applyFill="1" applyBorder="1" applyAlignment="1">
      <alignment horizontal="center" vertical="center" wrapText="1"/>
    </xf>
    <xf numFmtId="43" fontId="13" fillId="0" borderId="29" xfId="1" applyFont="1" applyFill="1" applyBorder="1" applyAlignment="1">
      <alignment horizontal="center" vertical="center" wrapText="1"/>
    </xf>
    <xf numFmtId="43" fontId="13" fillId="0" borderId="12" xfId="1" applyFont="1" applyFill="1" applyBorder="1" applyAlignment="1">
      <alignment horizontal="center" vertical="center" wrapText="1"/>
    </xf>
    <xf numFmtId="43" fontId="13" fillId="0" borderId="24" xfId="1" applyFont="1" applyFill="1" applyBorder="1" applyAlignment="1">
      <alignment horizontal="center" vertical="center" wrapText="1"/>
    </xf>
    <xf numFmtId="43" fontId="13" fillId="0" borderId="25" xfId="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15" xfId="11" applyFont="1" applyFill="1" applyBorder="1" applyAlignment="1">
      <alignment horizontal="center" vertical="center" wrapText="1"/>
    </xf>
    <xf numFmtId="43" fontId="2" fillId="0" borderId="10" xfId="1" applyFont="1" applyBorder="1" applyAlignment="1">
      <alignment horizontal="center"/>
    </xf>
    <xf numFmtId="0" fontId="29" fillId="2" borderId="46" xfId="7" applyFont="1" applyFill="1" applyBorder="1" applyAlignment="1">
      <alignment horizontal="center" vertical="center" wrapText="1"/>
    </xf>
    <xf numFmtId="0" fontId="29" fillId="2" borderId="47" xfId="7" applyFont="1" applyFill="1" applyBorder="1" applyAlignment="1">
      <alignment horizontal="center" vertical="center" wrapText="1"/>
    </xf>
    <xf numFmtId="0" fontId="29" fillId="2" borderId="48" xfId="7" applyFont="1" applyFill="1" applyBorder="1" applyAlignment="1">
      <alignment horizontal="center" vertical="center" wrapText="1"/>
    </xf>
    <xf numFmtId="0" fontId="15" fillId="0" borderId="90" xfId="0" quotePrefix="1" applyFont="1" applyBorder="1" applyAlignment="1">
      <alignment horizontal="left" vertical="center" indent="1"/>
    </xf>
    <xf numFmtId="0" fontId="15" fillId="0" borderId="90" xfId="0" applyFont="1" applyBorder="1" applyAlignment="1">
      <alignment horizontal="left" vertical="center" indent="1"/>
    </xf>
    <xf numFmtId="43" fontId="15" fillId="0" borderId="90" xfId="1" applyFont="1" applyFill="1" applyBorder="1" applyAlignment="1">
      <alignment horizontal="left" vertical="center" indent="1"/>
    </xf>
    <xf numFmtId="43" fontId="16" fillId="0" borderId="90" xfId="1" applyFont="1" applyFill="1" applyBorder="1" applyAlignment="1">
      <alignment vertical="center"/>
    </xf>
    <xf numFmtId="9" fontId="16" fillId="0" borderId="90" xfId="2" applyFont="1" applyFill="1" applyBorder="1" applyAlignment="1">
      <alignment horizontal="center" vertical="center"/>
    </xf>
  </cellXfs>
  <cellStyles count="15">
    <cellStyle name="Comma" xfId="1" builtinId="3"/>
    <cellStyle name="Comma 12" xfId="14" xr:uid="{F624EE6C-A71D-4D15-9513-D5B5F8E8ED2D}"/>
    <cellStyle name="Comma 16 2" xfId="13" xr:uid="{D909F145-89C8-4DB1-9777-314BA19166EF}"/>
    <cellStyle name="Comma 2" xfId="11" xr:uid="{00000000-0005-0000-0000-000001000000}"/>
    <cellStyle name="Comma 3" xfId="8" xr:uid="{00000000-0005-0000-0000-000002000000}"/>
    <cellStyle name="Comma 3 2" xfId="6" xr:uid="{00000000-0005-0000-0000-000003000000}"/>
    <cellStyle name="Comma 3 21" xfId="12" xr:uid="{0268F5E9-F9FF-4C99-8BE3-2A6853C07C5D}"/>
    <cellStyle name="Comma 4" xfId="9" xr:uid="{00000000-0005-0000-0000-000004000000}"/>
    <cellStyle name="Normal" xfId="0" builtinId="0"/>
    <cellStyle name="Normal 15" xfId="5" xr:uid="{00000000-0005-0000-0000-000006000000}"/>
    <cellStyle name="Normal 2" xfId="7" xr:uid="{00000000-0005-0000-0000-000007000000}"/>
    <cellStyle name="Normal 2 10 2" xfId="10" xr:uid="{00000000-0005-0000-0000-000008000000}"/>
    <cellStyle name="Normal 5 2" xfId="4" xr:uid="{00000000-0005-0000-0000-000009000000}"/>
    <cellStyle name="Normal_BOQ" xfId="3" xr:uid="{00000000-0005-0000-0000-00000A000000}"/>
    <cellStyle name="Percent" xfId="2" builtinId="5"/>
  </cellStyles>
  <dxfs count="2">
    <dxf>
      <font>
        <color rgb="FFFF000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externalLink" Target="externalLinks/externalLink26.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8.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externalLink" Target="externalLinks/externalLink27.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externalLink" Target="externalLinks/externalLink20.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externalLink" Target="externalLinks/externalLink2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4"/>
  <sheetViews>
    <sheetView tabSelected="1" view="pageBreakPreview" zoomScaleNormal="100" zoomScaleSheetLayoutView="100" workbookViewId="0">
      <selection activeCell="F17" sqref="F17"/>
    </sheetView>
  </sheetViews>
  <sheetFormatPr defaultRowHeight="14.5"/>
  <cols>
    <col min="1" max="1" width="5.6328125" customWidth="1"/>
    <col min="2" max="2" width="25" customWidth="1"/>
    <col min="3" max="3" width="12.54296875" style="50" customWidth="1"/>
    <col min="4" max="4" width="14.54296875" customWidth="1"/>
    <col min="5" max="7" width="13.36328125" customWidth="1"/>
    <col min="9" max="9" width="12.54296875" bestFit="1" customWidth="1"/>
    <col min="12" max="12" width="14.1796875" customWidth="1"/>
  </cols>
  <sheetData>
    <row r="1" spans="1:12" s="68" customFormat="1" ht="27" customHeight="1">
      <c r="A1" s="66" t="s">
        <v>42</v>
      </c>
      <c r="B1" s="66" t="s">
        <v>58</v>
      </c>
      <c r="C1" s="67" t="s">
        <v>64</v>
      </c>
      <c r="D1" s="65" t="s">
        <v>214</v>
      </c>
      <c r="E1" s="67" t="s">
        <v>45</v>
      </c>
      <c r="F1" s="67" t="s">
        <v>46</v>
      </c>
      <c r="G1" s="67" t="s">
        <v>47</v>
      </c>
    </row>
    <row r="2" spans="1:12">
      <c r="A2" s="61" t="s">
        <v>51</v>
      </c>
      <c r="B2" s="61" t="s">
        <v>59</v>
      </c>
      <c r="C2" s="69">
        <f>'Progress Bill'!F47</f>
        <v>1600000</v>
      </c>
      <c r="D2" s="62">
        <v>533925</v>
      </c>
      <c r="E2" s="62">
        <v>693991.12278601062</v>
      </c>
      <c r="F2" s="62">
        <f>G2-E2</f>
        <v>41220.507824999979</v>
      </c>
      <c r="G2" s="62">
        <f>'Progress Bill'!T47-D2</f>
        <v>735211.63061101059</v>
      </c>
      <c r="I2" s="70">
        <f>+G2+D2</f>
        <v>1269136.6306110106</v>
      </c>
    </row>
    <row r="3" spans="1:12">
      <c r="A3" s="61" t="s">
        <v>52</v>
      </c>
      <c r="B3" s="61" t="s">
        <v>69</v>
      </c>
      <c r="C3" s="69">
        <f>VARIATIONS!E26</f>
        <v>485254.93599999999</v>
      </c>
      <c r="D3" s="62">
        <f>13173</f>
        <v>13173</v>
      </c>
      <c r="E3" s="62">
        <v>122293.57948060724</v>
      </c>
      <c r="F3" s="62">
        <f>G3-E3</f>
        <v>2408.7840000000142</v>
      </c>
      <c r="G3" s="62">
        <f>SUM(VARIATIONS!L26)-D3</f>
        <v>124702.36348060725</v>
      </c>
      <c r="I3" s="70">
        <f>+G3+D3</f>
        <v>137875.36348060725</v>
      </c>
    </row>
    <row r="4" spans="1:12">
      <c r="A4" s="59"/>
      <c r="B4" s="59" t="s">
        <v>60</v>
      </c>
      <c r="C4" s="60"/>
      <c r="D4" s="60">
        <f>SUM(D2:D3)</f>
        <v>547098</v>
      </c>
      <c r="E4" s="60">
        <f t="shared" ref="D4:G6" si="0">SUM(E2:E3)</f>
        <v>816284.70226661791</v>
      </c>
      <c r="F4" s="60">
        <f t="shared" ref="F4:F9" si="1">G4-E4</f>
        <v>43629.291824999964</v>
      </c>
      <c r="G4" s="60">
        <f t="shared" si="0"/>
        <v>859913.99409161787</v>
      </c>
      <c r="I4" s="254">
        <f>+G4+D4</f>
        <v>1407011.9940916179</v>
      </c>
    </row>
    <row r="5" spans="1:12">
      <c r="A5" s="63" t="s">
        <v>53</v>
      </c>
      <c r="B5" s="61" t="s">
        <v>68</v>
      </c>
      <c r="C5" s="69">
        <f>VARIATIONS!E103</f>
        <v>1361638.0449999999</v>
      </c>
      <c r="D5" s="62">
        <v>0</v>
      </c>
      <c r="E5" s="62">
        <v>645821.30732762231</v>
      </c>
      <c r="F5" s="62">
        <f>G5-E5</f>
        <v>114141.82534999994</v>
      </c>
      <c r="G5" s="62">
        <f>VARIATIONS!L103</f>
        <v>759963.13267762226</v>
      </c>
    </row>
    <row r="6" spans="1:12">
      <c r="A6" s="59"/>
      <c r="B6" s="59" t="s">
        <v>60</v>
      </c>
      <c r="C6" s="60"/>
      <c r="D6" s="60">
        <f t="shared" si="0"/>
        <v>547098</v>
      </c>
      <c r="E6" s="60">
        <f t="shared" si="0"/>
        <v>1462106.0095942402</v>
      </c>
      <c r="F6" s="60">
        <f>G6-E6</f>
        <v>157771.11717499979</v>
      </c>
      <c r="G6" s="60">
        <f t="shared" si="0"/>
        <v>1619877.12676924</v>
      </c>
      <c r="L6" s="70">
        <f>+D6+G6</f>
        <v>2166975.12676924</v>
      </c>
    </row>
    <row r="7" spans="1:12">
      <c r="A7" s="61"/>
      <c r="B7" s="61"/>
      <c r="C7" s="69"/>
      <c r="D7" s="62"/>
      <c r="E7" s="62"/>
      <c r="F7" s="62"/>
      <c r="G7" s="62"/>
    </row>
    <row r="8" spans="1:12">
      <c r="A8" s="63" t="s">
        <v>54</v>
      </c>
      <c r="B8" s="61" t="s">
        <v>61</v>
      </c>
      <c r="C8" s="69"/>
      <c r="D8" s="64"/>
      <c r="E8" s="62">
        <v>153815.69</v>
      </c>
      <c r="F8" s="62">
        <f t="shared" si="1"/>
        <v>0</v>
      </c>
      <c r="G8" s="62">
        <v>153815.69</v>
      </c>
    </row>
    <row r="9" spans="1:12">
      <c r="A9" s="63" t="s">
        <v>55</v>
      </c>
      <c r="B9" s="61" t="s">
        <v>62</v>
      </c>
      <c r="C9" s="477">
        <v>0.1</v>
      </c>
      <c r="D9" s="64"/>
      <c r="E9" s="62">
        <f>-E6*C9</f>
        <v>-146210.60095942402</v>
      </c>
      <c r="F9" s="62">
        <f t="shared" si="1"/>
        <v>-15777.111717499996</v>
      </c>
      <c r="G9" s="62">
        <f>-G6*C9</f>
        <v>-161987.71267692401</v>
      </c>
    </row>
    <row r="10" spans="1:12">
      <c r="A10" s="61"/>
      <c r="B10" s="61"/>
      <c r="C10" s="477"/>
      <c r="D10" s="62"/>
      <c r="E10" s="62"/>
      <c r="F10" s="62"/>
      <c r="G10" s="62"/>
    </row>
    <row r="11" spans="1:12">
      <c r="A11" s="59"/>
      <c r="B11" s="59" t="s">
        <v>63</v>
      </c>
      <c r="C11" s="60"/>
      <c r="D11" s="60"/>
      <c r="E11" s="60">
        <f>SUM(E6:E10)</f>
        <v>1469711.0986348162</v>
      </c>
      <c r="F11" s="60">
        <f>G11-E11</f>
        <v>141994.00545749976</v>
      </c>
      <c r="G11" s="60">
        <f>SUM(G6:G10)</f>
        <v>1611705.104092316</v>
      </c>
      <c r="I11" s="70"/>
    </row>
    <row r="12" spans="1:12">
      <c r="E12" s="70"/>
    </row>
    <row r="13" spans="1:12">
      <c r="D13" t="s">
        <v>578</v>
      </c>
      <c r="E13" s="50">
        <v>1504561.8259999999</v>
      </c>
      <c r="F13" s="50">
        <v>230620.054</v>
      </c>
      <c r="G13" s="50">
        <v>1735181.88</v>
      </c>
    </row>
    <row r="14" spans="1:12">
      <c r="D14" t="s">
        <v>466</v>
      </c>
      <c r="E14" s="70">
        <f>E11-E13</f>
        <v>-34850.727365183644</v>
      </c>
      <c r="F14" s="70">
        <f t="shared" ref="F14:G14" si="2">F11-F13</f>
        <v>-88626.048542500241</v>
      </c>
      <c r="G14" s="70">
        <f t="shared" si="2"/>
        <v>-123476.77590768388</v>
      </c>
    </row>
  </sheetData>
  <pageMargins left="0.7" right="0.7" top="0.75" bottom="0.75" header="0.3" footer="0.3"/>
  <pageSetup paperSize="9" scale="77"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B1:S28"/>
  <sheetViews>
    <sheetView view="pageBreakPreview" topLeftCell="G1" zoomScale="80" zoomScaleNormal="100" zoomScaleSheetLayoutView="80" workbookViewId="0">
      <selection activeCell="L25" sqref="L25"/>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90" t="s">
        <v>80</v>
      </c>
      <c r="S1" s="189" t="s">
        <v>81</v>
      </c>
    </row>
    <row r="2" spans="2:19" ht="15" thickBot="1">
      <c r="B2" s="94" t="str">
        <f>'Progress Bill'!B42</f>
        <v>TERRACO RENDER System (TERRACO acid wash finishes)</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78">
        <v>1</v>
      </c>
      <c r="C4" s="111" t="s">
        <v>143</v>
      </c>
      <c r="D4" s="111" t="s">
        <v>144</v>
      </c>
      <c r="E4" s="111" t="s">
        <v>145</v>
      </c>
      <c r="F4" s="113"/>
      <c r="G4" s="114"/>
      <c r="H4" s="115">
        <v>1</v>
      </c>
      <c r="I4" s="116">
        <v>79.900000000000006</v>
      </c>
      <c r="J4" s="117">
        <v>1.2</v>
      </c>
      <c r="K4" s="118">
        <f>H4*I4*J4</f>
        <v>95.88000000000001</v>
      </c>
      <c r="L4" s="119"/>
      <c r="M4" s="120">
        <v>0</v>
      </c>
      <c r="N4" s="121">
        <v>0</v>
      </c>
      <c r="O4" s="121">
        <v>0</v>
      </c>
      <c r="P4" s="122">
        <f>M4*N4*O4</f>
        <v>0</v>
      </c>
      <c r="Q4" s="202">
        <f>K4-P4</f>
        <v>95.88000000000001</v>
      </c>
      <c r="R4" s="187">
        <v>95.88000000000001</v>
      </c>
      <c r="S4" s="188">
        <f>Q4-R4</f>
        <v>0</v>
      </c>
    </row>
    <row r="5" spans="2:19">
      <c r="B5" s="115"/>
      <c r="C5" s="111" t="s">
        <v>85</v>
      </c>
      <c r="D5" s="111"/>
      <c r="E5" s="111"/>
      <c r="F5" s="113"/>
      <c r="G5" s="114"/>
      <c r="H5" s="115"/>
      <c r="I5" s="116"/>
      <c r="J5" s="116"/>
      <c r="K5" s="118"/>
      <c r="L5" s="119"/>
      <c r="M5" s="120"/>
      <c r="N5" s="121"/>
      <c r="O5" s="121"/>
      <c r="P5" s="122"/>
      <c r="Q5" s="202"/>
      <c r="R5" s="187"/>
      <c r="S5" s="188"/>
    </row>
    <row r="6" spans="2:19">
      <c r="B6" s="115"/>
      <c r="C6" s="111" t="s">
        <v>146</v>
      </c>
      <c r="D6" s="123"/>
      <c r="E6" s="111"/>
      <c r="F6" s="113"/>
      <c r="G6" s="114"/>
      <c r="H6" s="115"/>
      <c r="I6" s="116"/>
      <c r="J6" s="116"/>
      <c r="K6" s="118"/>
      <c r="L6" s="119"/>
      <c r="M6" s="120"/>
      <c r="N6" s="121"/>
      <c r="O6" s="121"/>
      <c r="P6" s="122"/>
      <c r="Q6" s="186"/>
      <c r="R6" s="187"/>
      <c r="S6" s="188"/>
    </row>
    <row r="7" spans="2:19">
      <c r="B7" s="115"/>
      <c r="C7" s="111"/>
      <c r="D7" s="111"/>
      <c r="E7" s="111"/>
      <c r="F7" s="113"/>
      <c r="G7" s="114"/>
      <c r="H7" s="115"/>
      <c r="I7" s="116"/>
      <c r="J7" s="117"/>
      <c r="K7" s="118"/>
      <c r="L7" s="119"/>
      <c r="M7" s="120"/>
      <c r="N7" s="121"/>
      <c r="O7" s="121"/>
      <c r="P7" s="122"/>
      <c r="Q7" s="186"/>
      <c r="R7" s="187"/>
      <c r="S7" s="188"/>
    </row>
    <row r="8" spans="2:19">
      <c r="B8" s="115"/>
      <c r="C8" s="111"/>
      <c r="D8" s="123"/>
      <c r="E8" s="111"/>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1"/>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95.88000000000001</v>
      </c>
      <c r="R21" s="137">
        <f>SUM(R3:R20)</f>
        <v>95.88000000000001</v>
      </c>
      <c r="S21" s="137">
        <f>SUM(S4:S20)</f>
        <v>0</v>
      </c>
    </row>
    <row r="23" spans="2:19">
      <c r="N23" s="561" t="s">
        <v>468</v>
      </c>
      <c r="O23" s="561"/>
      <c r="P23" s="561"/>
      <c r="Q23" s="136">
        <f>'Progress Bill'!C42</f>
        <v>1298</v>
      </c>
    </row>
    <row r="24" spans="2:19">
      <c r="P24" s="451" t="s">
        <v>469</v>
      </c>
      <c r="Q24" s="136">
        <f>VARIATIONS!C9</f>
        <v>-569.25400000000002</v>
      </c>
    </row>
    <row r="25" spans="2:19">
      <c r="P25" s="451" t="s">
        <v>470</v>
      </c>
      <c r="Q25" s="136">
        <f>VARIATIONS!C24</f>
        <v>-219.95</v>
      </c>
    </row>
    <row r="26" spans="2:19">
      <c r="P26" s="451" t="s">
        <v>473</v>
      </c>
      <c r="Q26" s="136">
        <f>SUM(Q23:Q25)</f>
        <v>508.79599999999999</v>
      </c>
    </row>
    <row r="27" spans="2:19">
      <c r="P27" s="451" t="s">
        <v>472</v>
      </c>
      <c r="Q27" s="136">
        <f>Q21</f>
        <v>95.88000000000001</v>
      </c>
    </row>
    <row r="28" spans="2:19">
      <c r="P28" s="451" t="s">
        <v>471</v>
      </c>
      <c r="Q28" s="136">
        <f>Q26-Q27</f>
        <v>412.916</v>
      </c>
    </row>
  </sheetData>
  <mergeCells count="3">
    <mergeCell ref="H1:K1"/>
    <mergeCell ref="M1:P1"/>
    <mergeCell ref="N23:P23"/>
  </mergeCells>
  <phoneticPr fontId="27" type="noConversion"/>
  <printOptions horizontalCentered="1"/>
  <pageMargins left="0.25" right="0.25" top="0.75" bottom="0.75" header="0.3" footer="0.3"/>
  <pageSetup paperSize="9" scale="63" fitToHeight="0" orientation="landscap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M113"/>
  <sheetViews>
    <sheetView view="pageBreakPreview" topLeftCell="E83" zoomScaleNormal="100" zoomScaleSheetLayoutView="100" workbookViewId="0">
      <selection activeCell="M99" sqref="M99"/>
    </sheetView>
  </sheetViews>
  <sheetFormatPr defaultRowHeight="14.5"/>
  <cols>
    <col min="1" max="1" width="6.36328125" customWidth="1"/>
    <col min="2" max="2" width="48.90625" customWidth="1"/>
    <col min="3" max="3" width="9.90625" style="50" customWidth="1"/>
    <col min="4" max="4" width="13.6328125" style="50" customWidth="1"/>
    <col min="5" max="5" width="12.54296875" style="50" bestFit="1" customWidth="1"/>
    <col min="6" max="6" width="8.6328125" style="50" customWidth="1"/>
    <col min="7" max="7" width="14.54296875" style="50" customWidth="1"/>
    <col min="8" max="8" width="7.54296875" style="50" bestFit="1" customWidth="1"/>
    <col min="9" max="9" width="14.54296875" style="50" customWidth="1"/>
    <col min="10" max="10" width="9.6328125" style="529" customWidth="1"/>
    <col min="11" max="11" width="9.6328125" style="50" customWidth="1"/>
    <col min="12" max="12" width="14.54296875" style="50" customWidth="1"/>
  </cols>
  <sheetData>
    <row r="1" spans="1:12">
      <c r="A1" t="s">
        <v>236</v>
      </c>
      <c r="L1" s="520"/>
    </row>
    <row r="2" spans="1:12">
      <c r="A2" t="s">
        <v>237</v>
      </c>
      <c r="L2" s="520"/>
    </row>
    <row r="4" spans="1:12" s="51" customFormat="1">
      <c r="A4" s="567" t="s">
        <v>42</v>
      </c>
      <c r="B4" s="567" t="s">
        <v>43</v>
      </c>
      <c r="C4" s="569" t="s">
        <v>44</v>
      </c>
      <c r="D4" s="569"/>
      <c r="E4" s="569"/>
      <c r="F4" s="562" t="s">
        <v>45</v>
      </c>
      <c r="G4" s="563"/>
      <c r="H4" s="562" t="s">
        <v>46</v>
      </c>
      <c r="I4" s="563" t="s">
        <v>46</v>
      </c>
      <c r="J4" s="564" t="s">
        <v>47</v>
      </c>
      <c r="K4" s="565"/>
      <c r="L4" s="566"/>
    </row>
    <row r="5" spans="1:12" s="51" customFormat="1">
      <c r="A5" s="568"/>
      <c r="B5" s="568"/>
      <c r="C5" s="52" t="s">
        <v>48</v>
      </c>
      <c r="D5" s="52" t="s">
        <v>5</v>
      </c>
      <c r="E5" s="52" t="s">
        <v>49</v>
      </c>
      <c r="F5" s="52" t="s">
        <v>39</v>
      </c>
      <c r="G5" s="52" t="s">
        <v>6</v>
      </c>
      <c r="H5" s="52" t="s">
        <v>39</v>
      </c>
      <c r="I5" s="52" t="s">
        <v>6</v>
      </c>
      <c r="J5" s="528" t="s">
        <v>50</v>
      </c>
      <c r="K5" s="52" t="s">
        <v>39</v>
      </c>
      <c r="L5" s="521" t="s">
        <v>9</v>
      </c>
    </row>
    <row r="6" spans="1:12">
      <c r="A6" s="76">
        <v>1</v>
      </c>
      <c r="B6" s="77" t="s">
        <v>400</v>
      </c>
      <c r="C6" s="78"/>
      <c r="D6" s="78"/>
      <c r="E6" s="522"/>
      <c r="F6" s="522"/>
      <c r="G6" s="522"/>
      <c r="H6" s="522"/>
      <c r="I6" s="522"/>
      <c r="J6" s="530"/>
      <c r="K6" s="522"/>
      <c r="L6" s="522"/>
    </row>
    <row r="7" spans="1:12">
      <c r="A7" s="79"/>
      <c r="B7" s="454" t="s">
        <v>401</v>
      </c>
      <c r="C7" s="53">
        <v>629.95000000000005</v>
      </c>
      <c r="D7" s="53">
        <v>319</v>
      </c>
      <c r="E7" s="54">
        <f>PRODUCT(C7:D7)</f>
        <v>200954.05000000002</v>
      </c>
      <c r="F7" s="54">
        <v>484.09135999999995</v>
      </c>
      <c r="G7" s="54">
        <v>154425.14383999998</v>
      </c>
      <c r="H7" s="54">
        <f>K7-F7</f>
        <v>0</v>
      </c>
      <c r="I7" s="54">
        <f t="shared" ref="I7" si="0">L7-G7</f>
        <v>0</v>
      </c>
      <c r="J7" s="531">
        <f>K7/C7</f>
        <v>0.76845997301373115</v>
      </c>
      <c r="K7" s="54">
        <f>'RPJV Variation'!S58</f>
        <v>484.09135999999995</v>
      </c>
      <c r="L7" s="54">
        <f>K7*D7</f>
        <v>154425.14383999998</v>
      </c>
    </row>
    <row r="8" spans="1:12">
      <c r="A8" s="79"/>
      <c r="B8" s="454" t="s">
        <v>402</v>
      </c>
      <c r="C8" s="53">
        <v>-60.696000000000005</v>
      </c>
      <c r="D8" s="53">
        <v>319</v>
      </c>
      <c r="E8" s="54">
        <f t="shared" ref="E8:E15" si="1">PRODUCT(C8:D8)</f>
        <v>-19362.024000000001</v>
      </c>
      <c r="F8" s="54">
        <v>0</v>
      </c>
      <c r="G8" s="54">
        <v>0</v>
      </c>
      <c r="H8" s="54">
        <f t="shared" ref="H8:H9" si="2">K8-F8</f>
        <v>0</v>
      </c>
      <c r="I8" s="54">
        <f t="shared" ref="I8:I9" si="3">L8-G8</f>
        <v>0</v>
      </c>
      <c r="J8" s="531">
        <f>IF(J7&gt;=1,1,0)</f>
        <v>0</v>
      </c>
      <c r="K8" s="54">
        <f>J8*C8</f>
        <v>0</v>
      </c>
      <c r="L8" s="54">
        <f>K8*D8</f>
        <v>0</v>
      </c>
    </row>
    <row r="9" spans="1:12">
      <c r="A9" s="79"/>
      <c r="B9" s="454" t="s">
        <v>403</v>
      </c>
      <c r="C9" s="53">
        <v>-569.25400000000002</v>
      </c>
      <c r="D9" s="53">
        <v>175</v>
      </c>
      <c r="E9" s="54">
        <f t="shared" si="1"/>
        <v>-99619.45</v>
      </c>
      <c r="F9" s="54">
        <v>-437.44891347795851</v>
      </c>
      <c r="G9" s="54">
        <v>-76553.559858642737</v>
      </c>
      <c r="H9" s="54">
        <f t="shared" si="2"/>
        <v>0</v>
      </c>
      <c r="I9" s="54">
        <f t="shared" si="3"/>
        <v>0</v>
      </c>
      <c r="J9" s="531">
        <f>J7</f>
        <v>0.76845997301373115</v>
      </c>
      <c r="K9" s="54">
        <f>J9*C9</f>
        <v>-437.44891347795851</v>
      </c>
      <c r="L9" s="54">
        <f>K9*D9</f>
        <v>-76553.559858642737</v>
      </c>
    </row>
    <row r="10" spans="1:12">
      <c r="A10" s="79"/>
      <c r="B10" s="454"/>
      <c r="C10" s="53"/>
      <c r="D10" s="53"/>
      <c r="E10" s="54"/>
      <c r="F10" s="54"/>
      <c r="G10" s="54"/>
      <c r="H10" s="54"/>
      <c r="I10" s="54"/>
      <c r="J10" s="531"/>
      <c r="K10" s="54"/>
      <c r="L10" s="54"/>
    </row>
    <row r="11" spans="1:12">
      <c r="A11" s="79">
        <v>2</v>
      </c>
      <c r="B11" s="80" t="s">
        <v>404</v>
      </c>
      <c r="C11" s="53"/>
      <c r="D11" s="53"/>
      <c r="E11" s="54"/>
      <c r="F11" s="54"/>
      <c r="G11" s="54"/>
      <c r="H11" s="54"/>
      <c r="I11" s="54"/>
      <c r="J11" s="531"/>
      <c r="K11" s="54"/>
      <c r="L11" s="54"/>
    </row>
    <row r="12" spans="1:12" ht="26">
      <c r="A12" s="79"/>
      <c r="B12" s="453" t="s">
        <v>405</v>
      </c>
      <c r="C12" s="53">
        <v>838.85</v>
      </c>
      <c r="D12" s="53">
        <v>380</v>
      </c>
      <c r="E12" s="54">
        <f t="shared" si="1"/>
        <v>318763</v>
      </c>
      <c r="F12" s="54">
        <v>0</v>
      </c>
      <c r="G12" s="54">
        <v>0</v>
      </c>
      <c r="H12" s="54">
        <f>K12-F12</f>
        <v>0</v>
      </c>
      <c r="I12" s="54">
        <f t="shared" ref="I12:I103" si="4">L12-G12</f>
        <v>0</v>
      </c>
      <c r="J12" s="531">
        <f>K12/C12</f>
        <v>0</v>
      </c>
      <c r="K12" s="54">
        <v>0</v>
      </c>
      <c r="L12" s="54">
        <f>K12*D12</f>
        <v>0</v>
      </c>
    </row>
    <row r="13" spans="1:12">
      <c r="A13" s="79"/>
      <c r="B13" s="454" t="s">
        <v>406</v>
      </c>
      <c r="C13" s="53">
        <v>838.85</v>
      </c>
      <c r="D13" s="53">
        <v>-33</v>
      </c>
      <c r="E13" s="54">
        <f t="shared" si="1"/>
        <v>-27682.05</v>
      </c>
      <c r="F13" s="54">
        <v>0</v>
      </c>
      <c r="G13" s="54">
        <v>0</v>
      </c>
      <c r="H13" s="54">
        <f t="shared" ref="H13" si="5">K13-F13</f>
        <v>0</v>
      </c>
      <c r="I13" s="54">
        <f t="shared" si="4"/>
        <v>0</v>
      </c>
      <c r="J13" s="531">
        <f>IF(J12&gt;=1,1,0)</f>
        <v>0</v>
      </c>
      <c r="K13" s="54">
        <f>J13*C13</f>
        <v>0</v>
      </c>
      <c r="L13" s="54">
        <f>K13*D13</f>
        <v>0</v>
      </c>
    </row>
    <row r="14" spans="1:12">
      <c r="A14" s="79"/>
      <c r="B14" s="454"/>
      <c r="C14" s="53"/>
      <c r="D14" s="53"/>
      <c r="E14" s="54"/>
      <c r="F14" s="54"/>
      <c r="G14" s="54"/>
      <c r="H14" s="54"/>
      <c r="I14" s="54"/>
      <c r="J14" s="531"/>
      <c r="K14" s="54"/>
      <c r="L14" s="54"/>
    </row>
    <row r="15" spans="1:12">
      <c r="A15" s="79">
        <v>3</v>
      </c>
      <c r="B15" s="80" t="s">
        <v>407</v>
      </c>
      <c r="C15" s="54">
        <f>C16+C17</f>
        <v>823</v>
      </c>
      <c r="D15" s="54">
        <f>D16</f>
        <v>32.159999999999997</v>
      </c>
      <c r="E15" s="54">
        <f t="shared" si="1"/>
        <v>26467.679999999997</v>
      </c>
      <c r="F15" s="54">
        <v>275.56400000000002</v>
      </c>
      <c r="G15" s="54">
        <v>8862.1382400000002</v>
      </c>
      <c r="H15" s="54">
        <f>K15-F15</f>
        <v>74.899999999999977</v>
      </c>
      <c r="I15" s="54">
        <f t="shared" si="4"/>
        <v>2408.7839999999978</v>
      </c>
      <c r="J15" s="531">
        <f>K15/C15</f>
        <v>0.42583718104495749</v>
      </c>
      <c r="K15" s="54">
        <f>'PVC GROOVE'!Q31+60.35</f>
        <v>350.464</v>
      </c>
      <c r="L15" s="54">
        <f>K15*D15</f>
        <v>11270.922239999998</v>
      </c>
    </row>
    <row r="16" spans="1:12">
      <c r="A16" s="79"/>
      <c r="B16" s="457" t="s">
        <v>408</v>
      </c>
      <c r="C16" s="456">
        <v>5000</v>
      </c>
      <c r="D16" s="456">
        <v>32.159999999999997</v>
      </c>
      <c r="E16" s="456"/>
      <c r="F16" s="523"/>
      <c r="G16" s="523"/>
      <c r="H16" s="523"/>
      <c r="I16" s="523"/>
      <c r="J16" s="532"/>
      <c r="K16" s="523"/>
      <c r="L16" s="523"/>
    </row>
    <row r="17" spans="1:12">
      <c r="A17" s="79"/>
      <c r="B17" s="457" t="s">
        <v>409</v>
      </c>
      <c r="C17" s="456">
        <v>-4177</v>
      </c>
      <c r="D17" s="456">
        <v>32.159999999999997</v>
      </c>
      <c r="E17" s="456"/>
      <c r="F17" s="54"/>
      <c r="G17" s="54"/>
      <c r="H17" s="54"/>
      <c r="I17" s="54"/>
      <c r="J17" s="531"/>
      <c r="K17" s="54"/>
      <c r="L17" s="54"/>
    </row>
    <row r="18" spans="1:12">
      <c r="A18" s="79"/>
      <c r="B18" s="454"/>
      <c r="C18" s="54"/>
      <c r="D18" s="54"/>
      <c r="E18" s="54"/>
      <c r="F18" s="54"/>
      <c r="G18" s="54"/>
      <c r="H18" s="54"/>
      <c r="I18" s="54"/>
      <c r="J18" s="531"/>
      <c r="K18" s="54"/>
      <c r="L18" s="54"/>
    </row>
    <row r="19" spans="1:12">
      <c r="A19" s="79">
        <v>4</v>
      </c>
      <c r="B19" s="80" t="s">
        <v>410</v>
      </c>
      <c r="C19" s="53"/>
      <c r="D19" s="53"/>
      <c r="E19" s="54"/>
      <c r="F19" s="54"/>
      <c r="G19" s="54"/>
      <c r="H19" s="54"/>
      <c r="I19" s="54"/>
      <c r="J19" s="531"/>
      <c r="K19" s="54"/>
      <c r="L19" s="54"/>
    </row>
    <row r="20" spans="1:12">
      <c r="A20" s="79"/>
      <c r="B20" s="454" t="s">
        <v>411</v>
      </c>
      <c r="C20" s="53">
        <v>169.47</v>
      </c>
      <c r="D20" s="53">
        <v>319</v>
      </c>
      <c r="E20" s="54">
        <f t="shared" ref="E20" si="6">PRODUCT(C20:D20)</f>
        <v>54060.93</v>
      </c>
      <c r="F20" s="54">
        <v>75.648580750000008</v>
      </c>
      <c r="G20" s="54">
        <v>24131.897259250003</v>
      </c>
      <c r="H20" s="54">
        <f>K20-F20</f>
        <v>0</v>
      </c>
      <c r="I20" s="54">
        <f t="shared" ref="I20" si="7">L20-G20</f>
        <v>0</v>
      </c>
      <c r="J20" s="531">
        <f>K20/C20</f>
        <v>0.44638331710627255</v>
      </c>
      <c r="K20" s="54">
        <f>'RPJV Variation'!S69</f>
        <v>75.648580750000008</v>
      </c>
      <c r="L20" s="54">
        <f>K20*D20</f>
        <v>24131.897259250003</v>
      </c>
    </row>
    <row r="21" spans="1:12">
      <c r="A21" s="79"/>
      <c r="B21" s="80"/>
      <c r="C21" s="53"/>
      <c r="D21" s="53"/>
      <c r="E21" s="54"/>
      <c r="F21" s="54"/>
      <c r="G21" s="54"/>
      <c r="H21" s="54"/>
      <c r="I21" s="54"/>
      <c r="J21" s="531"/>
      <c r="K21" s="54"/>
      <c r="L21" s="54"/>
    </row>
    <row r="22" spans="1:12">
      <c r="A22" s="79">
        <v>5</v>
      </c>
      <c r="B22" s="80" t="s">
        <v>412</v>
      </c>
      <c r="C22" s="53"/>
      <c r="D22" s="53"/>
      <c r="E22" s="54"/>
      <c r="F22" s="54"/>
      <c r="G22" s="54"/>
      <c r="H22" s="54"/>
      <c r="I22" s="54"/>
      <c r="J22" s="531"/>
      <c r="K22" s="54"/>
      <c r="L22" s="54"/>
    </row>
    <row r="23" spans="1:12">
      <c r="A23" s="79"/>
      <c r="B23" s="454" t="s">
        <v>413</v>
      </c>
      <c r="C23" s="53">
        <v>219.95</v>
      </c>
      <c r="D23" s="53">
        <v>319</v>
      </c>
      <c r="E23" s="54">
        <f t="shared" ref="E23:E24" si="8">PRODUCT(C23:D23)</f>
        <v>70164.05</v>
      </c>
      <c r="F23" s="54">
        <v>170.84</v>
      </c>
      <c r="G23" s="54">
        <v>54497.96</v>
      </c>
      <c r="H23" s="54">
        <f>K23-F23</f>
        <v>0</v>
      </c>
      <c r="I23" s="54">
        <f t="shared" ref="I23:I24" si="9">L23-G23</f>
        <v>0</v>
      </c>
      <c r="J23" s="531">
        <f>K23/C23</f>
        <v>0.77672198226869749</v>
      </c>
      <c r="K23" s="54">
        <f>'RPJV Variation'!S81</f>
        <v>170.84</v>
      </c>
      <c r="L23" s="54">
        <f>K23*D23</f>
        <v>54497.96</v>
      </c>
    </row>
    <row r="24" spans="1:12">
      <c r="A24" s="79"/>
      <c r="B24" s="454" t="s">
        <v>403</v>
      </c>
      <c r="C24" s="53">
        <v>-219.95</v>
      </c>
      <c r="D24" s="53">
        <v>175</v>
      </c>
      <c r="E24" s="54">
        <f t="shared" si="8"/>
        <v>-38491.25</v>
      </c>
      <c r="F24" s="54">
        <v>-170.84</v>
      </c>
      <c r="G24" s="54">
        <v>-29897</v>
      </c>
      <c r="H24" s="54">
        <f t="shared" ref="H24" si="10">K24-F24</f>
        <v>0</v>
      </c>
      <c r="I24" s="54">
        <f t="shared" si="9"/>
        <v>0</v>
      </c>
      <c r="J24" s="531">
        <f>J23</f>
        <v>0.77672198226869749</v>
      </c>
      <c r="K24" s="54">
        <f>J24*C24</f>
        <v>-170.84</v>
      </c>
      <c r="L24" s="54">
        <f>K24*D24</f>
        <v>-29897</v>
      </c>
    </row>
    <row r="25" spans="1:12">
      <c r="A25" s="82"/>
      <c r="B25" s="455"/>
      <c r="C25" s="84"/>
      <c r="D25" s="84"/>
      <c r="E25" s="519"/>
      <c r="F25" s="519"/>
      <c r="G25" s="519"/>
      <c r="H25" s="519"/>
      <c r="I25" s="519"/>
      <c r="J25" s="533"/>
      <c r="K25" s="519"/>
      <c r="L25" s="519"/>
    </row>
    <row r="26" spans="1:12">
      <c r="A26" s="472" t="s">
        <v>57</v>
      </c>
      <c r="B26" s="473"/>
      <c r="C26" s="474"/>
      <c r="D26" s="474"/>
      <c r="E26" s="524">
        <f>SUM(E6:E25)</f>
        <v>485254.93599999999</v>
      </c>
      <c r="F26" s="524"/>
      <c r="G26" s="524">
        <f>SUM(G6:G25)</f>
        <v>135466.57948060724</v>
      </c>
      <c r="H26" s="524"/>
      <c r="I26" s="524">
        <f>SUM(I6:I25)</f>
        <v>2408.7839999999978</v>
      </c>
      <c r="J26" s="534">
        <f>L26/E26</f>
        <v>0.28412974964690985</v>
      </c>
      <c r="K26" s="524"/>
      <c r="L26" s="524">
        <f>SUM(L6:L25)</f>
        <v>137875.36348060725</v>
      </c>
    </row>
    <row r="27" spans="1:12">
      <c r="A27" s="475" t="s">
        <v>56</v>
      </c>
      <c r="B27" s="476"/>
      <c r="C27" s="78"/>
      <c r="D27" s="78"/>
      <c r="E27" s="522"/>
      <c r="F27" s="522"/>
      <c r="G27" s="522"/>
      <c r="H27" s="522"/>
      <c r="I27" s="522"/>
      <c r="J27" s="530"/>
      <c r="K27" s="522"/>
      <c r="L27" s="522"/>
    </row>
    <row r="28" spans="1:12">
      <c r="A28" s="81"/>
      <c r="B28" s="255"/>
      <c r="C28" s="53"/>
      <c r="D28" s="53"/>
      <c r="E28" s="54"/>
      <c r="F28" s="54"/>
      <c r="G28" s="54"/>
      <c r="H28" s="54"/>
      <c r="I28" s="54"/>
      <c r="J28" s="531"/>
      <c r="K28" s="54"/>
      <c r="L28" s="54"/>
    </row>
    <row r="29" spans="1:12">
      <c r="A29" s="81"/>
      <c r="B29" s="321" t="s">
        <v>300</v>
      </c>
      <c r="C29" s="53"/>
      <c r="D29" s="53"/>
      <c r="E29" s="54"/>
      <c r="F29" s="54"/>
      <c r="G29" s="54"/>
      <c r="H29" s="54"/>
      <c r="I29" s="54"/>
      <c r="J29" s="531"/>
      <c r="K29" s="54"/>
      <c r="L29" s="54"/>
    </row>
    <row r="30" spans="1:12">
      <c r="A30" s="81" t="s">
        <v>235</v>
      </c>
      <c r="B30" s="255"/>
      <c r="C30" s="53"/>
      <c r="D30" s="53"/>
      <c r="E30" s="54"/>
      <c r="F30" s="54"/>
      <c r="G30" s="54"/>
      <c r="H30" s="54"/>
      <c r="I30" s="54"/>
      <c r="J30" s="531"/>
      <c r="K30" s="54"/>
      <c r="L30" s="54"/>
    </row>
    <row r="31" spans="1:12" ht="26">
      <c r="A31" s="79">
        <v>6</v>
      </c>
      <c r="B31" s="317" t="s">
        <v>291</v>
      </c>
      <c r="C31" s="53">
        <v>854</v>
      </c>
      <c r="D31" s="53">
        <v>450</v>
      </c>
      <c r="E31" s="54">
        <f>D31*C31</f>
        <v>384300</v>
      </c>
      <c r="F31" s="54">
        <v>475.98250977500004</v>
      </c>
      <c r="G31" s="54">
        <v>214192.12939875002</v>
      </c>
      <c r="H31" s="54">
        <f>K31-F31</f>
        <v>0</v>
      </c>
      <c r="I31" s="54">
        <f t="shared" si="4"/>
        <v>0</v>
      </c>
      <c r="J31" s="531">
        <f>K31/C31</f>
        <v>0.55735656882318507</v>
      </c>
      <c r="K31" s="54">
        <f>'EIFS + BUILTUP (300MM)'!S32</f>
        <v>475.98250977500004</v>
      </c>
      <c r="L31" s="54">
        <f>K31*D31</f>
        <v>214192.12939875002</v>
      </c>
    </row>
    <row r="32" spans="1:12" ht="26">
      <c r="A32" s="79">
        <v>7</v>
      </c>
      <c r="B32" s="317" t="s">
        <v>292</v>
      </c>
      <c r="C32" s="53">
        <v>422</v>
      </c>
      <c r="D32" s="53">
        <v>525</v>
      </c>
      <c r="E32" s="54">
        <f>D32*C32</f>
        <v>221550</v>
      </c>
      <c r="F32" s="54">
        <v>390.12800249999998</v>
      </c>
      <c r="G32" s="54">
        <v>204817.20131249999</v>
      </c>
      <c r="H32" s="54">
        <f>K32-F32</f>
        <v>0</v>
      </c>
      <c r="I32" s="54">
        <f t="shared" ref="I32" si="11">L32-G32</f>
        <v>0</v>
      </c>
      <c r="J32" s="531">
        <f>K32/C32</f>
        <v>0.92447393957345969</v>
      </c>
      <c r="K32" s="54">
        <f>'EIFS + BUILTUP (400MM) '!S29</f>
        <v>390.12800249999998</v>
      </c>
      <c r="L32" s="54">
        <f>K32*D32</f>
        <v>204817.20131249999</v>
      </c>
    </row>
    <row r="33" spans="1:12" ht="26">
      <c r="A33" s="79">
        <v>8</v>
      </c>
      <c r="B33" s="317" t="s">
        <v>293</v>
      </c>
      <c r="C33" s="53">
        <v>176</v>
      </c>
      <c r="D33" s="53">
        <v>415</v>
      </c>
      <c r="E33" s="54">
        <f>D33*C33</f>
        <v>73040</v>
      </c>
      <c r="F33" s="54"/>
      <c r="G33" s="54">
        <v>0</v>
      </c>
      <c r="H33" s="54">
        <f>K33-F33</f>
        <v>0</v>
      </c>
      <c r="I33" s="54">
        <f t="shared" ref="I33" si="12">L33-G33</f>
        <v>0</v>
      </c>
      <c r="J33" s="531">
        <f>K33/C33</f>
        <v>0</v>
      </c>
      <c r="K33" s="54"/>
      <c r="L33" s="54">
        <f>K33*D33</f>
        <v>0</v>
      </c>
    </row>
    <row r="34" spans="1:12" ht="26">
      <c r="A34" s="79">
        <v>9</v>
      </c>
      <c r="B34" s="317" t="s">
        <v>294</v>
      </c>
      <c r="C34" s="53">
        <v>1</v>
      </c>
      <c r="D34" s="53">
        <v>25250</v>
      </c>
      <c r="E34" s="54">
        <f>D34*C34</f>
        <v>25250</v>
      </c>
      <c r="F34" s="54">
        <v>1</v>
      </c>
      <c r="G34" s="54">
        <v>25250</v>
      </c>
      <c r="H34" s="54">
        <f>K34-F34</f>
        <v>0</v>
      </c>
      <c r="I34" s="54">
        <f t="shared" ref="I34" si="13">L34-G34</f>
        <v>0</v>
      </c>
      <c r="J34" s="531">
        <f>K34/C34</f>
        <v>1</v>
      </c>
      <c r="K34" s="54">
        <v>1</v>
      </c>
      <c r="L34" s="54">
        <f>K34*D34</f>
        <v>25250</v>
      </c>
    </row>
    <row r="35" spans="1:12">
      <c r="A35" s="79"/>
      <c r="B35" s="80"/>
      <c r="C35" s="53"/>
      <c r="D35" s="53"/>
      <c r="E35" s="54"/>
      <c r="F35" s="54"/>
      <c r="G35" s="54"/>
      <c r="H35" s="54"/>
      <c r="I35" s="54"/>
      <c r="J35" s="531"/>
      <c r="K35" s="54"/>
      <c r="L35" s="54"/>
    </row>
    <row r="36" spans="1:12">
      <c r="A36" s="81" t="s">
        <v>215</v>
      </c>
      <c r="B36" s="255"/>
      <c r="C36" s="53"/>
      <c r="D36" s="53"/>
      <c r="E36" s="54"/>
      <c r="F36" s="54"/>
      <c r="G36" s="54"/>
      <c r="H36" s="54"/>
      <c r="I36" s="54"/>
      <c r="J36" s="531"/>
      <c r="K36" s="54"/>
      <c r="L36" s="54"/>
    </row>
    <row r="37" spans="1:12" ht="26">
      <c r="A37" s="79">
        <f>+A34+1</f>
        <v>10</v>
      </c>
      <c r="B37" s="317" t="s">
        <v>296</v>
      </c>
      <c r="C37" s="53">
        <f>854-195.53</f>
        <v>658.47</v>
      </c>
      <c r="D37" s="53">
        <v>435</v>
      </c>
      <c r="E37" s="54">
        <f>-PRODUCT(C37:D37)</f>
        <v>-286434.45</v>
      </c>
      <c r="F37" s="54">
        <v>608.73835499093605</v>
      </c>
      <c r="G37" s="54">
        <v>-264801.18442105717</v>
      </c>
      <c r="H37" s="54">
        <f t="shared" ref="H37" si="14">K37-F37</f>
        <v>0</v>
      </c>
      <c r="I37" s="54">
        <f t="shared" ref="I37" si="15">L37-G37</f>
        <v>0</v>
      </c>
      <c r="J37" s="531">
        <f>+J32</f>
        <v>0.92447393957345969</v>
      </c>
      <c r="K37" s="54">
        <f>J37*C37</f>
        <v>608.73835499093605</v>
      </c>
      <c r="L37" s="54">
        <f>J37*E37</f>
        <v>-264801.18442105717</v>
      </c>
    </row>
    <row r="38" spans="1:12" ht="26">
      <c r="A38" s="79">
        <f>+A37+1</f>
        <v>11</v>
      </c>
      <c r="B38" s="317" t="s">
        <v>295</v>
      </c>
      <c r="C38" s="53">
        <f>422-141.46</f>
        <v>280.53999999999996</v>
      </c>
      <c r="D38" s="53">
        <v>500</v>
      </c>
      <c r="E38" s="54">
        <f>-PRODUCT(C38:D38)</f>
        <v>-140269.99999999997</v>
      </c>
      <c r="F38" s="54">
        <v>156.36081181765633</v>
      </c>
      <c r="G38" s="54">
        <v>-78180.40590882815</v>
      </c>
      <c r="H38" s="54">
        <f>K38-F38</f>
        <v>0</v>
      </c>
      <c r="I38" s="54">
        <f>L38-G38</f>
        <v>0</v>
      </c>
      <c r="J38" s="531">
        <f>+J31</f>
        <v>0.55735656882318507</v>
      </c>
      <c r="K38" s="54">
        <f>J38*C38</f>
        <v>156.36081181765633</v>
      </c>
      <c r="L38" s="54">
        <f>J38*E38</f>
        <v>-78180.40590882815</v>
      </c>
    </row>
    <row r="39" spans="1:12" ht="26">
      <c r="A39" s="79">
        <f>+A38+1</f>
        <v>12</v>
      </c>
      <c r="B39" s="317" t="s">
        <v>297</v>
      </c>
      <c r="C39" s="53">
        <v>176</v>
      </c>
      <c r="D39" s="53">
        <v>415</v>
      </c>
      <c r="E39" s="54">
        <f>-PRODUCT(C39:D39)</f>
        <v>-73040</v>
      </c>
      <c r="F39" s="54">
        <v>0</v>
      </c>
      <c r="G39" s="54">
        <v>0</v>
      </c>
      <c r="H39" s="54">
        <f>K39-F39</f>
        <v>0</v>
      </c>
      <c r="I39" s="54">
        <f t="shared" ref="I39" si="16">L39-G39</f>
        <v>0</v>
      </c>
      <c r="J39" s="531">
        <f>K39/C39</f>
        <v>0</v>
      </c>
      <c r="K39" s="54">
        <f>'EIFS + BUILTUP (400MM) '!S36</f>
        <v>0</v>
      </c>
      <c r="L39" s="54">
        <f>K39*D39</f>
        <v>0</v>
      </c>
    </row>
    <row r="40" spans="1:12">
      <c r="A40" s="79"/>
      <c r="B40" s="317"/>
      <c r="C40" s="53"/>
      <c r="D40" s="53"/>
      <c r="E40" s="54"/>
      <c r="F40" s="54"/>
      <c r="G40" s="54"/>
      <c r="H40" s="54"/>
      <c r="I40" s="54"/>
      <c r="J40" s="531"/>
      <c r="K40" s="54"/>
      <c r="L40" s="54"/>
    </row>
    <row r="41" spans="1:12">
      <c r="A41" s="79"/>
      <c r="B41" s="471" t="s">
        <v>301</v>
      </c>
      <c r="C41" s="53"/>
      <c r="D41" s="53"/>
      <c r="E41" s="54"/>
      <c r="F41" s="54"/>
      <c r="G41" s="54"/>
      <c r="H41" s="54"/>
      <c r="I41" s="54"/>
      <c r="J41" s="531"/>
      <c r="K41" s="54"/>
      <c r="L41" s="54"/>
    </row>
    <row r="42" spans="1:12" ht="52">
      <c r="A42" s="79">
        <v>13</v>
      </c>
      <c r="B42" s="317" t="s">
        <v>298</v>
      </c>
      <c r="C42" s="53">
        <v>1</v>
      </c>
      <c r="D42" s="53">
        <f>E42</f>
        <v>7860.45</v>
      </c>
      <c r="E42" s="54">
        <v>7860.45</v>
      </c>
      <c r="F42" s="54"/>
      <c r="G42" s="54">
        <v>0</v>
      </c>
      <c r="H42" s="54">
        <f>K42-F42</f>
        <v>0</v>
      </c>
      <c r="I42" s="54">
        <f t="shared" ref="I42" si="17">L42-G42</f>
        <v>0</v>
      </c>
      <c r="J42" s="531">
        <f>K42/C42</f>
        <v>0</v>
      </c>
      <c r="K42" s="54"/>
      <c r="L42" s="54">
        <f>K42*D42</f>
        <v>0</v>
      </c>
    </row>
    <row r="43" spans="1:12">
      <c r="A43" s="79"/>
      <c r="B43" s="317"/>
      <c r="C43" s="53"/>
      <c r="D43" s="53"/>
      <c r="E43" s="54"/>
      <c r="F43" s="54"/>
      <c r="G43" s="54"/>
      <c r="H43" s="54"/>
      <c r="I43" s="54"/>
      <c r="J43" s="531"/>
      <c r="K43" s="54"/>
      <c r="L43" s="54"/>
    </row>
    <row r="44" spans="1:12" ht="39">
      <c r="A44" s="79">
        <v>14</v>
      </c>
      <c r="B44" s="317" t="s">
        <v>299</v>
      </c>
      <c r="C44" s="53">
        <v>10</v>
      </c>
      <c r="D44" s="53">
        <v>319</v>
      </c>
      <c r="E44" s="54">
        <f>PRODUCT(C44:D44)</f>
        <v>3190</v>
      </c>
      <c r="F44" s="54">
        <v>9</v>
      </c>
      <c r="G44" s="54">
        <v>2871</v>
      </c>
      <c r="H44" s="54">
        <f t="shared" ref="H44" si="18">K44-F44</f>
        <v>0</v>
      </c>
      <c r="I44" s="54">
        <f t="shared" ref="I44" si="19">L44-G44</f>
        <v>0</v>
      </c>
      <c r="J44" s="531">
        <f>K44/C44</f>
        <v>0.9</v>
      </c>
      <c r="K44" s="54">
        <f>'KCE Variation'!S219</f>
        <v>9</v>
      </c>
      <c r="L44" s="54">
        <f>K44*D44</f>
        <v>2871</v>
      </c>
    </row>
    <row r="45" spans="1:12">
      <c r="A45" s="79"/>
      <c r="B45" s="317"/>
      <c r="C45" s="53"/>
      <c r="D45" s="53"/>
      <c r="E45" s="54"/>
      <c r="F45" s="54"/>
      <c r="G45" s="54"/>
      <c r="H45" s="54"/>
      <c r="I45" s="54"/>
      <c r="J45" s="531"/>
      <c r="K45" s="54"/>
      <c r="L45" s="54"/>
    </row>
    <row r="46" spans="1:12" ht="39">
      <c r="A46" s="79">
        <v>15</v>
      </c>
      <c r="B46" s="317" t="s">
        <v>285</v>
      </c>
      <c r="C46" s="53"/>
      <c r="D46" s="53"/>
      <c r="E46" s="54"/>
      <c r="F46" s="54"/>
      <c r="G46" s="54"/>
      <c r="H46" s="54"/>
      <c r="I46" s="54"/>
      <c r="J46" s="531"/>
      <c r="K46" s="54"/>
      <c r="L46" s="54"/>
    </row>
    <row r="47" spans="1:12">
      <c r="A47" s="79">
        <v>15.1</v>
      </c>
      <c r="B47" s="80" t="s">
        <v>302</v>
      </c>
      <c r="C47" s="53">
        <v>1799.35</v>
      </c>
      <c r="D47" s="53">
        <v>175</v>
      </c>
      <c r="E47" s="54">
        <f t="shared" ref="E47:E53" si="20">D47*C47</f>
        <v>314886.25</v>
      </c>
      <c r="F47" s="54">
        <v>1625.6051849999999</v>
      </c>
      <c r="G47" s="54">
        <v>284480.90737500001</v>
      </c>
      <c r="H47" s="54">
        <f t="shared" ref="H47:H53" si="21">K47-F47</f>
        <v>253.61883499999976</v>
      </c>
      <c r="I47" s="54">
        <f t="shared" ref="I47:I53" si="22">L47-G47</f>
        <v>44383.296124999935</v>
      </c>
      <c r="J47" s="531">
        <f t="shared" ref="J47:J53" si="23">K47/C47</f>
        <v>1.0443904854530801</v>
      </c>
      <c r="K47" s="54">
        <f>'KCE Variation'!S156</f>
        <v>1879.2240199999997</v>
      </c>
      <c r="L47" s="54">
        <f t="shared" ref="L47:L53" si="24">K47*D47</f>
        <v>328864.20349999995</v>
      </c>
    </row>
    <row r="48" spans="1:12">
      <c r="A48" s="79">
        <v>15.2</v>
      </c>
      <c r="B48" s="80" t="s">
        <v>303</v>
      </c>
      <c r="C48" s="53">
        <v>638</v>
      </c>
      <c r="D48" s="53">
        <v>175</v>
      </c>
      <c r="E48" s="54">
        <f t="shared" si="20"/>
        <v>111650</v>
      </c>
      <c r="F48" s="54"/>
      <c r="G48" s="54">
        <v>0</v>
      </c>
      <c r="H48" s="54">
        <f>K48-F48</f>
        <v>0</v>
      </c>
      <c r="I48" s="54">
        <f t="shared" si="22"/>
        <v>0</v>
      </c>
      <c r="J48" s="531">
        <f t="shared" si="23"/>
        <v>0</v>
      </c>
      <c r="K48" s="54"/>
      <c r="L48" s="54">
        <f t="shared" si="24"/>
        <v>0</v>
      </c>
    </row>
    <row r="49" spans="1:12">
      <c r="A49" s="79">
        <v>15.3</v>
      </c>
      <c r="B49" s="80" t="s">
        <v>305</v>
      </c>
      <c r="C49" s="53">
        <v>11.75</v>
      </c>
      <c r="D49" s="53">
        <v>270</v>
      </c>
      <c r="E49" s="54">
        <f t="shared" si="20"/>
        <v>3172.5</v>
      </c>
      <c r="F49" s="54"/>
      <c r="G49" s="54">
        <v>0</v>
      </c>
      <c r="H49" s="54">
        <f>K49-F49</f>
        <v>0</v>
      </c>
      <c r="I49" s="54">
        <f t="shared" si="22"/>
        <v>0</v>
      </c>
      <c r="J49" s="531">
        <f t="shared" si="23"/>
        <v>0</v>
      </c>
      <c r="K49" s="54"/>
      <c r="L49" s="54">
        <f t="shared" si="24"/>
        <v>0</v>
      </c>
    </row>
    <row r="50" spans="1:12">
      <c r="A50" s="79">
        <v>15.4</v>
      </c>
      <c r="B50" s="80" t="s">
        <v>304</v>
      </c>
      <c r="C50" s="53">
        <v>25.807500000000001</v>
      </c>
      <c r="D50" s="53">
        <v>319</v>
      </c>
      <c r="E50" s="54">
        <f t="shared" si="20"/>
        <v>8232.5925000000007</v>
      </c>
      <c r="F50" s="54">
        <v>23.226750000000003</v>
      </c>
      <c r="G50" s="54">
        <v>7409.3332500000006</v>
      </c>
      <c r="H50" s="54">
        <f t="shared" si="21"/>
        <v>0</v>
      </c>
      <c r="I50" s="54">
        <f t="shared" si="22"/>
        <v>0</v>
      </c>
      <c r="J50" s="531">
        <f t="shared" si="23"/>
        <v>0.9</v>
      </c>
      <c r="K50" s="54">
        <f>'KCE Variation'!S49</f>
        <v>23.226750000000003</v>
      </c>
      <c r="L50" s="54">
        <f t="shared" si="24"/>
        <v>7409.3332500000006</v>
      </c>
    </row>
    <row r="51" spans="1:12">
      <c r="A51" s="79">
        <v>15.5</v>
      </c>
      <c r="B51" s="80" t="s">
        <v>306</v>
      </c>
      <c r="C51" s="53">
        <v>47.92</v>
      </c>
      <c r="D51" s="53">
        <v>295</v>
      </c>
      <c r="E51" s="54">
        <f t="shared" si="20"/>
        <v>14136.4</v>
      </c>
      <c r="F51" s="54">
        <v>45.398749999999993</v>
      </c>
      <c r="G51" s="54">
        <v>13392.631249999999</v>
      </c>
      <c r="H51" s="54">
        <f t="shared" si="21"/>
        <v>0</v>
      </c>
      <c r="I51" s="54">
        <f t="shared" si="22"/>
        <v>0</v>
      </c>
      <c r="J51" s="531">
        <f t="shared" si="23"/>
        <v>0.94738626878130194</v>
      </c>
      <c r="K51" s="54">
        <f>'KCE Variation'!S71</f>
        <v>45.398749999999993</v>
      </c>
      <c r="L51" s="54">
        <f t="shared" si="24"/>
        <v>13392.631249999999</v>
      </c>
    </row>
    <row r="52" spans="1:12">
      <c r="A52" s="79">
        <v>15.6</v>
      </c>
      <c r="B52" s="80" t="s">
        <v>307</v>
      </c>
      <c r="C52" s="53">
        <v>176.05</v>
      </c>
      <c r="D52" s="53">
        <v>175</v>
      </c>
      <c r="E52" s="54">
        <f t="shared" si="20"/>
        <v>30808.750000000004</v>
      </c>
      <c r="F52" s="54">
        <v>167.24196624999999</v>
      </c>
      <c r="G52" s="54">
        <v>29267.344093749998</v>
      </c>
      <c r="H52" s="54">
        <f t="shared" si="21"/>
        <v>0</v>
      </c>
      <c r="I52" s="54">
        <f t="shared" si="22"/>
        <v>0</v>
      </c>
      <c r="J52" s="531">
        <f t="shared" si="23"/>
        <v>0.94996856716841793</v>
      </c>
      <c r="K52" s="54">
        <f>'KCE Variation'!S92</f>
        <v>167.24196624999999</v>
      </c>
      <c r="L52" s="54">
        <f t="shared" si="24"/>
        <v>29267.344093749998</v>
      </c>
    </row>
    <row r="53" spans="1:12">
      <c r="A53" s="79">
        <v>15.7</v>
      </c>
      <c r="B53" s="80" t="s">
        <v>308</v>
      </c>
      <c r="C53" s="53">
        <v>47.2</v>
      </c>
      <c r="D53" s="53">
        <v>175</v>
      </c>
      <c r="E53" s="54">
        <f t="shared" si="20"/>
        <v>8260</v>
      </c>
      <c r="F53" s="54">
        <v>42.480000000000004</v>
      </c>
      <c r="G53" s="54">
        <v>7434.0000000000009</v>
      </c>
      <c r="H53" s="54">
        <f t="shared" si="21"/>
        <v>0</v>
      </c>
      <c r="I53" s="54">
        <f t="shared" si="22"/>
        <v>0</v>
      </c>
      <c r="J53" s="531">
        <f t="shared" si="23"/>
        <v>0.9</v>
      </c>
      <c r="K53" s="54">
        <f>'KCE Variation'!S29</f>
        <v>42.480000000000004</v>
      </c>
      <c r="L53" s="54">
        <f t="shared" si="24"/>
        <v>7434.0000000000009</v>
      </c>
    </row>
    <row r="54" spans="1:12">
      <c r="A54" s="79"/>
      <c r="B54" s="80"/>
      <c r="C54" s="53"/>
      <c r="D54" s="53"/>
      <c r="E54" s="54"/>
      <c r="F54" s="54"/>
      <c r="G54" s="54"/>
      <c r="H54" s="54"/>
      <c r="I54" s="54"/>
      <c r="J54" s="531"/>
      <c r="K54" s="54"/>
      <c r="L54" s="54"/>
    </row>
    <row r="55" spans="1:12" ht="26">
      <c r="A55" s="79">
        <v>16</v>
      </c>
      <c r="B55" s="317" t="s">
        <v>286</v>
      </c>
      <c r="C55" s="53">
        <v>160</v>
      </c>
      <c r="D55" s="525" t="s">
        <v>474</v>
      </c>
      <c r="E55" s="54">
        <v>34345</v>
      </c>
      <c r="F55" s="54">
        <v>160</v>
      </c>
      <c r="G55" s="54">
        <v>34345</v>
      </c>
      <c r="H55" s="54">
        <f>K55-F55</f>
        <v>0</v>
      </c>
      <c r="I55" s="54">
        <f t="shared" ref="I55" si="25">L55-G55</f>
        <v>0</v>
      </c>
      <c r="J55" s="531">
        <f>K55/C55</f>
        <v>1</v>
      </c>
      <c r="K55" s="54">
        <f>'KCE Variation'!S177</f>
        <v>160</v>
      </c>
      <c r="L55" s="54">
        <f>J55*E55</f>
        <v>34345</v>
      </c>
    </row>
    <row r="56" spans="1:12">
      <c r="A56" s="79"/>
      <c r="B56" s="80"/>
      <c r="C56" s="53"/>
      <c r="D56" s="53"/>
      <c r="E56" s="54"/>
      <c r="F56" s="54"/>
      <c r="G56" s="54"/>
      <c r="H56" s="54"/>
      <c r="I56" s="54"/>
      <c r="J56" s="531"/>
      <c r="K56" s="54"/>
      <c r="L56" s="54"/>
    </row>
    <row r="57" spans="1:12" ht="52">
      <c r="A57" s="79">
        <v>17</v>
      </c>
      <c r="B57" s="317" t="s">
        <v>287</v>
      </c>
      <c r="C57" s="53">
        <v>115</v>
      </c>
      <c r="D57" s="53">
        <v>120</v>
      </c>
      <c r="E57" s="54">
        <f>D57*C57</f>
        <v>13800</v>
      </c>
      <c r="F57" s="54"/>
      <c r="G57" s="54">
        <v>0</v>
      </c>
      <c r="H57" s="54">
        <f>K57-F57</f>
        <v>0</v>
      </c>
      <c r="I57" s="54">
        <f t="shared" ref="I57" si="26">L57-G57</f>
        <v>0</v>
      </c>
      <c r="J57" s="531">
        <f>K57/C57</f>
        <v>0</v>
      </c>
      <c r="K57" s="54"/>
      <c r="L57" s="54">
        <f>K57*D57</f>
        <v>0</v>
      </c>
    </row>
    <row r="58" spans="1:12">
      <c r="A58" s="79"/>
      <c r="B58" s="317"/>
      <c r="C58" s="53"/>
      <c r="D58" s="53"/>
      <c r="E58" s="54"/>
      <c r="F58" s="54"/>
      <c r="G58" s="54"/>
      <c r="H58" s="54"/>
      <c r="I58" s="54"/>
      <c r="J58" s="531"/>
      <c r="K58" s="54"/>
      <c r="L58" s="54"/>
    </row>
    <row r="59" spans="1:12" ht="52">
      <c r="A59" s="79">
        <v>18</v>
      </c>
      <c r="B59" s="317" t="s">
        <v>309</v>
      </c>
      <c r="C59" s="53">
        <v>120.404</v>
      </c>
      <c r="D59" s="53">
        <v>660</v>
      </c>
      <c r="E59" s="54">
        <f>D59*C59</f>
        <v>79466.64</v>
      </c>
      <c r="F59" s="54"/>
      <c r="G59" s="54">
        <v>0</v>
      </c>
      <c r="H59" s="54">
        <f>K59-F59</f>
        <v>0</v>
      </c>
      <c r="I59" s="54">
        <f t="shared" ref="I59" si="27">L59-G59</f>
        <v>0</v>
      </c>
      <c r="J59" s="531">
        <f>K59/C59</f>
        <v>0</v>
      </c>
      <c r="K59" s="54"/>
      <c r="L59" s="54">
        <f>K59*D59</f>
        <v>0</v>
      </c>
    </row>
    <row r="60" spans="1:12">
      <c r="A60" s="79"/>
      <c r="B60" s="317"/>
      <c r="C60" s="53"/>
      <c r="D60" s="53"/>
      <c r="E60" s="54"/>
      <c r="F60" s="54"/>
      <c r="G60" s="54"/>
      <c r="H60" s="54"/>
      <c r="I60" s="54"/>
      <c r="J60" s="531"/>
      <c r="K60" s="54"/>
      <c r="L60" s="54"/>
    </row>
    <row r="61" spans="1:12" ht="52">
      <c r="A61" s="79">
        <v>19</v>
      </c>
      <c r="B61" s="317" t="s">
        <v>310</v>
      </c>
      <c r="C61" s="53">
        <v>67.403999999999996</v>
      </c>
      <c r="D61" s="53">
        <v>750</v>
      </c>
      <c r="E61" s="54">
        <f>D61*C61</f>
        <v>50553</v>
      </c>
      <c r="F61" s="54">
        <v>67.599999999999994</v>
      </c>
      <c r="G61" s="54">
        <v>50699.999999999993</v>
      </c>
      <c r="H61" s="54">
        <f t="shared" ref="H61" si="28">K61-F61</f>
        <v>0</v>
      </c>
      <c r="I61" s="54">
        <f t="shared" ref="I61" si="29">L61-G61</f>
        <v>0</v>
      </c>
      <c r="J61" s="531">
        <f>K61/C61</f>
        <v>1.0029078392973712</v>
      </c>
      <c r="K61" s="54">
        <f>'KCE Variation'!S198</f>
        <v>67.599999999999994</v>
      </c>
      <c r="L61" s="54">
        <f>K61*D61</f>
        <v>50699.999999999993</v>
      </c>
    </row>
    <row r="62" spans="1:12">
      <c r="A62" s="79"/>
      <c r="B62" s="317"/>
      <c r="C62" s="53"/>
      <c r="D62" s="53"/>
      <c r="E62" s="54"/>
      <c r="F62" s="54"/>
      <c r="G62" s="54"/>
      <c r="H62" s="54"/>
      <c r="I62" s="54"/>
      <c r="J62" s="531"/>
      <c r="K62" s="54"/>
      <c r="L62" s="54"/>
    </row>
    <row r="63" spans="1:12" ht="39">
      <c r="A63" s="79">
        <v>20</v>
      </c>
      <c r="B63" s="317" t="s">
        <v>288</v>
      </c>
      <c r="C63" s="53">
        <v>16</v>
      </c>
      <c r="D63" s="53">
        <v>2800</v>
      </c>
      <c r="E63" s="54">
        <f>D63*C63</f>
        <v>44800</v>
      </c>
      <c r="F63" s="54"/>
      <c r="G63" s="54">
        <v>0</v>
      </c>
      <c r="H63" s="54">
        <f>K63-F63</f>
        <v>0</v>
      </c>
      <c r="I63" s="54">
        <f t="shared" ref="I63" si="30">L63-G63</f>
        <v>0</v>
      </c>
      <c r="J63" s="531">
        <f>K63/C63</f>
        <v>0</v>
      </c>
      <c r="K63" s="54"/>
      <c r="L63" s="54">
        <f>K63*D63</f>
        <v>0</v>
      </c>
    </row>
    <row r="64" spans="1:12">
      <c r="A64" s="79"/>
      <c r="B64" s="317"/>
      <c r="C64" s="53"/>
      <c r="D64" s="53"/>
      <c r="E64" s="54"/>
      <c r="F64" s="54"/>
      <c r="G64" s="54"/>
      <c r="H64" s="54"/>
      <c r="I64" s="54"/>
      <c r="J64" s="531"/>
      <c r="K64" s="54"/>
      <c r="L64" s="54"/>
    </row>
    <row r="65" spans="1:12" ht="52">
      <c r="A65" s="79">
        <v>21</v>
      </c>
      <c r="B65" s="317" t="s">
        <v>289</v>
      </c>
      <c r="C65" s="53">
        <v>67</v>
      </c>
      <c r="D65" s="53">
        <v>40</v>
      </c>
      <c r="E65" s="54">
        <f>D65*C65</f>
        <v>2680</v>
      </c>
      <c r="F65" s="54"/>
      <c r="G65" s="54">
        <v>0</v>
      </c>
      <c r="H65" s="54">
        <f>K65-F65</f>
        <v>0</v>
      </c>
      <c r="I65" s="54">
        <f t="shared" ref="I65" si="31">L65-G65</f>
        <v>0</v>
      </c>
      <c r="J65" s="531">
        <f>K65/C65</f>
        <v>0</v>
      </c>
      <c r="K65" s="54"/>
      <c r="L65" s="54">
        <f>K65*D65</f>
        <v>0</v>
      </c>
    </row>
    <row r="66" spans="1:12">
      <c r="A66" s="79"/>
      <c r="B66" s="317"/>
      <c r="C66" s="53"/>
      <c r="D66" s="53"/>
      <c r="E66" s="54"/>
      <c r="F66" s="54"/>
      <c r="G66" s="54"/>
      <c r="H66" s="54"/>
      <c r="I66" s="54"/>
      <c r="J66" s="531"/>
      <c r="K66" s="54"/>
      <c r="L66" s="54"/>
    </row>
    <row r="67" spans="1:12" ht="39">
      <c r="A67" s="79">
        <v>22</v>
      </c>
      <c r="B67" s="317" t="s">
        <v>290</v>
      </c>
      <c r="C67" s="53">
        <v>68</v>
      </c>
      <c r="D67" s="53">
        <v>295</v>
      </c>
      <c r="E67" s="54">
        <f>D67*C67</f>
        <v>20060</v>
      </c>
      <c r="F67" s="54">
        <v>59.108999999999995</v>
      </c>
      <c r="G67" s="54">
        <v>17437.154999999999</v>
      </c>
      <c r="H67" s="54">
        <f>K67-F67</f>
        <v>6.9539999999999935</v>
      </c>
      <c r="I67" s="54">
        <f t="shared" ref="I67" si="32">L67-G67</f>
        <v>2051.4299999999967</v>
      </c>
      <c r="J67" s="531">
        <f>K67/C67</f>
        <v>0.97151470588235278</v>
      </c>
      <c r="K67" s="54">
        <f>'KCE Variation'!S321</f>
        <v>66.062999999999988</v>
      </c>
      <c r="L67" s="54">
        <f>K67*D67</f>
        <v>19488.584999999995</v>
      </c>
    </row>
    <row r="68" spans="1:12">
      <c r="A68" s="79"/>
      <c r="B68" s="317"/>
      <c r="C68" s="53"/>
      <c r="D68" s="53"/>
      <c r="E68" s="54"/>
      <c r="F68" s="54"/>
      <c r="G68" s="54"/>
      <c r="H68" s="54"/>
      <c r="I68" s="54"/>
      <c r="J68" s="531"/>
      <c r="K68" s="54"/>
      <c r="L68" s="54"/>
    </row>
    <row r="69" spans="1:12" ht="52">
      <c r="A69" s="79">
        <v>23</v>
      </c>
      <c r="B69" s="317" t="s">
        <v>284</v>
      </c>
      <c r="C69" s="53">
        <v>33.44</v>
      </c>
      <c r="D69" s="53">
        <v>380</v>
      </c>
      <c r="E69" s="54">
        <f t="shared" ref="E69:E71" si="33">D69*C69</f>
        <v>12707.199999999999</v>
      </c>
      <c r="F69" s="54">
        <v>25.08</v>
      </c>
      <c r="G69" s="54">
        <v>9530.4</v>
      </c>
      <c r="H69" s="54">
        <f t="shared" ref="H69" si="34">K69-F69</f>
        <v>0</v>
      </c>
      <c r="I69" s="54">
        <f t="shared" ref="I69" si="35">L69-G69</f>
        <v>0</v>
      </c>
      <c r="J69" s="531">
        <f>K69/C69</f>
        <v>0.75</v>
      </c>
      <c r="K69" s="54">
        <v>25.08</v>
      </c>
      <c r="L69" s="54">
        <f>K69*D69</f>
        <v>9530.4</v>
      </c>
    </row>
    <row r="70" spans="1:12">
      <c r="A70" s="79"/>
      <c r="B70" s="317"/>
      <c r="C70" s="53"/>
      <c r="D70" s="53"/>
      <c r="E70" s="54"/>
      <c r="F70" s="54"/>
      <c r="G70" s="54"/>
      <c r="H70" s="54"/>
      <c r="I70" s="54"/>
      <c r="J70" s="531"/>
      <c r="K70" s="54"/>
      <c r="L70" s="54"/>
    </row>
    <row r="71" spans="1:12" ht="39">
      <c r="A71" s="79">
        <v>24</v>
      </c>
      <c r="B71" s="317" t="s">
        <v>311</v>
      </c>
      <c r="C71" s="53">
        <v>1073.42</v>
      </c>
      <c r="D71" s="53">
        <v>175</v>
      </c>
      <c r="E71" s="54">
        <f t="shared" si="33"/>
        <v>187848.5</v>
      </c>
      <c r="F71" s="54"/>
      <c r="G71" s="54">
        <v>0</v>
      </c>
      <c r="H71" s="54">
        <f>K71-F71</f>
        <v>0</v>
      </c>
      <c r="I71" s="54">
        <f t="shared" ref="I71" si="36">L71-G71</f>
        <v>0</v>
      </c>
      <c r="J71" s="531">
        <f>K71/C71</f>
        <v>0</v>
      </c>
      <c r="K71" s="54"/>
      <c r="L71" s="54">
        <f>K71*D71</f>
        <v>0</v>
      </c>
    </row>
    <row r="72" spans="1:12">
      <c r="A72" s="79"/>
      <c r="B72" s="80"/>
      <c r="C72" s="53"/>
      <c r="D72" s="53"/>
      <c r="E72" s="54"/>
      <c r="F72" s="54">
        <v>0.9</v>
      </c>
      <c r="G72" s="54" t="s">
        <v>540</v>
      </c>
      <c r="H72" s="54"/>
      <c r="I72" s="54"/>
      <c r="J72" s="531"/>
      <c r="K72" s="526">
        <v>0.9</v>
      </c>
      <c r="L72" s="526" t="s">
        <v>540</v>
      </c>
    </row>
    <row r="73" spans="1:12" ht="65">
      <c r="A73" s="79">
        <v>25</v>
      </c>
      <c r="B73" s="317" t="s">
        <v>569</v>
      </c>
      <c r="C73" s="53"/>
      <c r="D73" s="53"/>
      <c r="E73" s="54"/>
      <c r="F73" s="54"/>
      <c r="G73" s="54"/>
      <c r="H73" s="54"/>
      <c r="I73" s="54"/>
      <c r="J73" s="531"/>
      <c r="K73" s="526"/>
      <c r="L73" s="526"/>
    </row>
    <row r="74" spans="1:12">
      <c r="A74" s="79">
        <v>25.1</v>
      </c>
      <c r="B74" s="317" t="s">
        <v>533</v>
      </c>
      <c r="C74" s="53">
        <v>12.868</v>
      </c>
      <c r="D74" s="53">
        <v>380</v>
      </c>
      <c r="E74" s="54">
        <f>C74*D74</f>
        <v>4889.84</v>
      </c>
      <c r="F74" s="54">
        <v>12.8674</v>
      </c>
      <c r="G74" s="54">
        <v>4400.6508000000003</v>
      </c>
      <c r="H74" s="54">
        <f>K74-F74</f>
        <v>0</v>
      </c>
      <c r="I74" s="54">
        <f t="shared" ref="I74" si="37">L74-G74</f>
        <v>0</v>
      </c>
      <c r="J74" s="531">
        <f>K74/C74</f>
        <v>0.99995337270749141</v>
      </c>
      <c r="K74" s="54">
        <f>'KCE Variation'!S240</f>
        <v>12.8674</v>
      </c>
      <c r="L74" s="54">
        <f>K74*D74*$K$72</f>
        <v>4400.6508000000003</v>
      </c>
    </row>
    <row r="75" spans="1:12">
      <c r="A75" s="79">
        <v>25.2</v>
      </c>
      <c r="B75" s="80" t="s">
        <v>534</v>
      </c>
      <c r="C75" s="53">
        <v>58.353000000000002</v>
      </c>
      <c r="D75" s="53">
        <v>295</v>
      </c>
      <c r="E75" s="54">
        <f>C75*D75</f>
        <v>17214.135000000002</v>
      </c>
      <c r="F75" s="54">
        <v>39.120049999999999</v>
      </c>
      <c r="G75" s="54">
        <v>10386.373275</v>
      </c>
      <c r="H75" s="54">
        <f>K75-F75</f>
        <v>2.0589500000000029</v>
      </c>
      <c r="I75" s="54">
        <f t="shared" ref="I75" si="38">L75-G75</f>
        <v>546.65122500000143</v>
      </c>
      <c r="J75" s="531">
        <f>K75/C75</f>
        <v>0.70568779668568882</v>
      </c>
      <c r="K75" s="54">
        <f>'KCE Variation'!S261</f>
        <v>41.179000000000002</v>
      </c>
      <c r="L75" s="54">
        <f>K75*D75*$K$72</f>
        <v>10933.024500000001</v>
      </c>
    </row>
    <row r="76" spans="1:12" ht="26">
      <c r="A76" s="79">
        <v>25.3</v>
      </c>
      <c r="B76" s="317" t="s">
        <v>535</v>
      </c>
      <c r="C76" s="53">
        <v>30.86</v>
      </c>
      <c r="D76" s="53">
        <v>175</v>
      </c>
      <c r="E76" s="54">
        <f>C76*D76</f>
        <v>5400.5</v>
      </c>
      <c r="F76" s="54"/>
      <c r="G76" s="54">
        <v>0</v>
      </c>
      <c r="H76" s="54">
        <f>K76-F76</f>
        <v>0</v>
      </c>
      <c r="I76" s="54">
        <f t="shared" ref="I76" si="39">L76-G76</f>
        <v>0</v>
      </c>
      <c r="J76" s="531">
        <f>K76/C76</f>
        <v>0</v>
      </c>
      <c r="K76" s="54"/>
      <c r="L76" s="54">
        <f>K76*D76*$K$72</f>
        <v>0</v>
      </c>
    </row>
    <row r="77" spans="1:12" ht="26">
      <c r="A77" s="79">
        <v>25.4</v>
      </c>
      <c r="B77" s="317" t="s">
        <v>536</v>
      </c>
      <c r="C77" s="53"/>
      <c r="D77" s="53"/>
      <c r="E77" s="54"/>
      <c r="F77" s="54"/>
      <c r="G77" s="54"/>
      <c r="H77" s="54"/>
      <c r="I77" s="54"/>
      <c r="J77" s="531"/>
      <c r="K77" s="54"/>
      <c r="L77" s="54"/>
    </row>
    <row r="78" spans="1:12">
      <c r="A78" s="79" t="s">
        <v>570</v>
      </c>
      <c r="B78" s="80" t="s">
        <v>537</v>
      </c>
      <c r="C78" s="53">
        <v>98.31</v>
      </c>
      <c r="D78" s="53">
        <v>600</v>
      </c>
      <c r="E78" s="54">
        <f>C78*D78</f>
        <v>58986</v>
      </c>
      <c r="F78" s="54">
        <v>15.4642</v>
      </c>
      <c r="G78" s="54">
        <v>8350.6680000000015</v>
      </c>
      <c r="H78" s="54">
        <f>K78-F78</f>
        <v>0</v>
      </c>
      <c r="I78" s="54">
        <f t="shared" ref="I78:I79" si="40">L78-G78</f>
        <v>0</v>
      </c>
      <c r="J78" s="531">
        <f>K78/C78</f>
        <v>0.15730037636049232</v>
      </c>
      <c r="K78" s="54">
        <f>'KCE Variation'!S281</f>
        <v>15.4642</v>
      </c>
      <c r="L78" s="54">
        <f>K78*D78*$K$72</f>
        <v>8350.6680000000015</v>
      </c>
    </row>
    <row r="79" spans="1:12">
      <c r="A79" s="79" t="s">
        <v>571</v>
      </c>
      <c r="B79" s="80" t="s">
        <v>538</v>
      </c>
      <c r="C79" s="53">
        <v>-98.31</v>
      </c>
      <c r="D79" s="53">
        <v>435</v>
      </c>
      <c r="E79" s="54">
        <f>C79*D79</f>
        <v>-42764.85</v>
      </c>
      <c r="F79" s="54">
        <v>-15.4642</v>
      </c>
      <c r="G79" s="54">
        <v>-6054.2343000000001</v>
      </c>
      <c r="H79" s="54">
        <f>K79-F79</f>
        <v>0</v>
      </c>
      <c r="I79" s="54">
        <f t="shared" si="40"/>
        <v>0</v>
      </c>
      <c r="J79" s="531">
        <f>J78</f>
        <v>0.15730037636049232</v>
      </c>
      <c r="K79" s="54">
        <f>J79*C79</f>
        <v>-15.4642</v>
      </c>
      <c r="L79" s="54">
        <f>K79*D79*$K$72</f>
        <v>-6054.2343000000001</v>
      </c>
    </row>
    <row r="80" spans="1:12">
      <c r="A80" s="79">
        <v>25.5</v>
      </c>
      <c r="B80" s="80" t="s">
        <v>539</v>
      </c>
      <c r="C80" s="53">
        <v>29.130500000000001</v>
      </c>
      <c r="D80" s="53">
        <v>375</v>
      </c>
      <c r="E80" s="54">
        <f>C80*D80</f>
        <v>10923.9375</v>
      </c>
      <c r="F80" s="54">
        <v>27.673974999999995</v>
      </c>
      <c r="G80" s="54">
        <v>9339.9665624999998</v>
      </c>
      <c r="H80" s="54">
        <f>K80-F80</f>
        <v>0</v>
      </c>
      <c r="I80" s="54">
        <f t="shared" ref="I80" si="41">L80-G80</f>
        <v>0</v>
      </c>
      <c r="J80" s="531">
        <f>K80/C80</f>
        <v>0.94999999999999973</v>
      </c>
      <c r="K80" s="54">
        <f>'KCE Variation'!S301</f>
        <v>27.673974999999995</v>
      </c>
      <c r="L80" s="54">
        <f>K80*D80*$K$72</f>
        <v>9339.9665624999998</v>
      </c>
    </row>
    <row r="81" spans="1:13">
      <c r="A81" s="79"/>
      <c r="B81" s="80"/>
      <c r="C81" s="53"/>
      <c r="D81" s="53"/>
      <c r="E81" s="54"/>
      <c r="F81" s="54"/>
      <c r="G81" s="54"/>
      <c r="H81" s="54"/>
      <c r="I81" s="54"/>
      <c r="J81" s="531"/>
      <c r="K81" s="54"/>
      <c r="L81" s="54"/>
    </row>
    <row r="82" spans="1:13" ht="39">
      <c r="A82" s="79">
        <v>26</v>
      </c>
      <c r="B82" s="317" t="s">
        <v>572</v>
      </c>
      <c r="C82" s="53">
        <v>191.08</v>
      </c>
      <c r="D82" s="53">
        <v>319</v>
      </c>
      <c r="E82" s="54">
        <f>C82*D82</f>
        <v>60954.520000000004</v>
      </c>
      <c r="F82" s="54">
        <v>181.53008690000001</v>
      </c>
      <c r="G82" s="54">
        <v>52117.287948990008</v>
      </c>
      <c r="H82" s="54">
        <f>K82-F82</f>
        <v>0</v>
      </c>
      <c r="I82" s="54">
        <f t="shared" ref="I82" si="42">L82-G82</f>
        <v>0</v>
      </c>
      <c r="J82" s="531">
        <f>K82/C82</f>
        <v>0.95002138842369688</v>
      </c>
      <c r="K82" s="54">
        <f>'KCE Variation'!S341</f>
        <v>181.53008690000001</v>
      </c>
      <c r="L82" s="54">
        <f>K82*D82*$K$72</f>
        <v>52117.287948990008</v>
      </c>
    </row>
    <row r="83" spans="1:13">
      <c r="A83" s="79"/>
      <c r="B83" s="80"/>
      <c r="C83" s="53"/>
      <c r="D83" s="53"/>
      <c r="E83" s="54"/>
      <c r="F83" s="54"/>
      <c r="G83" s="54"/>
      <c r="H83" s="54"/>
      <c r="I83" s="54"/>
      <c r="J83" s="531"/>
      <c r="K83" s="54"/>
      <c r="L83" s="54"/>
    </row>
    <row r="84" spans="1:13" ht="39">
      <c r="A84" s="79">
        <v>27</v>
      </c>
      <c r="B84" s="317" t="s">
        <v>573</v>
      </c>
      <c r="C84" s="53"/>
      <c r="D84" s="53"/>
      <c r="E84" s="54"/>
      <c r="F84" s="54"/>
      <c r="G84" s="54"/>
      <c r="H84" s="54"/>
      <c r="I84" s="54"/>
      <c r="J84" s="531"/>
      <c r="K84" s="54"/>
      <c r="L84" s="54"/>
    </row>
    <row r="85" spans="1:13">
      <c r="A85" s="79">
        <v>27.1</v>
      </c>
      <c r="B85" s="80" t="s">
        <v>574</v>
      </c>
      <c r="C85" s="53">
        <v>38.451999999999998</v>
      </c>
      <c r="D85" s="53">
        <v>450</v>
      </c>
      <c r="E85" s="54">
        <f t="shared" ref="E85:E98" si="43">C85*D85</f>
        <v>17303.399999999998</v>
      </c>
      <c r="F85" s="54">
        <v>26.913468399999999</v>
      </c>
      <c r="G85" s="54">
        <v>10899.954702000001</v>
      </c>
      <c r="H85" s="54">
        <f>K85-F85</f>
        <v>0</v>
      </c>
      <c r="I85" s="54">
        <f t="shared" ref="I85:I87" si="44">L85-G85</f>
        <v>0</v>
      </c>
      <c r="J85" s="531">
        <f>K85/C85</f>
        <v>0.69992375949235408</v>
      </c>
      <c r="K85" s="54">
        <f>'KCE Variation'!S380</f>
        <v>26.913468399999999</v>
      </c>
      <c r="L85" s="54">
        <f>K85*D85*$K$72</f>
        <v>10899.954702000001</v>
      </c>
    </row>
    <row r="86" spans="1:13">
      <c r="A86" s="79">
        <v>27.2</v>
      </c>
      <c r="B86" s="80" t="s">
        <v>575</v>
      </c>
      <c r="C86" s="53">
        <v>-21.91</v>
      </c>
      <c r="D86" s="53">
        <v>319</v>
      </c>
      <c r="E86" s="54">
        <f t="shared" si="43"/>
        <v>-6989.29</v>
      </c>
      <c r="F86" s="54">
        <v>-15.335329570477478</v>
      </c>
      <c r="G86" s="54">
        <v>-4891.9701329823156</v>
      </c>
      <c r="H86" s="54">
        <f>K86-F86</f>
        <v>0</v>
      </c>
      <c r="I86" s="54">
        <f t="shared" ref="I86" si="45">L86-G86</f>
        <v>0</v>
      </c>
      <c r="J86" s="531">
        <f>J85</f>
        <v>0.69992375949235408</v>
      </c>
      <c r="K86" s="54">
        <f>J86*C86</f>
        <v>-15.335329570477478</v>
      </c>
      <c r="L86" s="54">
        <f>K86*D86</f>
        <v>-4891.9701329823156</v>
      </c>
    </row>
    <row r="87" spans="1:13">
      <c r="A87" s="79">
        <v>27.3</v>
      </c>
      <c r="B87" s="80" t="s">
        <v>574</v>
      </c>
      <c r="C87" s="53">
        <v>11.03</v>
      </c>
      <c r="D87" s="53">
        <v>450</v>
      </c>
      <c r="E87" s="54">
        <f t="shared" si="43"/>
        <v>4963.5</v>
      </c>
      <c r="F87" s="54">
        <v>7.721232399999999</v>
      </c>
      <c r="G87" s="54">
        <v>3127.0991219999996</v>
      </c>
      <c r="H87" s="54">
        <f>K87-F87</f>
        <v>0</v>
      </c>
      <c r="I87" s="54">
        <f t="shared" si="44"/>
        <v>0</v>
      </c>
      <c r="J87" s="531">
        <f>K87/C87</f>
        <v>0.7000210698096101</v>
      </c>
      <c r="K87" s="54">
        <f>'KCE Variation'!S397</f>
        <v>7.721232399999999</v>
      </c>
      <c r="L87" s="54">
        <f>K87*D87*$K$72</f>
        <v>3127.0991219999996</v>
      </c>
    </row>
    <row r="88" spans="1:13">
      <c r="A88" s="79">
        <v>27.4</v>
      </c>
      <c r="B88" s="80" t="s">
        <v>576</v>
      </c>
      <c r="C88" s="53">
        <v>77.95</v>
      </c>
      <c r="D88" s="53">
        <v>380</v>
      </c>
      <c r="E88" s="54">
        <f t="shared" si="43"/>
        <v>29621</v>
      </c>
      <c r="F88" s="54"/>
      <c r="G88" s="54"/>
      <c r="H88" s="54"/>
      <c r="I88" s="54"/>
      <c r="J88" s="531"/>
      <c r="K88" s="54"/>
      <c r="L88" s="54"/>
    </row>
    <row r="89" spans="1:13">
      <c r="A89" s="79">
        <v>27.5</v>
      </c>
      <c r="B89" s="80" t="s">
        <v>577</v>
      </c>
      <c r="C89" s="53">
        <v>-53.44</v>
      </c>
      <c r="D89" s="53">
        <v>450</v>
      </c>
      <c r="E89" s="54">
        <f t="shared" si="43"/>
        <v>-24048</v>
      </c>
      <c r="F89" s="54"/>
      <c r="G89" s="54"/>
      <c r="H89" s="54"/>
      <c r="I89" s="54"/>
      <c r="J89" s="531"/>
      <c r="K89" s="54"/>
      <c r="L89" s="54"/>
    </row>
    <row r="90" spans="1:13">
      <c r="A90" s="79">
        <v>27.6</v>
      </c>
      <c r="B90" s="80" t="s">
        <v>576</v>
      </c>
      <c r="C90" s="53">
        <v>33.380000000000003</v>
      </c>
      <c r="D90" s="53">
        <v>380</v>
      </c>
      <c r="E90" s="54">
        <f t="shared" si="43"/>
        <v>12684.400000000001</v>
      </c>
      <c r="F90" s="54"/>
      <c r="G90" s="54"/>
      <c r="H90" s="54"/>
      <c r="I90" s="54"/>
      <c r="J90" s="531"/>
      <c r="K90" s="54"/>
      <c r="L90" s="54"/>
    </row>
    <row r="91" spans="1:13">
      <c r="A91" s="79">
        <v>27.7</v>
      </c>
      <c r="B91" s="80" t="s">
        <v>575</v>
      </c>
      <c r="C91" s="53">
        <v>-23.22</v>
      </c>
      <c r="D91" s="53">
        <v>319</v>
      </c>
      <c r="E91" s="54">
        <f t="shared" si="43"/>
        <v>-7407.1799999999994</v>
      </c>
      <c r="F91" s="54"/>
      <c r="G91" s="54"/>
      <c r="H91" s="54"/>
      <c r="I91" s="54"/>
      <c r="J91" s="531"/>
      <c r="K91" s="54"/>
      <c r="L91" s="54"/>
    </row>
    <row r="92" spans="1:13">
      <c r="A92" s="79">
        <v>27.8</v>
      </c>
      <c r="B92" s="80" t="s">
        <v>576</v>
      </c>
      <c r="C92" s="53">
        <v>5.88</v>
      </c>
      <c r="D92" s="53">
        <v>380</v>
      </c>
      <c r="E92" s="54">
        <f t="shared" si="43"/>
        <v>2234.4</v>
      </c>
      <c r="F92" s="54"/>
      <c r="G92" s="54"/>
      <c r="H92" s="54"/>
      <c r="I92" s="54"/>
      <c r="J92" s="531"/>
      <c r="K92" s="54"/>
      <c r="L92" s="54"/>
    </row>
    <row r="93" spans="1:13">
      <c r="A93" s="573"/>
      <c r="B93" s="574"/>
      <c r="C93" s="575"/>
      <c r="D93" s="575"/>
      <c r="E93" s="576"/>
      <c r="F93" s="576"/>
      <c r="G93" s="576"/>
      <c r="H93" s="576"/>
      <c r="I93" s="576"/>
      <c r="J93" s="577"/>
      <c r="K93" s="576"/>
      <c r="L93" s="576"/>
    </row>
    <row r="94" spans="1:13">
      <c r="A94" s="573"/>
      <c r="B94" s="574" t="s">
        <v>625</v>
      </c>
      <c r="C94" s="575">
        <v>96</v>
      </c>
      <c r="D94" s="575">
        <v>385</v>
      </c>
      <c r="E94" s="54">
        <f t="shared" si="43"/>
        <v>36960</v>
      </c>
      <c r="F94" s="576"/>
      <c r="G94" s="576"/>
      <c r="H94" s="54">
        <f>K94-F94</f>
        <v>95.832000000000008</v>
      </c>
      <c r="I94" s="54">
        <f t="shared" ref="I94:I95" si="46">L94-G94</f>
        <v>33205.788</v>
      </c>
      <c r="J94" s="577">
        <v>0.5</v>
      </c>
      <c r="K94" s="576">
        <f>'KCE Variation'!S415</f>
        <v>95.832000000000008</v>
      </c>
      <c r="L94" s="54">
        <f>K94*D94*$K$72</f>
        <v>33205.788</v>
      </c>
      <c r="M94" t="s">
        <v>629</v>
      </c>
    </row>
    <row r="95" spans="1:13">
      <c r="A95" s="573"/>
      <c r="B95" s="574" t="s">
        <v>626</v>
      </c>
      <c r="C95" s="575">
        <v>25</v>
      </c>
      <c r="D95" s="575">
        <v>300</v>
      </c>
      <c r="E95" s="54">
        <f t="shared" si="43"/>
        <v>7500</v>
      </c>
      <c r="F95" s="576"/>
      <c r="G95" s="576"/>
      <c r="H95" s="54">
        <f>K95-F95</f>
        <v>24.902014999999999</v>
      </c>
      <c r="I95" s="54">
        <f t="shared" si="46"/>
        <v>6723.5440499999995</v>
      </c>
      <c r="J95" s="577">
        <v>0.5</v>
      </c>
      <c r="K95" s="576">
        <f>'KCE Variation'!U437</f>
        <v>24.902014999999999</v>
      </c>
      <c r="L95" s="54">
        <f>K95*D95*$K$72</f>
        <v>6723.5440499999995</v>
      </c>
      <c r="M95" t="s">
        <v>629</v>
      </c>
    </row>
    <row r="96" spans="1:13">
      <c r="A96" s="573"/>
      <c r="B96" s="574"/>
      <c r="C96" s="575"/>
      <c r="D96" s="575"/>
      <c r="E96" s="576"/>
      <c r="F96" s="576"/>
      <c r="G96" s="576"/>
      <c r="H96" s="576"/>
      <c r="I96" s="576"/>
      <c r="J96" s="577"/>
      <c r="K96" s="576"/>
      <c r="L96" s="576"/>
    </row>
    <row r="97" spans="1:13">
      <c r="A97" s="573"/>
      <c r="B97" s="574" t="s">
        <v>627</v>
      </c>
      <c r="C97" s="575">
        <v>62.28</v>
      </c>
      <c r="D97" s="575">
        <v>295</v>
      </c>
      <c r="E97" s="54">
        <f t="shared" si="43"/>
        <v>18372.599999999999</v>
      </c>
      <c r="F97" s="576"/>
      <c r="G97" s="576"/>
      <c r="H97" s="54">
        <f>K97-F97</f>
        <v>95.832000000000008</v>
      </c>
      <c r="I97" s="54">
        <f t="shared" ref="I97:I98" si="47">L97-G97</f>
        <v>25443.396000000004</v>
      </c>
      <c r="J97" s="577">
        <v>0.5</v>
      </c>
      <c r="K97" s="576">
        <f>'KCE Variation'!U455</f>
        <v>95.832000000000008</v>
      </c>
      <c r="L97" s="54">
        <f>K97*D97*$K$72</f>
        <v>25443.396000000004</v>
      </c>
      <c r="M97" t="s">
        <v>629</v>
      </c>
    </row>
    <row r="98" spans="1:13">
      <c r="A98" s="573"/>
      <c r="B98" s="574" t="s">
        <v>628</v>
      </c>
      <c r="C98" s="575">
        <v>6.6210000000000004</v>
      </c>
      <c r="D98" s="575">
        <v>300</v>
      </c>
      <c r="E98" s="54">
        <f t="shared" si="43"/>
        <v>1986.3000000000002</v>
      </c>
      <c r="F98" s="576"/>
      <c r="G98" s="576"/>
      <c r="H98" s="54">
        <f>K98-F98</f>
        <v>6.6211850000000005</v>
      </c>
      <c r="I98" s="54">
        <f t="shared" si="47"/>
        <v>1787.7199500000002</v>
      </c>
      <c r="J98" s="577">
        <v>0.5</v>
      </c>
      <c r="K98" s="576">
        <f>'KCE Variation'!U477</f>
        <v>6.6211850000000005</v>
      </c>
      <c r="L98" s="54">
        <f>K98*D98*$K$72</f>
        <v>1787.7199500000002</v>
      </c>
      <c r="M98" t="s">
        <v>629</v>
      </c>
    </row>
    <row r="99" spans="1:13">
      <c r="A99" s="573"/>
      <c r="B99" s="574"/>
      <c r="C99" s="575"/>
      <c r="D99" s="575"/>
      <c r="E99" s="576"/>
      <c r="F99" s="576"/>
      <c r="G99" s="576"/>
      <c r="H99" s="576"/>
      <c r="I99" s="576"/>
      <c r="J99" s="577"/>
      <c r="K99" s="576"/>
      <c r="L99" s="576"/>
    </row>
    <row r="100" spans="1:13">
      <c r="A100" s="573"/>
      <c r="B100" s="574"/>
      <c r="C100" s="575"/>
      <c r="D100" s="575"/>
      <c r="E100" s="576"/>
      <c r="F100" s="576"/>
      <c r="G100" s="576"/>
      <c r="H100" s="576"/>
      <c r="I100" s="576"/>
      <c r="J100" s="577"/>
      <c r="K100" s="576"/>
      <c r="L100" s="576"/>
    </row>
    <row r="101" spans="1:13">
      <c r="A101" s="573"/>
      <c r="B101" s="574"/>
      <c r="C101" s="575"/>
      <c r="D101" s="575"/>
      <c r="E101" s="576"/>
      <c r="F101" s="576"/>
      <c r="G101" s="576"/>
      <c r="H101" s="576"/>
      <c r="I101" s="576"/>
      <c r="J101" s="577"/>
      <c r="K101" s="576"/>
      <c r="L101" s="576"/>
    </row>
    <row r="102" spans="1:13">
      <c r="A102" s="82"/>
      <c r="B102" s="83"/>
      <c r="C102" s="84"/>
      <c r="D102" s="84"/>
      <c r="E102" s="519"/>
      <c r="F102" s="519"/>
      <c r="G102" s="519"/>
      <c r="H102" s="519"/>
      <c r="I102" s="519"/>
      <c r="J102" s="533"/>
      <c r="K102" s="519"/>
      <c r="L102" s="519"/>
    </row>
    <row r="103" spans="1:13">
      <c r="A103" s="55" t="s">
        <v>57</v>
      </c>
      <c r="B103" s="56"/>
      <c r="C103" s="57"/>
      <c r="D103" s="57"/>
      <c r="E103" s="58">
        <f>SUM(E31:E102)</f>
        <v>1361638.0449999999</v>
      </c>
      <c r="F103" s="58"/>
      <c r="G103" s="58">
        <f>SUM(G27:G102)</f>
        <v>645821.30732762231</v>
      </c>
      <c r="H103" s="58"/>
      <c r="I103" s="58">
        <f t="shared" si="4"/>
        <v>114141.82534999994</v>
      </c>
      <c r="J103" s="535">
        <f>L103/E103</f>
        <v>0.55812419127700141</v>
      </c>
      <c r="K103" s="58"/>
      <c r="L103" s="58">
        <f>SUM(L31:L102)</f>
        <v>759963.13267762226</v>
      </c>
    </row>
    <row r="105" spans="1:13">
      <c r="B105" s="212"/>
      <c r="C105" s="213"/>
      <c r="D105" s="213"/>
      <c r="E105" s="213"/>
    </row>
    <row r="106" spans="1:13">
      <c r="B106" s="212"/>
      <c r="C106" s="213"/>
      <c r="D106" s="213"/>
      <c r="E106" s="213"/>
    </row>
    <row r="107" spans="1:13">
      <c r="B107" s="212"/>
      <c r="C107" s="213"/>
      <c r="D107" s="213"/>
      <c r="E107" s="213"/>
    </row>
    <row r="108" spans="1:13">
      <c r="B108" s="212"/>
      <c r="C108" s="213"/>
      <c r="D108" s="213"/>
      <c r="E108" s="213"/>
    </row>
    <row r="109" spans="1:13" ht="28.75" customHeight="1">
      <c r="B109" s="212"/>
      <c r="C109" s="213"/>
      <c r="D109" s="213"/>
      <c r="E109" s="213"/>
    </row>
    <row r="110" spans="1:13">
      <c r="B110" s="211"/>
    </row>
    <row r="111" spans="1:13">
      <c r="B111" s="211"/>
    </row>
    <row r="112" spans="1:13">
      <c r="B112" s="211"/>
    </row>
    <row r="113" spans="2:2">
      <c r="B113" s="211"/>
    </row>
  </sheetData>
  <mergeCells count="6">
    <mergeCell ref="H4:I4"/>
    <mergeCell ref="J4:L4"/>
    <mergeCell ref="A4:A5"/>
    <mergeCell ref="B4:B5"/>
    <mergeCell ref="C4:E4"/>
    <mergeCell ref="F4:G4"/>
  </mergeCells>
  <conditionalFormatting sqref="J6:J25 J27:J102">
    <cfRule type="cellIs" dxfId="0" priority="1" operator="greaterThanOrEqual">
      <formula>1</formula>
    </cfRule>
  </conditionalFormatting>
  <pageMargins left="0.25" right="0.25" top="0.75" bottom="0.75" header="0.3" footer="0.3"/>
  <pageSetup paperSize="9" scale="58" fitToHeight="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V81"/>
  <sheetViews>
    <sheetView view="pageBreakPreview" topLeftCell="A7" zoomScale="92" zoomScaleNormal="100" zoomScaleSheetLayoutView="92" workbookViewId="0">
      <selection activeCell="E7" sqref="E7"/>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22.54296875" style="89" customWidth="1"/>
    <col min="7" max="7" width="10" style="89" customWidth="1"/>
    <col min="8" max="8" width="4" style="89" bestFit="1" customWidth="1"/>
    <col min="9" max="9" width="8" style="89" bestFit="1" customWidth="1"/>
    <col min="10" max="10" width="8" style="89"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7" width="12.08984375" style="136" customWidth="1"/>
    <col min="18" max="18" width="12.08984375" style="145" customWidth="1"/>
    <col min="19" max="19" width="12.08984375" style="200" customWidth="1"/>
    <col min="20" max="20" width="12.08984375" style="136" customWidth="1"/>
    <col min="21" max="21" width="15.6328125" style="136" customWidth="1"/>
    <col min="22" max="16384" width="9.08984375" style="89"/>
  </cols>
  <sheetData>
    <row r="1" spans="2:22"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39" t="s">
        <v>105</v>
      </c>
      <c r="S1" s="189" t="s">
        <v>106</v>
      </c>
      <c r="T1" s="190" t="s">
        <v>80</v>
      </c>
      <c r="U1" s="189" t="s">
        <v>81</v>
      </c>
    </row>
    <row r="2" spans="2:22" ht="15" thickBot="1">
      <c r="B2" s="94" t="str">
        <f>VARIATIONS!B6</f>
        <v xml:space="preserve">RPJV-JOT-VOR-001 Rev00 </v>
      </c>
      <c r="C2" s="95"/>
      <c r="D2" s="95"/>
      <c r="E2" s="95"/>
      <c r="F2" s="95"/>
      <c r="G2" s="96"/>
      <c r="H2" s="97" t="s">
        <v>70</v>
      </c>
      <c r="I2" s="98" t="s">
        <v>83</v>
      </c>
      <c r="J2" s="173" t="s">
        <v>152</v>
      </c>
      <c r="K2" s="99" t="s">
        <v>85</v>
      </c>
      <c r="L2" s="100"/>
      <c r="M2" s="101" t="s">
        <v>70</v>
      </c>
      <c r="N2" s="98" t="s">
        <v>83</v>
      </c>
      <c r="O2" s="98" t="s">
        <v>84</v>
      </c>
      <c r="P2" s="99" t="s">
        <v>85</v>
      </c>
      <c r="Q2" s="191"/>
      <c r="R2" s="140"/>
      <c r="S2" s="191"/>
      <c r="T2" s="192"/>
      <c r="U2" s="191" t="s">
        <v>86</v>
      </c>
    </row>
    <row r="3" spans="2:22">
      <c r="B3" s="103"/>
      <c r="C3" s="104"/>
      <c r="D3" s="104"/>
      <c r="E3" s="104"/>
      <c r="F3" s="105"/>
      <c r="G3" s="105"/>
      <c r="H3" s="103"/>
      <c r="I3" s="106"/>
      <c r="J3" s="174"/>
      <c r="K3" s="107"/>
      <c r="L3" s="108"/>
      <c r="M3" s="109"/>
      <c r="N3" s="104"/>
      <c r="O3" s="104"/>
      <c r="P3" s="107"/>
      <c r="Q3" s="202"/>
      <c r="R3" s="431"/>
      <c r="S3" s="187"/>
      <c r="T3" s="447"/>
      <c r="U3" s="448"/>
    </row>
    <row r="4" spans="2:22">
      <c r="B4" s="178">
        <v>1</v>
      </c>
      <c r="C4" s="112" t="s">
        <v>153</v>
      </c>
      <c r="D4" s="111" t="s">
        <v>127</v>
      </c>
      <c r="E4" s="111" t="s">
        <v>154</v>
      </c>
      <c r="F4" s="113" t="s">
        <v>129</v>
      </c>
      <c r="G4" s="114" t="s">
        <v>155</v>
      </c>
      <c r="H4" s="115">
        <v>1</v>
      </c>
      <c r="I4" s="116">
        <v>25.15</v>
      </c>
      <c r="J4" s="175">
        <v>1.4</v>
      </c>
      <c r="K4" s="118">
        <f>H4*I4*J4</f>
        <v>35.209999999999994</v>
      </c>
      <c r="L4" s="119"/>
      <c r="M4" s="120">
        <v>0</v>
      </c>
      <c r="N4" s="121">
        <v>0</v>
      </c>
      <c r="O4" s="121">
        <v>0</v>
      </c>
      <c r="P4" s="122">
        <f>M4*N4*O4</f>
        <v>0</v>
      </c>
      <c r="Q4" s="202">
        <f>K4-P4</f>
        <v>35.209999999999994</v>
      </c>
      <c r="R4" s="431">
        <v>1</v>
      </c>
      <c r="S4" s="485">
        <f>R4*Q4</f>
        <v>35.209999999999994</v>
      </c>
      <c r="T4" s="447">
        <v>35.209999999999994</v>
      </c>
      <c r="U4" s="448">
        <f>S4-T4</f>
        <v>0</v>
      </c>
    </row>
    <row r="5" spans="2:22">
      <c r="B5" s="178"/>
      <c r="C5" s="112" t="s">
        <v>135</v>
      </c>
      <c r="D5" s="111"/>
      <c r="E5" s="111"/>
      <c r="F5" s="113"/>
      <c r="G5" s="114"/>
      <c r="H5" s="115"/>
      <c r="I5" s="116"/>
      <c r="J5" s="175"/>
      <c r="K5" s="118"/>
      <c r="L5" s="119"/>
      <c r="M5" s="120"/>
      <c r="N5" s="121"/>
      <c r="O5" s="121"/>
      <c r="P5" s="122"/>
      <c r="Q5" s="202"/>
      <c r="R5" s="431"/>
      <c r="S5" s="187"/>
      <c r="T5" s="447"/>
      <c r="U5" s="448"/>
    </row>
    <row r="6" spans="2:22">
      <c r="B6" s="178"/>
      <c r="C6" s="112"/>
      <c r="D6" s="112"/>
      <c r="E6" s="112"/>
      <c r="F6" s="176"/>
      <c r="G6" s="177"/>
      <c r="H6" s="178"/>
      <c r="I6" s="179"/>
      <c r="J6" s="180"/>
      <c r="K6" s="181"/>
      <c r="L6" s="85"/>
      <c r="M6" s="182"/>
      <c r="N6" s="183"/>
      <c r="O6" s="183"/>
      <c r="P6" s="184"/>
      <c r="Q6" s="202"/>
      <c r="R6" s="431"/>
      <c r="S6" s="187"/>
      <c r="T6" s="447"/>
      <c r="U6" s="448"/>
    </row>
    <row r="7" spans="2:22">
      <c r="B7" s="178">
        <v>2</v>
      </c>
      <c r="C7" s="112" t="s">
        <v>153</v>
      </c>
      <c r="D7" s="112" t="s">
        <v>127</v>
      </c>
      <c r="E7" s="112" t="s">
        <v>156</v>
      </c>
      <c r="F7" s="176" t="s">
        <v>157</v>
      </c>
      <c r="G7" s="177"/>
      <c r="H7" s="178">
        <v>1</v>
      </c>
      <c r="I7" s="179">
        <v>28.9</v>
      </c>
      <c r="J7" s="180">
        <v>1.4</v>
      </c>
      <c r="K7" s="181">
        <f>H7*I7*J7</f>
        <v>40.459999999999994</v>
      </c>
      <c r="L7" s="85"/>
      <c r="M7" s="182">
        <v>0</v>
      </c>
      <c r="N7" s="183">
        <v>0</v>
      </c>
      <c r="O7" s="183">
        <v>0</v>
      </c>
      <c r="P7" s="184">
        <v>0</v>
      </c>
      <c r="Q7" s="202">
        <f>K7-P7</f>
        <v>40.459999999999994</v>
      </c>
      <c r="R7" s="431">
        <v>1</v>
      </c>
      <c r="S7" s="187">
        <f>R7*Q7</f>
        <v>40.459999999999994</v>
      </c>
      <c r="T7" s="447">
        <v>40.459999999999994</v>
      </c>
      <c r="U7" s="448">
        <f>S7-T7</f>
        <v>0</v>
      </c>
    </row>
    <row r="8" spans="2:22">
      <c r="B8" s="178"/>
      <c r="C8" s="112" t="s">
        <v>158</v>
      </c>
      <c r="D8" s="112"/>
      <c r="E8" s="112"/>
      <c r="F8" s="176"/>
      <c r="G8" s="177"/>
      <c r="H8" s="178"/>
      <c r="I8" s="179"/>
      <c r="J8" s="180"/>
      <c r="K8" s="181"/>
      <c r="L8" s="85"/>
      <c r="M8" s="182"/>
      <c r="N8" s="183"/>
      <c r="O8" s="183"/>
      <c r="P8" s="184"/>
      <c r="Q8" s="202"/>
      <c r="R8" s="431"/>
      <c r="S8" s="187"/>
      <c r="T8" s="447"/>
      <c r="U8" s="448"/>
    </row>
    <row r="9" spans="2:22">
      <c r="B9" s="115"/>
      <c r="C9" s="112"/>
      <c r="D9" s="185"/>
      <c r="E9" s="112"/>
      <c r="F9" s="176"/>
      <c r="G9" s="177"/>
      <c r="H9" s="178"/>
      <c r="I9" s="179"/>
      <c r="J9" s="180"/>
      <c r="K9" s="181"/>
      <c r="L9" s="85"/>
      <c r="M9" s="182"/>
      <c r="N9" s="183"/>
      <c r="O9" s="183"/>
      <c r="P9" s="184"/>
      <c r="Q9" s="202"/>
      <c r="R9" s="431"/>
      <c r="S9" s="187"/>
      <c r="T9" s="447"/>
      <c r="U9" s="448"/>
    </row>
    <row r="10" spans="2:22" customFormat="1">
      <c r="B10" s="178">
        <v>3</v>
      </c>
      <c r="C10" s="112" t="s">
        <v>162</v>
      </c>
      <c r="D10" s="112" t="s">
        <v>127</v>
      </c>
      <c r="E10" s="112" t="s">
        <v>163</v>
      </c>
      <c r="F10" s="176" t="s">
        <v>164</v>
      </c>
      <c r="G10" s="177"/>
      <c r="H10" s="178">
        <v>1</v>
      </c>
      <c r="I10" s="179">
        <v>23.19</v>
      </c>
      <c r="J10" s="180">
        <v>1.4</v>
      </c>
      <c r="K10" s="181">
        <v>32.47</v>
      </c>
      <c r="L10" s="85"/>
      <c r="M10" s="182">
        <v>0</v>
      </c>
      <c r="N10" s="183">
        <v>0</v>
      </c>
      <c r="O10" s="183">
        <v>0</v>
      </c>
      <c r="P10" s="184">
        <v>0</v>
      </c>
      <c r="Q10" s="358">
        <v>32.47</v>
      </c>
      <c r="R10" s="431">
        <v>0.2</v>
      </c>
      <c r="S10" s="195">
        <f>R10*Q10</f>
        <v>6.4939999999999998</v>
      </c>
      <c r="T10" s="447">
        <v>6.4939999999999998</v>
      </c>
      <c r="U10" s="448">
        <f>S10-T10</f>
        <v>0</v>
      </c>
    </row>
    <row r="11" spans="2:22" customFormat="1">
      <c r="B11" s="178"/>
      <c r="C11" s="112" t="s">
        <v>165</v>
      </c>
      <c r="D11" s="112"/>
      <c r="E11" s="112"/>
      <c r="F11" s="176"/>
      <c r="G11" s="177"/>
      <c r="H11" s="178"/>
      <c r="I11" s="179"/>
      <c r="J11" s="180"/>
      <c r="K11" s="181"/>
      <c r="L11" s="85"/>
      <c r="M11" s="182"/>
      <c r="N11" s="183"/>
      <c r="O11" s="183"/>
      <c r="P11" s="184"/>
      <c r="Q11" s="358"/>
      <c r="R11" s="431"/>
      <c r="S11" s="195"/>
      <c r="T11" s="447"/>
      <c r="U11" s="448"/>
    </row>
    <row r="12" spans="2:22" customFormat="1">
      <c r="B12" s="178"/>
      <c r="C12" s="112"/>
      <c r="D12" s="185"/>
      <c r="E12" s="112"/>
      <c r="F12" s="176"/>
      <c r="G12" s="177"/>
      <c r="H12" s="178"/>
      <c r="I12" s="179"/>
      <c r="J12" s="180"/>
      <c r="K12" s="181"/>
      <c r="L12" s="85"/>
      <c r="M12" s="182"/>
      <c r="N12" s="183"/>
      <c r="O12" s="183"/>
      <c r="P12" s="184"/>
      <c r="Q12" s="358"/>
      <c r="R12" s="431"/>
      <c r="S12" s="195"/>
      <c r="T12" s="447"/>
      <c r="U12" s="448"/>
    </row>
    <row r="13" spans="2:22" customFormat="1">
      <c r="B13" s="178">
        <v>4</v>
      </c>
      <c r="C13" s="112" t="s">
        <v>207</v>
      </c>
      <c r="D13" s="276" t="s">
        <v>127</v>
      </c>
      <c r="E13" s="112" t="s">
        <v>208</v>
      </c>
      <c r="F13" s="176" t="s">
        <v>209</v>
      </c>
      <c r="G13" s="177"/>
      <c r="H13" s="178">
        <v>1</v>
      </c>
      <c r="I13" s="179">
        <v>2.8769999999999998</v>
      </c>
      <c r="J13" s="180">
        <v>1.4</v>
      </c>
      <c r="K13" s="181">
        <f t="shared" ref="K13" si="0">H13*I13*J13</f>
        <v>4.0277999999999992</v>
      </c>
      <c r="L13" s="85"/>
      <c r="M13" s="182">
        <v>0</v>
      </c>
      <c r="N13" s="183">
        <v>0</v>
      </c>
      <c r="O13" s="183">
        <v>0</v>
      </c>
      <c r="P13" s="184">
        <v>0</v>
      </c>
      <c r="Q13" s="358">
        <f t="shared" ref="Q13" si="1">K13-P13</f>
        <v>4.0277999999999992</v>
      </c>
      <c r="R13" s="431">
        <v>0.7</v>
      </c>
      <c r="S13" s="341">
        <f t="shared" ref="S13" si="2">R13*Q13</f>
        <v>2.8194599999999994</v>
      </c>
      <c r="T13" s="447">
        <v>2.8194599999999994</v>
      </c>
      <c r="U13" s="448">
        <f t="shared" ref="U13" si="3">S13-T13</f>
        <v>0</v>
      </c>
      <c r="V13" s="277"/>
    </row>
    <row r="14" spans="2:22" customFormat="1">
      <c r="B14" s="178"/>
      <c r="C14" s="112" t="s">
        <v>210</v>
      </c>
      <c r="D14" s="112"/>
      <c r="E14" s="112"/>
      <c r="F14" s="176"/>
      <c r="G14" s="177"/>
      <c r="H14" s="178"/>
      <c r="I14" s="179"/>
      <c r="J14" s="180"/>
      <c r="K14" s="180"/>
      <c r="L14" s="277"/>
      <c r="M14" s="278"/>
      <c r="N14" s="183"/>
      <c r="O14" s="183"/>
      <c r="P14" s="184"/>
      <c r="Q14" s="358"/>
      <c r="R14" s="431"/>
      <c r="S14" s="195"/>
      <c r="T14" s="447"/>
      <c r="U14" s="448"/>
      <c r="V14" s="277"/>
    </row>
    <row r="15" spans="2:22">
      <c r="B15" s="115"/>
      <c r="C15" s="111"/>
      <c r="D15" s="123"/>
      <c r="E15" s="111"/>
      <c r="F15" s="113"/>
      <c r="G15" s="114"/>
      <c r="H15" s="115"/>
      <c r="I15" s="116"/>
      <c r="J15" s="175"/>
      <c r="K15" s="118"/>
      <c r="L15" s="119"/>
      <c r="M15" s="120"/>
      <c r="N15" s="121"/>
      <c r="O15" s="121"/>
      <c r="P15" s="122"/>
      <c r="Q15" s="186"/>
      <c r="R15" s="431"/>
      <c r="S15" s="187"/>
      <c r="T15" s="447"/>
      <c r="U15" s="448"/>
    </row>
    <row r="16" spans="2:22">
      <c r="B16" s="306">
        <v>6</v>
      </c>
      <c r="C16" s="153" t="s">
        <v>153</v>
      </c>
      <c r="D16" s="146" t="s">
        <v>127</v>
      </c>
      <c r="E16" s="111" t="s">
        <v>427</v>
      </c>
      <c r="F16" s="147" t="s">
        <v>129</v>
      </c>
      <c r="G16" s="148" t="s">
        <v>428</v>
      </c>
      <c r="H16" s="149">
        <v>1</v>
      </c>
      <c r="I16" s="151">
        <v>30.7</v>
      </c>
      <c r="J16" s="151">
        <v>1.1000000000000001</v>
      </c>
      <c r="K16" s="118">
        <f>H16*I16*J16</f>
        <v>33.770000000000003</v>
      </c>
      <c r="L16" s="154"/>
      <c r="M16" s="120">
        <v>0</v>
      </c>
      <c r="N16" s="121">
        <v>0</v>
      </c>
      <c r="O16" s="121">
        <v>0</v>
      </c>
      <c r="P16" s="122">
        <f>M16*N16*O16</f>
        <v>0</v>
      </c>
      <c r="Q16" s="188">
        <f>K16-P16</f>
        <v>33.770000000000003</v>
      </c>
      <c r="R16" s="431">
        <v>1</v>
      </c>
      <c r="S16" s="327">
        <f>Q16*R16</f>
        <v>33.770000000000003</v>
      </c>
      <c r="T16" s="447">
        <v>33.770000000000003</v>
      </c>
      <c r="U16" s="448">
        <f>S16-T16</f>
        <v>0</v>
      </c>
      <c r="V16" s="245"/>
    </row>
    <row r="17" spans="2:22" ht="15" customHeight="1" thickBot="1">
      <c r="B17" s="468"/>
      <c r="C17" s="153" t="s">
        <v>429</v>
      </c>
      <c r="D17" s="146"/>
      <c r="E17" s="146"/>
      <c r="F17" s="147"/>
      <c r="G17" s="148"/>
      <c r="H17" s="149"/>
      <c r="I17" s="151"/>
      <c r="J17" s="151"/>
      <c r="K17" s="118"/>
      <c r="L17" s="154"/>
      <c r="M17" s="463"/>
      <c r="N17" s="368"/>
      <c r="O17" s="368"/>
      <c r="P17" s="464"/>
      <c r="Q17" s="336"/>
      <c r="R17" s="431"/>
      <c r="S17" s="187"/>
      <c r="T17" s="445"/>
      <c r="U17" s="448"/>
      <c r="V17" s="245"/>
    </row>
    <row r="18" spans="2:22">
      <c r="B18" s="306"/>
      <c r="C18" s="150"/>
      <c r="D18" s="111"/>
      <c r="E18" s="111"/>
      <c r="F18" s="113"/>
      <c r="G18" s="148"/>
      <c r="H18" s="149"/>
      <c r="I18" s="151"/>
      <c r="J18" s="116"/>
      <c r="K18" s="118"/>
      <c r="L18" s="155"/>
      <c r="M18" s="158"/>
      <c r="N18" s="159"/>
      <c r="O18" s="159"/>
      <c r="P18" s="160"/>
      <c r="Q18" s="336"/>
      <c r="R18" s="431"/>
      <c r="S18" s="187"/>
      <c r="T18" s="445"/>
      <c r="U18" s="467"/>
      <c r="V18" s="245"/>
    </row>
    <row r="19" spans="2:22">
      <c r="B19" s="306">
        <v>10</v>
      </c>
      <c r="C19" s="153" t="s">
        <v>153</v>
      </c>
      <c r="D19" s="146" t="s">
        <v>127</v>
      </c>
      <c r="E19" s="146" t="s">
        <v>440</v>
      </c>
      <c r="F19" s="147" t="s">
        <v>129</v>
      </c>
      <c r="G19" s="148" t="s">
        <v>441</v>
      </c>
      <c r="H19" s="149">
        <v>1</v>
      </c>
      <c r="I19" s="151">
        <v>49.2</v>
      </c>
      <c r="J19" s="151">
        <v>1.1000000000000001</v>
      </c>
      <c r="K19" s="118">
        <f>H19*I19*J19</f>
        <v>54.120000000000005</v>
      </c>
      <c r="L19" s="154"/>
      <c r="M19" s="120">
        <v>0</v>
      </c>
      <c r="N19" s="121">
        <v>0</v>
      </c>
      <c r="O19" s="121">
        <v>0</v>
      </c>
      <c r="P19" s="122">
        <f>M19*N19*O19</f>
        <v>0</v>
      </c>
      <c r="Q19" s="336">
        <f>K19-P19</f>
        <v>54.120000000000005</v>
      </c>
      <c r="R19" s="361">
        <v>1</v>
      </c>
      <c r="S19" s="327">
        <f>Q19*R19</f>
        <v>54.120000000000005</v>
      </c>
      <c r="T19" s="447">
        <v>54.12</v>
      </c>
      <c r="U19" s="448">
        <f>S19-T19</f>
        <v>0</v>
      </c>
      <c r="V19" s="245"/>
    </row>
    <row r="20" spans="2:22">
      <c r="B20" s="306"/>
      <c r="C20" s="150" t="s">
        <v>135</v>
      </c>
      <c r="D20" s="146"/>
      <c r="E20" s="146"/>
      <c r="F20" s="147"/>
      <c r="G20" s="148"/>
      <c r="H20" s="149"/>
      <c r="I20" s="151"/>
      <c r="J20" s="151"/>
      <c r="K20" s="118"/>
      <c r="L20" s="154"/>
      <c r="M20" s="463"/>
      <c r="N20" s="368"/>
      <c r="O20" s="368"/>
      <c r="P20" s="464"/>
      <c r="Q20" s="336"/>
      <c r="R20" s="361"/>
      <c r="S20" s="327"/>
      <c r="T20" s="447"/>
      <c r="U20" s="448"/>
      <c r="V20" s="245"/>
    </row>
    <row r="21" spans="2:22" ht="15" thickBot="1">
      <c r="B21" s="306"/>
      <c r="C21" s="153"/>
      <c r="D21" s="146"/>
      <c r="E21" s="146"/>
      <c r="F21" s="147"/>
      <c r="G21" s="148"/>
      <c r="H21" s="149"/>
      <c r="I21" s="151"/>
      <c r="J21" s="151"/>
      <c r="K21" s="118"/>
      <c r="L21" s="154"/>
      <c r="M21" s="463"/>
      <c r="N21" s="368"/>
      <c r="O21" s="368"/>
      <c r="P21" s="464"/>
      <c r="Q21" s="336"/>
      <c r="R21" s="361"/>
      <c r="S21" s="327"/>
      <c r="T21" s="447"/>
      <c r="U21" s="448"/>
      <c r="V21" s="245"/>
    </row>
    <row r="22" spans="2:22">
      <c r="B22" s="469">
        <v>14</v>
      </c>
      <c r="C22" s="150" t="s">
        <v>451</v>
      </c>
      <c r="D22" s="146" t="s">
        <v>127</v>
      </c>
      <c r="E22" s="111" t="s">
        <v>452</v>
      </c>
      <c r="F22" s="111" t="s">
        <v>453</v>
      </c>
      <c r="G22" s="114" t="s">
        <v>454</v>
      </c>
      <c r="H22" s="115">
        <v>1</v>
      </c>
      <c r="I22" s="116">
        <v>34.92</v>
      </c>
      <c r="J22" s="116">
        <v>1.4</v>
      </c>
      <c r="K22" s="118">
        <f>H22*I22*J22</f>
        <v>48.887999999999998</v>
      </c>
      <c r="L22" s="155"/>
      <c r="M22" s="158">
        <v>0</v>
      </c>
      <c r="N22" s="465">
        <v>0</v>
      </c>
      <c r="O22" s="465">
        <v>0</v>
      </c>
      <c r="P22" s="466">
        <v>0</v>
      </c>
      <c r="Q22" s="336">
        <f>SUM(K22:K23)-P22</f>
        <v>48.887999999999998</v>
      </c>
      <c r="R22" s="361">
        <v>0.9</v>
      </c>
      <c r="S22" s="327">
        <f>Q22*R22</f>
        <v>43.999200000000002</v>
      </c>
      <c r="T22" s="447">
        <v>43.999200000000002</v>
      </c>
      <c r="U22" s="448">
        <f>S22-T22</f>
        <v>0</v>
      </c>
      <c r="V22" s="245" t="s">
        <v>455</v>
      </c>
    </row>
    <row r="23" spans="2:22">
      <c r="B23" s="271"/>
      <c r="C23" s="150" t="s">
        <v>456</v>
      </c>
      <c r="D23" s="150"/>
      <c r="E23" s="111"/>
      <c r="F23" s="111"/>
      <c r="G23" s="114"/>
      <c r="H23" s="115"/>
      <c r="I23" s="116"/>
      <c r="J23" s="116"/>
      <c r="K23" s="118"/>
      <c r="L23" s="155"/>
      <c r="M23" s="158"/>
      <c r="N23" s="159"/>
      <c r="O23" s="159"/>
      <c r="P23" s="160"/>
      <c r="Q23" s="336"/>
      <c r="R23" s="361"/>
      <c r="S23" s="327"/>
      <c r="T23" s="447"/>
      <c r="U23" s="448"/>
      <c r="V23" s="245" t="s">
        <v>457</v>
      </c>
    </row>
    <row r="24" spans="2:22">
      <c r="B24" s="271"/>
      <c r="C24" s="150"/>
      <c r="D24" s="123"/>
      <c r="E24" s="111"/>
      <c r="F24" s="113"/>
      <c r="G24" s="114"/>
      <c r="H24" s="115"/>
      <c r="I24" s="116"/>
      <c r="J24" s="117"/>
      <c r="K24" s="118"/>
      <c r="L24" s="119"/>
      <c r="M24" s="158"/>
      <c r="N24" s="159"/>
      <c r="O24" s="159"/>
      <c r="P24" s="160"/>
      <c r="Q24" s="186"/>
      <c r="R24" s="361"/>
      <c r="S24" s="327"/>
      <c r="T24" s="447"/>
      <c r="U24" s="448"/>
      <c r="V24" s="245"/>
    </row>
    <row r="25" spans="2:22">
      <c r="B25" s="470">
        <v>1</v>
      </c>
      <c r="C25" s="459" t="s">
        <v>414</v>
      </c>
      <c r="D25" s="460" t="s">
        <v>415</v>
      </c>
      <c r="E25" s="123" t="s">
        <v>416</v>
      </c>
      <c r="F25" s="123" t="s">
        <v>417</v>
      </c>
      <c r="G25" s="461" t="s">
        <v>418</v>
      </c>
      <c r="H25" s="462">
        <v>1</v>
      </c>
      <c r="I25" s="117">
        <v>9</v>
      </c>
      <c r="J25" s="117">
        <v>1.4</v>
      </c>
      <c r="K25" s="162">
        <f>H25*I25*J25</f>
        <v>12.6</v>
      </c>
      <c r="L25" s="119"/>
      <c r="M25" s="120">
        <v>0</v>
      </c>
      <c r="N25" s="121">
        <v>0</v>
      </c>
      <c r="O25" s="121">
        <v>0</v>
      </c>
      <c r="P25" s="122">
        <f>M25*N25*O25</f>
        <v>0</v>
      </c>
      <c r="Q25" s="188">
        <f>K25</f>
        <v>12.6</v>
      </c>
      <c r="R25" s="361">
        <v>1</v>
      </c>
      <c r="S25" s="187">
        <f>Q25*R25</f>
        <v>12.6</v>
      </c>
      <c r="T25" s="445">
        <v>12.6</v>
      </c>
      <c r="U25" s="467">
        <f>S25-T25</f>
        <v>0</v>
      </c>
      <c r="V25" s="245"/>
    </row>
    <row r="26" spans="2:22">
      <c r="B26" s="271"/>
      <c r="C26" s="150" t="s">
        <v>419</v>
      </c>
      <c r="D26" s="111"/>
      <c r="E26" s="111"/>
      <c r="F26" s="111"/>
      <c r="G26" s="232"/>
      <c r="H26" s="115"/>
      <c r="I26" s="116"/>
      <c r="J26" s="117"/>
      <c r="K26" s="118"/>
      <c r="L26" s="119"/>
      <c r="M26" s="120"/>
      <c r="N26" s="121"/>
      <c r="O26" s="121"/>
      <c r="P26" s="122"/>
      <c r="Q26" s="188"/>
      <c r="R26" s="361"/>
      <c r="S26" s="187"/>
      <c r="T26" s="445"/>
      <c r="U26" s="467"/>
      <c r="V26" s="245"/>
    </row>
    <row r="27" spans="2:22">
      <c r="B27" s="271"/>
      <c r="C27" s="150"/>
      <c r="D27" s="111"/>
      <c r="E27" s="111"/>
      <c r="F27" s="111"/>
      <c r="G27" s="232"/>
      <c r="H27" s="115"/>
      <c r="I27" s="116"/>
      <c r="J27" s="117"/>
      <c r="K27" s="118"/>
      <c r="L27" s="119"/>
      <c r="M27" s="120"/>
      <c r="N27" s="121"/>
      <c r="O27" s="121"/>
      <c r="P27" s="122"/>
      <c r="Q27" s="188"/>
      <c r="R27" s="431"/>
      <c r="S27" s="187"/>
      <c r="T27" s="445"/>
      <c r="U27" s="467"/>
      <c r="V27" s="245"/>
    </row>
    <row r="28" spans="2:22">
      <c r="B28" s="271">
        <v>4</v>
      </c>
      <c r="C28" s="150" t="s">
        <v>414</v>
      </c>
      <c r="D28" s="111" t="s">
        <v>420</v>
      </c>
      <c r="E28" s="111" t="s">
        <v>421</v>
      </c>
      <c r="F28" s="113" t="s">
        <v>417</v>
      </c>
      <c r="G28" s="114" t="s">
        <v>422</v>
      </c>
      <c r="H28" s="115">
        <v>1</v>
      </c>
      <c r="I28" s="116">
        <v>16.5</v>
      </c>
      <c r="J28" s="116">
        <v>1.4</v>
      </c>
      <c r="K28" s="118">
        <f>H28*I28*J28</f>
        <v>23.099999999999998</v>
      </c>
      <c r="L28" s="119"/>
      <c r="M28" s="120">
        <v>0</v>
      </c>
      <c r="N28" s="121">
        <v>0</v>
      </c>
      <c r="O28" s="121">
        <v>0</v>
      </c>
      <c r="P28" s="122">
        <f>M28*N28*O28</f>
        <v>0</v>
      </c>
      <c r="Q28" s="188">
        <f>K28-P28</f>
        <v>23.099999999999998</v>
      </c>
      <c r="R28" s="431">
        <v>1</v>
      </c>
      <c r="S28" s="327">
        <f>Q28*R28</f>
        <v>23.099999999999998</v>
      </c>
      <c r="T28" s="447">
        <v>23.1</v>
      </c>
      <c r="U28" s="448">
        <f>S28-T28</f>
        <v>0</v>
      </c>
      <c r="V28" s="245"/>
    </row>
    <row r="29" spans="2:22">
      <c r="B29" s="271"/>
      <c r="C29" s="150" t="s">
        <v>423</v>
      </c>
      <c r="D29" s="111"/>
      <c r="E29" s="112"/>
      <c r="F29" s="113"/>
      <c r="G29" s="114"/>
      <c r="H29" s="115"/>
      <c r="I29" s="116"/>
      <c r="J29" s="117"/>
      <c r="K29" s="118"/>
      <c r="L29" s="119"/>
      <c r="M29" s="120"/>
      <c r="N29" s="121"/>
      <c r="O29" s="121"/>
      <c r="P29" s="122"/>
      <c r="Q29" s="188"/>
      <c r="R29" s="431"/>
      <c r="S29" s="187"/>
      <c r="T29" s="445"/>
      <c r="U29" s="467"/>
      <c r="V29" s="245"/>
    </row>
    <row r="30" spans="2:22">
      <c r="B30" s="306"/>
      <c r="C30" s="153"/>
      <c r="D30" s="146"/>
      <c r="E30" s="156"/>
      <c r="F30" s="147"/>
      <c r="G30" s="148"/>
      <c r="H30" s="149"/>
      <c r="I30" s="151"/>
      <c r="J30" s="116"/>
      <c r="K30" s="118"/>
      <c r="L30" s="155"/>
      <c r="M30" s="158"/>
      <c r="N30" s="159"/>
      <c r="O30" s="159"/>
      <c r="P30" s="160"/>
      <c r="Q30" s="188"/>
      <c r="R30" s="431"/>
      <c r="S30" s="187"/>
      <c r="T30" s="445"/>
      <c r="U30" s="467"/>
      <c r="V30" s="245"/>
    </row>
    <row r="31" spans="2:22">
      <c r="B31" s="306">
        <v>5</v>
      </c>
      <c r="C31" s="150" t="s">
        <v>414</v>
      </c>
      <c r="D31" s="111" t="s">
        <v>420</v>
      </c>
      <c r="E31" s="112" t="s">
        <v>424</v>
      </c>
      <c r="F31" s="113" t="s">
        <v>417</v>
      </c>
      <c r="G31" s="148" t="s">
        <v>425</v>
      </c>
      <c r="H31" s="149">
        <v>1</v>
      </c>
      <c r="I31" s="151">
        <v>45</v>
      </c>
      <c r="J31" s="116">
        <v>1.4</v>
      </c>
      <c r="K31" s="118">
        <f>H31*I31*J31</f>
        <v>62.999999999999993</v>
      </c>
      <c r="L31" s="155"/>
      <c r="M31" s="120">
        <v>0</v>
      </c>
      <c r="N31" s="121">
        <v>0</v>
      </c>
      <c r="O31" s="121">
        <v>0</v>
      </c>
      <c r="P31" s="122">
        <f>M31*N31*O31</f>
        <v>0</v>
      </c>
      <c r="Q31" s="188">
        <f>K31-P31</f>
        <v>62.999999999999993</v>
      </c>
      <c r="R31" s="431">
        <v>1</v>
      </c>
      <c r="S31" s="327">
        <f>Q31*R31</f>
        <v>62.999999999999993</v>
      </c>
      <c r="T31" s="447">
        <v>63</v>
      </c>
      <c r="U31" s="448">
        <f>S31-T31</f>
        <v>0</v>
      </c>
      <c r="V31" s="245"/>
    </row>
    <row r="32" spans="2:22">
      <c r="B32" s="306"/>
      <c r="C32" s="150" t="s">
        <v>426</v>
      </c>
      <c r="D32" s="146"/>
      <c r="F32" s="147"/>
      <c r="G32" s="148"/>
      <c r="H32" s="149"/>
      <c r="I32" s="151"/>
      <c r="J32" s="116"/>
      <c r="K32" s="118"/>
      <c r="L32" s="155"/>
      <c r="M32" s="158"/>
      <c r="N32" s="159"/>
      <c r="O32" s="159"/>
      <c r="P32" s="160"/>
      <c r="Q32" s="188"/>
      <c r="R32" s="431"/>
      <c r="S32" s="187"/>
      <c r="T32" s="445"/>
      <c r="U32" s="467"/>
      <c r="V32" s="245"/>
    </row>
    <row r="33" spans="1:22">
      <c r="B33" s="306"/>
      <c r="C33" s="153"/>
      <c r="D33" s="146"/>
      <c r="E33" s="111"/>
      <c r="F33" s="147"/>
      <c r="G33" s="148"/>
      <c r="H33" s="149"/>
      <c r="I33" s="151"/>
      <c r="J33" s="151"/>
      <c r="K33" s="118"/>
      <c r="L33" s="154"/>
      <c r="M33" s="463"/>
      <c r="N33" s="368"/>
      <c r="O33" s="368"/>
      <c r="P33" s="464"/>
      <c r="Q33" s="188"/>
      <c r="R33" s="431"/>
      <c r="S33" s="187"/>
      <c r="T33" s="445"/>
      <c r="U33" s="467"/>
      <c r="V33" s="245"/>
    </row>
    <row r="34" spans="1:22">
      <c r="B34" s="306">
        <v>7</v>
      </c>
      <c r="C34" s="150" t="s">
        <v>414</v>
      </c>
      <c r="D34" s="111" t="s">
        <v>420</v>
      </c>
      <c r="E34" s="111" t="s">
        <v>430</v>
      </c>
      <c r="F34" s="113" t="s">
        <v>417</v>
      </c>
      <c r="G34" s="148" t="s">
        <v>431</v>
      </c>
      <c r="H34" s="149">
        <v>1</v>
      </c>
      <c r="I34" s="151">
        <v>28.31</v>
      </c>
      <c r="J34" s="116">
        <v>1.4</v>
      </c>
      <c r="K34" s="118">
        <f>H34*I34*J34</f>
        <v>39.633999999999993</v>
      </c>
      <c r="L34" s="155"/>
      <c r="M34" s="120">
        <v>0</v>
      </c>
      <c r="N34" s="121">
        <v>0</v>
      </c>
      <c r="O34" s="121">
        <v>0</v>
      </c>
      <c r="P34" s="122">
        <f>M34*N34*O34</f>
        <v>0</v>
      </c>
      <c r="Q34" s="188">
        <f>K34-P34</f>
        <v>39.633999999999993</v>
      </c>
      <c r="R34" s="431">
        <v>1</v>
      </c>
      <c r="S34" s="327">
        <f>Q34*R34</f>
        <v>39.633999999999993</v>
      </c>
      <c r="T34" s="447">
        <v>39.634</v>
      </c>
      <c r="U34" s="448">
        <f>S34-T34</f>
        <v>0</v>
      </c>
      <c r="V34" s="245"/>
    </row>
    <row r="35" spans="1:22">
      <c r="B35" s="306"/>
      <c r="C35" s="150" t="s">
        <v>432</v>
      </c>
      <c r="D35" s="146"/>
      <c r="E35" s="111"/>
      <c r="F35" s="147"/>
      <c r="G35" s="148"/>
      <c r="H35" s="149"/>
      <c r="I35" s="151"/>
      <c r="J35" s="116"/>
      <c r="K35" s="118"/>
      <c r="L35" s="155"/>
      <c r="M35" s="158"/>
      <c r="N35" s="159"/>
      <c r="O35" s="159"/>
      <c r="P35" s="160"/>
      <c r="Q35" s="458"/>
      <c r="R35" s="431"/>
      <c r="S35" s="187"/>
      <c r="T35" s="445"/>
      <c r="U35" s="467"/>
      <c r="V35" s="245"/>
    </row>
    <row r="36" spans="1:22" ht="15" customHeight="1" thickBot="1">
      <c r="B36" s="468"/>
      <c r="C36" s="150"/>
      <c r="D36" s="111"/>
      <c r="E36" s="111"/>
      <c r="F36" s="111"/>
      <c r="G36" s="114"/>
      <c r="H36" s="115"/>
      <c r="I36" s="116"/>
      <c r="J36" s="116"/>
      <c r="K36" s="157"/>
      <c r="L36" s="155"/>
      <c r="M36" s="158"/>
      <c r="N36" s="159"/>
      <c r="O36" s="159"/>
      <c r="P36" s="160"/>
      <c r="Q36" s="336"/>
      <c r="R36" s="431"/>
      <c r="S36" s="187"/>
      <c r="T36" s="445"/>
      <c r="U36" s="467"/>
      <c r="V36" s="245"/>
    </row>
    <row r="37" spans="1:22">
      <c r="B37" s="306">
        <v>8</v>
      </c>
      <c r="C37" s="150" t="s">
        <v>414</v>
      </c>
      <c r="D37" s="111" t="s">
        <v>420</v>
      </c>
      <c r="E37" s="111" t="s">
        <v>433</v>
      </c>
      <c r="F37" s="113" t="s">
        <v>417</v>
      </c>
      <c r="G37" s="148" t="s">
        <v>434</v>
      </c>
      <c r="H37" s="149">
        <v>1</v>
      </c>
      <c r="I37" s="151">
        <v>24.08</v>
      </c>
      <c r="J37" s="116">
        <v>1.4</v>
      </c>
      <c r="K37" s="118">
        <f>H37*I37*J37</f>
        <v>33.711999999999996</v>
      </c>
      <c r="L37" s="155"/>
      <c r="M37" s="120">
        <v>0</v>
      </c>
      <c r="N37" s="121">
        <v>0</v>
      </c>
      <c r="O37" s="121">
        <v>0</v>
      </c>
      <c r="P37" s="122">
        <f>M37*N37*O37</f>
        <v>0</v>
      </c>
      <c r="Q37" s="188">
        <f>K37-P37</f>
        <v>33.711999999999996</v>
      </c>
      <c r="R37" s="431">
        <v>1</v>
      </c>
      <c r="S37" s="327">
        <f>Q37*R37</f>
        <v>33.711999999999996</v>
      </c>
      <c r="T37" s="447">
        <v>33.712000000000003</v>
      </c>
      <c r="U37" s="448">
        <f>S37-T37</f>
        <v>0</v>
      </c>
      <c r="V37" s="245"/>
    </row>
    <row r="38" spans="1:22">
      <c r="B38" s="306"/>
      <c r="C38" s="150" t="s">
        <v>435</v>
      </c>
      <c r="D38" s="146"/>
      <c r="E38" s="111"/>
      <c r="F38" s="147"/>
      <c r="G38" s="148"/>
      <c r="H38" s="149"/>
      <c r="I38" s="151"/>
      <c r="J38" s="116"/>
      <c r="K38" s="118"/>
      <c r="L38" s="155"/>
      <c r="M38" s="158"/>
      <c r="N38" s="159"/>
      <c r="O38" s="159"/>
      <c r="P38" s="160"/>
      <c r="Q38" s="188"/>
      <c r="R38" s="431"/>
      <c r="S38" s="187"/>
      <c r="T38" s="445"/>
      <c r="U38" s="467"/>
      <c r="V38" s="245"/>
    </row>
    <row r="39" spans="1:22">
      <c r="B39" s="306"/>
      <c r="C39" s="150"/>
      <c r="D39" s="146"/>
      <c r="E39" s="111"/>
      <c r="F39" s="147"/>
      <c r="G39" s="148"/>
      <c r="H39" s="149"/>
      <c r="I39" s="151"/>
      <c r="J39" s="116"/>
      <c r="K39" s="118"/>
      <c r="L39" s="155"/>
      <c r="M39" s="158"/>
      <c r="N39" s="159"/>
      <c r="O39" s="159"/>
      <c r="P39" s="160"/>
      <c r="Q39" s="188"/>
      <c r="R39" s="431"/>
      <c r="S39" s="187"/>
      <c r="T39" s="445"/>
      <c r="U39" s="467"/>
      <c r="V39" s="245"/>
    </row>
    <row r="40" spans="1:22">
      <c r="B40" s="306">
        <v>9</v>
      </c>
      <c r="C40" s="150" t="s">
        <v>414</v>
      </c>
      <c r="D40" s="111" t="s">
        <v>420</v>
      </c>
      <c r="E40" t="s">
        <v>436</v>
      </c>
      <c r="F40" s="113" t="s">
        <v>417</v>
      </c>
      <c r="G40" s="148" t="s">
        <v>437</v>
      </c>
      <c r="H40" s="149">
        <v>1</v>
      </c>
      <c r="I40" s="151">
        <v>7.5</v>
      </c>
      <c r="J40" s="116">
        <v>1.4</v>
      </c>
      <c r="K40" s="118">
        <f>H40*I40*J40</f>
        <v>10.5</v>
      </c>
      <c r="L40" s="155"/>
      <c r="M40" s="120">
        <v>0</v>
      </c>
      <c r="N40" s="121">
        <v>0</v>
      </c>
      <c r="O40" s="121">
        <v>0</v>
      </c>
      <c r="P40" s="122">
        <f>M40*N40*O40</f>
        <v>0</v>
      </c>
      <c r="Q40" s="188">
        <f>K40-P40</f>
        <v>10.5</v>
      </c>
      <c r="R40" s="431">
        <v>0.9</v>
      </c>
      <c r="S40" s="327">
        <f>Q40*R40</f>
        <v>9.4500000000000011</v>
      </c>
      <c r="T40" s="447">
        <v>9.4499999999999993</v>
      </c>
      <c r="U40" s="448">
        <f>S40-T40</f>
        <v>0</v>
      </c>
      <c r="V40" s="245" t="s">
        <v>438</v>
      </c>
    </row>
    <row r="41" spans="1:22">
      <c r="B41" s="306"/>
      <c r="C41" s="150" t="s">
        <v>439</v>
      </c>
      <c r="D41" s="146"/>
      <c r="E41" s="111"/>
      <c r="F41" s="147"/>
      <c r="G41" s="148"/>
      <c r="H41" s="149">
        <v>1</v>
      </c>
      <c r="I41" s="151">
        <v>4.07</v>
      </c>
      <c r="J41" s="116">
        <v>1.6</v>
      </c>
      <c r="K41" s="118">
        <f>H41*I41*J41</f>
        <v>6.5120000000000005</v>
      </c>
      <c r="L41" s="155"/>
      <c r="M41" s="120">
        <v>0</v>
      </c>
      <c r="N41" s="121">
        <v>0</v>
      </c>
      <c r="O41" s="121">
        <v>0</v>
      </c>
      <c r="P41" s="122">
        <f>M41*N41*O41</f>
        <v>0</v>
      </c>
      <c r="Q41" s="188">
        <f>K41-P41</f>
        <v>6.5120000000000005</v>
      </c>
      <c r="R41" s="431">
        <v>0.9</v>
      </c>
      <c r="S41" s="327">
        <f>Q41*R41</f>
        <v>5.8608000000000002</v>
      </c>
      <c r="T41" s="447">
        <v>5.8608000000000002</v>
      </c>
      <c r="U41" s="448">
        <f>S41-T41</f>
        <v>0</v>
      </c>
      <c r="V41" s="245" t="s">
        <v>438</v>
      </c>
    </row>
    <row r="42" spans="1:22">
      <c r="B42" s="306"/>
      <c r="C42" s="150"/>
      <c r="D42" s="146"/>
      <c r="E42" s="111"/>
      <c r="F42" s="147"/>
      <c r="G42" s="148"/>
      <c r="H42" s="149">
        <v>1</v>
      </c>
      <c r="I42" s="151">
        <v>21.58</v>
      </c>
      <c r="J42" s="116">
        <v>1.65</v>
      </c>
      <c r="K42" s="118">
        <f>H42*I42*J42</f>
        <v>35.606999999999992</v>
      </c>
      <c r="L42" s="155"/>
      <c r="M42" s="120">
        <v>0</v>
      </c>
      <c r="N42" s="121">
        <v>0</v>
      </c>
      <c r="O42" s="121">
        <v>0</v>
      </c>
      <c r="P42" s="122">
        <f>M42*N42*O42</f>
        <v>0</v>
      </c>
      <c r="Q42" s="188">
        <f>K42-P42</f>
        <v>35.606999999999992</v>
      </c>
      <c r="R42" s="361">
        <v>0.9</v>
      </c>
      <c r="S42" s="327">
        <f>Q42*R42</f>
        <v>32.046299999999995</v>
      </c>
      <c r="T42" s="447">
        <v>32.046300000000002</v>
      </c>
      <c r="U42" s="448">
        <f>S42-T42</f>
        <v>0</v>
      </c>
      <c r="V42" s="245" t="s">
        <v>438</v>
      </c>
    </row>
    <row r="43" spans="1:22">
      <c r="A43" s="89">
        <v>1</v>
      </c>
      <c r="B43" s="306">
        <v>11</v>
      </c>
      <c r="C43" s="153" t="s">
        <v>414</v>
      </c>
      <c r="D43" s="111" t="s">
        <v>442</v>
      </c>
      <c r="E43" s="146" t="s">
        <v>443</v>
      </c>
      <c r="F43" s="147" t="s">
        <v>444</v>
      </c>
      <c r="G43" s="148" t="s">
        <v>445</v>
      </c>
      <c r="H43" s="149">
        <v>1</v>
      </c>
      <c r="I43" s="151">
        <v>6.43</v>
      </c>
      <c r="J43" s="151">
        <v>1.4</v>
      </c>
      <c r="K43" s="118">
        <f>H43*I43*J43</f>
        <v>9.0019999999999989</v>
      </c>
      <c r="L43" s="154"/>
      <c r="M43" s="158">
        <v>0</v>
      </c>
      <c r="N43" s="159">
        <v>0</v>
      </c>
      <c r="O43" s="159">
        <v>0</v>
      </c>
      <c r="P43" s="160">
        <f>M43*N43*O43</f>
        <v>0</v>
      </c>
      <c r="Q43" s="336">
        <f>K43-P43</f>
        <v>9.0019999999999989</v>
      </c>
      <c r="R43" s="361">
        <v>1</v>
      </c>
      <c r="S43" s="327">
        <f>Q43*R43</f>
        <v>9.0019999999999989</v>
      </c>
      <c r="T43" s="447">
        <v>9.0020000000000007</v>
      </c>
      <c r="U43" s="448">
        <f>S43-T43</f>
        <v>0</v>
      </c>
      <c r="V43" s="245"/>
    </row>
    <row r="44" spans="1:22">
      <c r="B44" s="306"/>
      <c r="C44" s="150" t="s">
        <v>446</v>
      </c>
      <c r="D44" s="146"/>
      <c r="E44" s="146"/>
      <c r="F44" s="147"/>
      <c r="G44" s="148"/>
      <c r="H44" s="149"/>
      <c r="I44" s="151"/>
      <c r="J44" s="151"/>
      <c r="K44" s="118"/>
      <c r="L44" s="154"/>
      <c r="M44" s="463"/>
      <c r="N44" s="368"/>
      <c r="O44" s="368"/>
      <c r="P44" s="464"/>
      <c r="Q44" s="336"/>
      <c r="R44" s="361"/>
      <c r="S44" s="327"/>
      <c r="T44" s="447"/>
      <c r="U44" s="448"/>
      <c r="V44" s="245"/>
    </row>
    <row r="45" spans="1:22">
      <c r="B45" s="306"/>
      <c r="C45" s="153"/>
      <c r="D45" s="146"/>
      <c r="E45" s="146"/>
      <c r="F45" s="147"/>
      <c r="G45" s="148"/>
      <c r="H45" s="149"/>
      <c r="I45" s="151"/>
      <c r="J45" s="151"/>
      <c r="K45" s="118"/>
      <c r="L45" s="154"/>
      <c r="M45" s="463"/>
      <c r="N45" s="368"/>
      <c r="O45" s="368"/>
      <c r="P45" s="464"/>
      <c r="Q45" s="336"/>
      <c r="R45" s="361"/>
      <c r="S45" s="327"/>
      <c r="T45" s="447"/>
      <c r="U45" s="448"/>
      <c r="V45" s="245"/>
    </row>
    <row r="46" spans="1:22">
      <c r="B46" s="306">
        <v>12</v>
      </c>
      <c r="C46" s="153" t="s">
        <v>414</v>
      </c>
      <c r="D46" s="111" t="s">
        <v>442</v>
      </c>
      <c r="E46" s="146" t="s">
        <v>447</v>
      </c>
      <c r="F46" s="147" t="s">
        <v>444</v>
      </c>
      <c r="G46" s="148" t="s">
        <v>448</v>
      </c>
      <c r="H46" s="149">
        <v>1</v>
      </c>
      <c r="I46" s="151">
        <v>9.92</v>
      </c>
      <c r="J46" s="151">
        <v>1.4</v>
      </c>
      <c r="K46" s="118">
        <f>H46*I46*J46</f>
        <v>13.888</v>
      </c>
      <c r="L46" s="154"/>
      <c r="M46" s="158">
        <v>0</v>
      </c>
      <c r="N46" s="159">
        <v>0</v>
      </c>
      <c r="O46" s="159">
        <v>0</v>
      </c>
      <c r="P46" s="160">
        <f>M46*N46*O46</f>
        <v>0</v>
      </c>
      <c r="Q46" s="336">
        <f>K46-P46</f>
        <v>13.888</v>
      </c>
      <c r="R46" s="361">
        <v>0.9</v>
      </c>
      <c r="S46" s="327">
        <f>Q46*R46</f>
        <v>12.4992</v>
      </c>
      <c r="T46" s="447">
        <v>12.4992</v>
      </c>
      <c r="U46" s="448">
        <f>S46-T46</f>
        <v>0</v>
      </c>
      <c r="V46" s="245" t="s">
        <v>449</v>
      </c>
    </row>
    <row r="47" spans="1:22">
      <c r="B47" s="306"/>
      <c r="C47" s="150" t="s">
        <v>450</v>
      </c>
      <c r="D47" s="146"/>
      <c r="E47" s="146"/>
      <c r="F47" s="147"/>
      <c r="G47" s="148"/>
      <c r="H47" s="149"/>
      <c r="I47" s="151"/>
      <c r="J47" s="151"/>
      <c r="K47" s="118"/>
      <c r="L47" s="154"/>
      <c r="M47" s="463"/>
      <c r="N47" s="368"/>
      <c r="O47" s="368"/>
      <c r="P47" s="464"/>
      <c r="Q47" s="336"/>
      <c r="R47" s="361"/>
      <c r="S47" s="327"/>
      <c r="T47" s="447"/>
      <c r="U47" s="448"/>
      <c r="V47" s="245"/>
    </row>
    <row r="48" spans="1:22" ht="15" thickBot="1">
      <c r="B48" s="306"/>
      <c r="C48" s="153"/>
      <c r="D48" s="146"/>
      <c r="E48" s="146"/>
      <c r="F48" s="147"/>
      <c r="G48" s="148"/>
      <c r="H48" s="149"/>
      <c r="I48" s="151"/>
      <c r="J48" s="116"/>
      <c r="K48" s="118"/>
      <c r="L48" s="154"/>
      <c r="M48" s="463"/>
      <c r="N48" s="368"/>
      <c r="O48" s="368"/>
      <c r="P48" s="464"/>
      <c r="Q48" s="336"/>
      <c r="R48" s="361"/>
      <c r="S48" s="327"/>
      <c r="T48" s="447"/>
      <c r="U48" s="448"/>
      <c r="V48" s="245"/>
    </row>
    <row r="49" spans="2:22">
      <c r="B49" s="469">
        <v>15</v>
      </c>
      <c r="C49" s="150" t="s">
        <v>458</v>
      </c>
      <c r="D49" s="146" t="s">
        <v>442</v>
      </c>
      <c r="E49" s="111" t="s">
        <v>452</v>
      </c>
      <c r="F49" s="111" t="s">
        <v>459</v>
      </c>
      <c r="G49" s="114" t="s">
        <v>460</v>
      </c>
      <c r="H49" s="115">
        <v>1</v>
      </c>
      <c r="I49" s="116">
        <v>18.63</v>
      </c>
      <c r="J49" s="117">
        <v>1.4</v>
      </c>
      <c r="K49" s="118">
        <f>H49*I49*J49</f>
        <v>26.081999999999997</v>
      </c>
      <c r="L49" s="245"/>
      <c r="M49" s="158">
        <v>0</v>
      </c>
      <c r="N49" s="465">
        <v>0</v>
      </c>
      <c r="O49" s="465">
        <v>0</v>
      </c>
      <c r="P49" s="466">
        <v>0</v>
      </c>
      <c r="Q49" s="336">
        <f>SUM(K49:K50)-P49</f>
        <v>26.081999999999997</v>
      </c>
      <c r="R49" s="361">
        <v>0.7</v>
      </c>
      <c r="S49" s="327">
        <f>Q49*R49</f>
        <v>18.257399999999997</v>
      </c>
      <c r="T49" s="447">
        <v>18.257400000000001</v>
      </c>
      <c r="U49" s="448">
        <f>S49-T49</f>
        <v>0</v>
      </c>
      <c r="V49" s="245" t="s">
        <v>455</v>
      </c>
    </row>
    <row r="50" spans="2:22">
      <c r="B50" s="271"/>
      <c r="C50" s="150" t="s">
        <v>461</v>
      </c>
      <c r="D50" s="111"/>
      <c r="E50" s="111"/>
      <c r="F50" s="113"/>
      <c r="G50" s="114"/>
      <c r="H50" s="115"/>
      <c r="I50" s="116"/>
      <c r="J50" s="117"/>
      <c r="K50" s="118"/>
      <c r="L50" s="119"/>
      <c r="M50" s="120"/>
      <c r="N50" s="121"/>
      <c r="O50" s="121"/>
      <c r="P50" s="122"/>
      <c r="Q50" s="186"/>
      <c r="R50" s="361"/>
      <c r="S50" s="327"/>
      <c r="T50" s="447"/>
      <c r="U50" s="448"/>
      <c r="V50" s="245"/>
    </row>
    <row r="51" spans="2:22">
      <c r="B51" s="271"/>
      <c r="C51" s="150"/>
      <c r="D51" s="146"/>
      <c r="E51" s="111"/>
      <c r="F51" s="111"/>
      <c r="G51" s="114"/>
      <c r="H51" s="115"/>
      <c r="I51" s="116"/>
      <c r="J51" s="116"/>
      <c r="K51" s="118"/>
      <c r="L51" s="155"/>
      <c r="M51" s="158"/>
      <c r="N51" s="465"/>
      <c r="O51" s="465"/>
      <c r="P51" s="466"/>
      <c r="Q51" s="336"/>
      <c r="R51" s="361"/>
      <c r="S51" s="327"/>
      <c r="T51" s="447"/>
      <c r="U51" s="448"/>
      <c r="V51" s="245"/>
    </row>
    <row r="52" spans="2:22">
      <c r="B52" s="271">
        <v>16</v>
      </c>
      <c r="C52" s="150" t="s">
        <v>373</v>
      </c>
      <c r="D52" s="146" t="s">
        <v>442</v>
      </c>
      <c r="E52" s="111" t="s">
        <v>447</v>
      </c>
      <c r="F52" s="111" t="s">
        <v>459</v>
      </c>
      <c r="G52" s="114" t="s">
        <v>462</v>
      </c>
      <c r="H52" s="115">
        <v>1</v>
      </c>
      <c r="I52" s="116">
        <v>17.55</v>
      </c>
      <c r="J52" s="116">
        <v>1.4</v>
      </c>
      <c r="K52" s="118">
        <f>H52*I52*J52</f>
        <v>24.57</v>
      </c>
      <c r="L52" s="119"/>
      <c r="M52" s="158">
        <v>0</v>
      </c>
      <c r="N52" s="465">
        <v>0</v>
      </c>
      <c r="O52" s="465">
        <v>0</v>
      </c>
      <c r="P52" s="466">
        <v>0</v>
      </c>
      <c r="Q52" s="336">
        <f>SUM(K52:K53)-P52</f>
        <v>24.57</v>
      </c>
      <c r="R52" s="361">
        <v>0.1</v>
      </c>
      <c r="S52" s="327">
        <f>Q52*R52</f>
        <v>2.4570000000000003</v>
      </c>
      <c r="T52" s="447">
        <v>2.4569999999999999</v>
      </c>
      <c r="U52" s="448">
        <f>S52-T52</f>
        <v>0</v>
      </c>
      <c r="V52" s="245"/>
    </row>
    <row r="53" spans="2:22">
      <c r="B53" s="271"/>
      <c r="C53" s="150" t="s">
        <v>463</v>
      </c>
      <c r="D53" s="146"/>
      <c r="E53" s="111"/>
      <c r="F53" s="111"/>
      <c r="G53" s="114"/>
      <c r="H53" s="115"/>
      <c r="I53" s="116"/>
      <c r="J53" s="116"/>
      <c r="K53" s="118"/>
      <c r="L53" s="155"/>
      <c r="M53" s="158"/>
      <c r="N53" s="465"/>
      <c r="O53" s="465"/>
      <c r="P53" s="466"/>
      <c r="Q53" s="336"/>
      <c r="R53" s="230"/>
      <c r="S53" s="327"/>
      <c r="T53" s="447"/>
      <c r="U53" s="448"/>
      <c r="V53" s="245"/>
    </row>
    <row r="54" spans="2:22">
      <c r="B54" s="271"/>
      <c r="C54" s="153"/>
      <c r="D54" s="146"/>
      <c r="E54" s="146"/>
      <c r="F54" s="147"/>
      <c r="G54" s="148"/>
      <c r="H54" s="149"/>
      <c r="I54" s="151"/>
      <c r="J54" s="175"/>
      <c r="K54" s="118"/>
      <c r="L54" s="154"/>
      <c r="M54" s="158"/>
      <c r="N54" s="465"/>
      <c r="O54" s="465"/>
      <c r="P54" s="466"/>
      <c r="Q54" s="336"/>
      <c r="R54" s="230"/>
      <c r="S54" s="327"/>
      <c r="T54" s="447"/>
      <c r="U54" s="448"/>
    </row>
    <row r="55" spans="2:22">
      <c r="B55" s="271">
        <v>17</v>
      </c>
      <c r="C55" s="156" t="s">
        <v>488</v>
      </c>
      <c r="D55" s="503" t="s">
        <v>489</v>
      </c>
      <c r="E55" s="111" t="s">
        <v>208</v>
      </c>
      <c r="F55" s="147"/>
      <c r="G55" s="148"/>
      <c r="H55" s="149">
        <v>1</v>
      </c>
      <c r="I55" s="151">
        <v>4</v>
      </c>
      <c r="J55" s="175">
        <v>1.4</v>
      </c>
      <c r="K55" s="118">
        <f t="shared" ref="K55" si="4">H55*I55*J55</f>
        <v>5.6</v>
      </c>
      <c r="L55" s="245"/>
      <c r="M55" s="120">
        <v>0</v>
      </c>
      <c r="N55" s="121">
        <v>0</v>
      </c>
      <c r="O55" s="121">
        <v>0</v>
      </c>
      <c r="P55" s="122">
        <v>0</v>
      </c>
      <c r="Q55" s="336">
        <f t="shared" ref="Q55" si="5">K55-P55</f>
        <v>5.6</v>
      </c>
      <c r="R55" s="246">
        <v>1</v>
      </c>
      <c r="S55" s="327">
        <f t="shared" ref="S55" si="6">R55*Q55</f>
        <v>5.6</v>
      </c>
      <c r="T55" s="447">
        <v>5.6</v>
      </c>
      <c r="U55" s="448">
        <f t="shared" ref="U55" si="7">S55-T55</f>
        <v>0</v>
      </c>
    </row>
    <row r="56" spans="2:22" ht="15" thickBot="1">
      <c r="B56" s="271"/>
      <c r="C56" s="126" t="s">
        <v>490</v>
      </c>
      <c r="D56" s="146"/>
      <c r="E56" s="146"/>
      <c r="F56" s="147"/>
      <c r="G56" s="148"/>
      <c r="H56" s="149"/>
      <c r="I56" s="151"/>
      <c r="J56" s="175"/>
      <c r="K56" s="118"/>
      <c r="L56" s="154"/>
      <c r="M56" s="463"/>
      <c r="N56" s="497"/>
      <c r="O56" s="497"/>
      <c r="P56" s="498"/>
      <c r="Q56" s="499"/>
      <c r="R56" s="514"/>
      <c r="S56" s="500"/>
      <c r="T56" s="501"/>
      <c r="U56" s="502"/>
    </row>
    <row r="57" spans="2:22" ht="15" customHeight="1" thickBot="1">
      <c r="B57" s="125"/>
      <c r="C57" s="126"/>
      <c r="D57" s="126"/>
      <c r="E57" s="126"/>
      <c r="F57" s="127"/>
      <c r="G57" s="128"/>
      <c r="H57" s="129"/>
      <c r="I57" s="130"/>
      <c r="J57" s="166"/>
      <c r="K57" s="131"/>
      <c r="L57" s="132"/>
      <c r="M57" s="133"/>
      <c r="N57" s="134"/>
      <c r="O57" s="134"/>
      <c r="P57" s="135"/>
      <c r="Q57" s="203"/>
      <c r="R57" s="168"/>
      <c r="S57" s="197"/>
      <c r="T57" s="198"/>
      <c r="U57" s="199"/>
    </row>
    <row r="58" spans="2:22">
      <c r="K58" s="136"/>
      <c r="N58" s="136"/>
      <c r="O58" s="136"/>
      <c r="P58" s="136" t="s">
        <v>37</v>
      </c>
      <c r="Q58" s="137">
        <f>SUM(Q3:Q57)</f>
        <v>552.75280000000009</v>
      </c>
      <c r="R58" s="143"/>
      <c r="S58" s="137">
        <f>SUM(S3:S57)</f>
        <v>484.09135999999995</v>
      </c>
      <c r="T58" s="137">
        <f>SUM(T3:T57)</f>
        <v>484.09136000000001</v>
      </c>
      <c r="U58" s="137">
        <f>SUM(U4:U57)</f>
        <v>0</v>
      </c>
    </row>
    <row r="59" spans="2:22" ht="15" thickBot="1">
      <c r="B59" s="220" t="str">
        <f>VARIATIONS!B19</f>
        <v xml:space="preserve">RPJV-JOT-VOR-004 Rev00 </v>
      </c>
      <c r="P59" s="221"/>
      <c r="Q59" s="379"/>
      <c r="R59" s="87"/>
      <c r="S59" s="87"/>
      <c r="T59" s="380"/>
      <c r="U59" s="381"/>
    </row>
    <row r="60" spans="2:22" ht="52.5" thickBot="1">
      <c r="B60" s="91" t="s">
        <v>70</v>
      </c>
      <c r="C60" s="92" t="s">
        <v>71</v>
      </c>
      <c r="D60" s="92" t="s">
        <v>217</v>
      </c>
      <c r="E60" s="91" t="s">
        <v>73</v>
      </c>
      <c r="F60" s="91" t="s">
        <v>74</v>
      </c>
      <c r="G60" s="91" t="s">
        <v>75</v>
      </c>
      <c r="H60" s="557" t="s">
        <v>76</v>
      </c>
      <c r="I60" s="558"/>
      <c r="J60" s="558"/>
      <c r="K60" s="559"/>
      <c r="L60" s="93" t="s">
        <v>77</v>
      </c>
      <c r="M60" s="557" t="s">
        <v>78</v>
      </c>
      <c r="N60" s="558"/>
      <c r="O60" s="558"/>
      <c r="P60" s="559"/>
      <c r="Q60" s="382" t="s">
        <v>79</v>
      </c>
      <c r="R60" s="383" t="s">
        <v>115</v>
      </c>
      <c r="S60" s="91" t="s">
        <v>116</v>
      </c>
      <c r="T60" s="384" t="s">
        <v>117</v>
      </c>
      <c r="U60" s="385" t="s">
        <v>118</v>
      </c>
      <c r="V60" s="91" t="s">
        <v>176</v>
      </c>
    </row>
    <row r="61" spans="2:22" ht="15" thickBot="1">
      <c r="B61" s="223" t="s">
        <v>380</v>
      </c>
      <c r="C61" s="95"/>
      <c r="D61" s="95"/>
      <c r="E61" s="95"/>
      <c r="F61" s="95"/>
      <c r="G61" s="96"/>
      <c r="H61" s="97" t="s">
        <v>70</v>
      </c>
      <c r="I61" s="98" t="s">
        <v>83</v>
      </c>
      <c r="J61" s="98" t="s">
        <v>84</v>
      </c>
      <c r="K61" s="99" t="s">
        <v>85</v>
      </c>
      <c r="L61" s="100"/>
      <c r="M61" s="101" t="s">
        <v>70</v>
      </c>
      <c r="N61" s="98" t="s">
        <v>83</v>
      </c>
      <c r="O61" s="98" t="s">
        <v>84</v>
      </c>
      <c r="P61" s="99" t="s">
        <v>85</v>
      </c>
      <c r="Q61" s="386"/>
      <c r="R61" s="387"/>
      <c r="S61" s="102"/>
      <c r="T61" s="388"/>
      <c r="U61" s="389" t="s">
        <v>86</v>
      </c>
      <c r="V61" s="102"/>
    </row>
    <row r="62" spans="2:22">
      <c r="B62" s="103"/>
      <c r="C62" s="104"/>
      <c r="D62" s="104"/>
      <c r="E62" s="104"/>
      <c r="F62" s="105"/>
      <c r="G62" s="105"/>
      <c r="H62" s="103"/>
      <c r="I62" s="225"/>
      <c r="J62" s="225"/>
      <c r="K62" s="107"/>
      <c r="L62" s="108"/>
      <c r="M62" s="109"/>
      <c r="N62" s="104"/>
      <c r="O62" s="104"/>
      <c r="P62" s="107"/>
      <c r="Q62" s="390"/>
      <c r="R62" s="226"/>
      <c r="S62" s="227"/>
      <c r="T62" s="392"/>
      <c r="U62" s="393"/>
      <c r="V62" s="229"/>
    </row>
    <row r="63" spans="2:22">
      <c r="B63" s="178">
        <v>1</v>
      </c>
      <c r="C63" s="256" t="s">
        <v>381</v>
      </c>
      <c r="D63" s="402" t="s">
        <v>316</v>
      </c>
      <c r="E63" s="146" t="s">
        <v>382</v>
      </c>
      <c r="F63" s="146"/>
      <c r="G63" s="148"/>
      <c r="H63" s="149">
        <v>1</v>
      </c>
      <c r="I63" s="258">
        <v>18.937000000000001</v>
      </c>
      <c r="J63" s="112">
        <v>4.2050000000000001</v>
      </c>
      <c r="K63" s="118">
        <f>H63*I63*J63</f>
        <v>79.630085000000008</v>
      </c>
      <c r="L63" s="119"/>
      <c r="M63" s="120">
        <v>0</v>
      </c>
      <c r="N63" s="121">
        <v>0</v>
      </c>
      <c r="O63" s="121">
        <v>0</v>
      </c>
      <c r="P63" s="122">
        <v>0</v>
      </c>
      <c r="Q63" s="444">
        <f>K63-P63</f>
        <v>79.630085000000008</v>
      </c>
      <c r="R63" s="230">
        <v>0.95</v>
      </c>
      <c r="S63" s="327">
        <f>(Q63)*R63</f>
        <v>75.648580750000008</v>
      </c>
      <c r="T63" s="447">
        <v>75.648580750000008</v>
      </c>
      <c r="U63" s="315">
        <f>S63-T63</f>
        <v>0</v>
      </c>
      <c r="V63" s="232"/>
    </row>
    <row r="64" spans="2:22">
      <c r="B64" s="115"/>
      <c r="C64" s="152" t="s">
        <v>568</v>
      </c>
      <c r="D64" s="111"/>
      <c r="E64" s="146"/>
      <c r="F64" s="147"/>
      <c r="G64" s="148"/>
      <c r="H64" s="149"/>
      <c r="I64" s="151"/>
      <c r="J64" s="116"/>
      <c r="K64" s="118"/>
      <c r="L64" s="119"/>
      <c r="M64" s="120"/>
      <c r="N64" s="121"/>
      <c r="O64" s="121"/>
      <c r="P64" s="122"/>
      <c r="Q64" s="364"/>
      <c r="R64" s="230"/>
      <c r="S64" s="231"/>
      <c r="T64" s="362"/>
      <c r="U64" s="363"/>
      <c r="V64" s="232"/>
    </row>
    <row r="65" spans="2:22">
      <c r="B65" s="115"/>
      <c r="C65" s="152"/>
      <c r="D65" s="123"/>
      <c r="E65" s="112"/>
      <c r="F65" s="113"/>
      <c r="G65" s="114"/>
      <c r="H65" s="115"/>
      <c r="I65" s="116"/>
      <c r="J65" s="117"/>
      <c r="K65" s="118"/>
      <c r="L65" s="119"/>
      <c r="M65" s="120"/>
      <c r="N65" s="117"/>
      <c r="O65" s="117"/>
      <c r="P65" s="122"/>
      <c r="Q65" s="366"/>
      <c r="R65" s="233"/>
      <c r="S65" s="231"/>
      <c r="T65" s="362"/>
      <c r="U65" s="363"/>
      <c r="V65" s="232"/>
    </row>
    <row r="66" spans="2:22">
      <c r="B66" s="149"/>
      <c r="C66" s="153"/>
      <c r="D66" s="111"/>
      <c r="E66" s="156"/>
      <c r="F66" s="113"/>
      <c r="G66" s="148"/>
      <c r="H66" s="149"/>
      <c r="I66" s="151"/>
      <c r="J66" s="116"/>
      <c r="K66" s="157"/>
      <c r="L66" s="155"/>
      <c r="M66" s="158"/>
      <c r="N66" s="159"/>
      <c r="O66" s="159"/>
      <c r="P66" s="160"/>
      <c r="Q66" s="366"/>
      <c r="R66" s="365"/>
      <c r="S66" s="231"/>
      <c r="T66" s="362"/>
      <c r="U66" s="363"/>
      <c r="V66" s="232"/>
    </row>
    <row r="67" spans="2:22">
      <c r="B67" s="149"/>
      <c r="C67" s="150"/>
      <c r="D67" s="146"/>
      <c r="E67" s="156"/>
      <c r="F67" s="147"/>
      <c r="G67" s="148"/>
      <c r="H67" s="149"/>
      <c r="I67" s="151"/>
      <c r="J67" s="161"/>
      <c r="K67" s="162"/>
      <c r="M67" s="163"/>
      <c r="N67" s="164"/>
      <c r="O67" s="164"/>
      <c r="P67" s="165"/>
      <c r="Q67" s="394"/>
      <c r="R67" s="395"/>
      <c r="S67" s="236"/>
      <c r="T67" s="396"/>
      <c r="U67" s="397"/>
      <c r="V67" s="237"/>
    </row>
    <row r="68" spans="2:22" ht="15" thickBot="1">
      <c r="B68" s="129"/>
      <c r="C68" s="238"/>
      <c r="D68" s="126"/>
      <c r="E68" s="126"/>
      <c r="F68" s="127"/>
      <c r="G68" s="128"/>
      <c r="H68" s="129"/>
      <c r="I68" s="130"/>
      <c r="J68" s="130"/>
      <c r="K68" s="131"/>
      <c r="L68" s="132"/>
      <c r="M68" s="133"/>
      <c r="N68" s="134"/>
      <c r="O68" s="134"/>
      <c r="P68" s="135"/>
      <c r="Q68" s="398"/>
      <c r="R68" s="399"/>
      <c r="S68" s="197"/>
      <c r="T68" s="400"/>
      <c r="U68" s="401"/>
      <c r="V68" s="241"/>
    </row>
    <row r="69" spans="2:22">
      <c r="K69" s="136"/>
      <c r="N69" s="136"/>
      <c r="O69" s="136"/>
      <c r="P69" s="136" t="s">
        <v>37</v>
      </c>
      <c r="Q69" s="137">
        <f>SUM(Q59:Q68)</f>
        <v>79.630085000000008</v>
      </c>
      <c r="R69" s="137"/>
      <c r="S69" s="137">
        <f>SUM(S59:S68)</f>
        <v>75.648580750000008</v>
      </c>
      <c r="T69" s="137">
        <f>SUM(T59:T68)</f>
        <v>75.648580750000008</v>
      </c>
      <c r="U69" s="137">
        <f>SUM(U59:U68)</f>
        <v>0</v>
      </c>
    </row>
    <row r="70" spans="2:22" ht="15" thickBot="1">
      <c r="B70" s="409" t="str">
        <f>VARIATIONS!B22</f>
        <v xml:space="preserve">RPJV-JOT-VOR-005 Rev00 </v>
      </c>
      <c r="P70" s="221"/>
      <c r="Q70" s="410"/>
      <c r="R70" s="411"/>
      <c r="S70" s="411"/>
      <c r="T70" s="380"/>
      <c r="U70" s="412"/>
    </row>
    <row r="71" spans="2:22" ht="52.5" thickBot="1">
      <c r="B71" s="413" t="s">
        <v>70</v>
      </c>
      <c r="C71" s="414" t="s">
        <v>71</v>
      </c>
      <c r="D71" s="414" t="s">
        <v>72</v>
      </c>
      <c r="E71" s="413" t="s">
        <v>73</v>
      </c>
      <c r="F71" s="413" t="s">
        <v>74</v>
      </c>
      <c r="G71" s="413" t="s">
        <v>75</v>
      </c>
      <c r="H71" s="570" t="s">
        <v>76</v>
      </c>
      <c r="I71" s="571"/>
      <c r="J71" s="571"/>
      <c r="K71" s="572"/>
      <c r="L71" s="415" t="s">
        <v>77</v>
      </c>
      <c r="M71" s="570" t="s">
        <v>78</v>
      </c>
      <c r="N71" s="571"/>
      <c r="O71" s="571"/>
      <c r="P71" s="572"/>
      <c r="Q71" s="416" t="s">
        <v>79</v>
      </c>
      <c r="R71" s="417" t="s">
        <v>105</v>
      </c>
      <c r="S71" s="418" t="s">
        <v>106</v>
      </c>
      <c r="T71" s="419" t="s">
        <v>80</v>
      </c>
      <c r="U71" s="420" t="s">
        <v>81</v>
      </c>
      <c r="V71" s="421" t="s">
        <v>176</v>
      </c>
    </row>
    <row r="72" spans="2:22" ht="15" thickBot="1">
      <c r="B72" s="422" t="s">
        <v>265</v>
      </c>
      <c r="C72" s="95"/>
      <c r="D72" s="95"/>
      <c r="E72" s="95"/>
      <c r="F72" s="95"/>
      <c r="G72" s="96"/>
      <c r="H72" s="97" t="s">
        <v>70</v>
      </c>
      <c r="I72" s="98" t="s">
        <v>83</v>
      </c>
      <c r="J72" s="173" t="s">
        <v>152</v>
      </c>
      <c r="K72" s="99" t="s">
        <v>85</v>
      </c>
      <c r="L72" s="100"/>
      <c r="M72" s="101" t="s">
        <v>70</v>
      </c>
      <c r="N72" s="98" t="s">
        <v>83</v>
      </c>
      <c r="O72" s="98" t="s">
        <v>84</v>
      </c>
      <c r="P72" s="99" t="s">
        <v>85</v>
      </c>
      <c r="Q72" s="386"/>
      <c r="R72" s="423"/>
      <c r="S72" s="386"/>
      <c r="T72" s="424"/>
      <c r="U72" s="389" t="s">
        <v>86</v>
      </c>
      <c r="V72" s="244"/>
    </row>
    <row r="73" spans="2:22">
      <c r="B73" s="425"/>
      <c r="C73" s="104"/>
      <c r="D73" s="104"/>
      <c r="E73" s="104"/>
      <c r="F73" s="105"/>
      <c r="G73" s="105"/>
      <c r="H73" s="103"/>
      <c r="I73" s="106"/>
      <c r="J73" s="174"/>
      <c r="K73" s="107"/>
      <c r="L73" s="108"/>
      <c r="M73" s="109"/>
      <c r="N73" s="104"/>
      <c r="O73" s="104"/>
      <c r="P73" s="107"/>
      <c r="Q73" s="426"/>
      <c r="R73" s="427"/>
      <c r="S73" s="377"/>
      <c r="T73" s="428"/>
      <c r="U73" s="429"/>
      <c r="V73" s="245"/>
    </row>
    <row r="74" spans="2:22">
      <c r="B74" s="115">
        <v>1</v>
      </c>
      <c r="C74" s="111" t="s">
        <v>159</v>
      </c>
      <c r="D74" s="111" t="s">
        <v>160</v>
      </c>
      <c r="E74" s="111" t="s">
        <v>161</v>
      </c>
      <c r="F74" s="113" t="s">
        <v>121</v>
      </c>
      <c r="G74" s="114"/>
      <c r="H74" s="115">
        <v>1</v>
      </c>
      <c r="I74" s="116">
        <v>86.03</v>
      </c>
      <c r="J74" s="175">
        <v>1.4</v>
      </c>
      <c r="K74" s="118">
        <v>120.44</v>
      </c>
      <c r="L74" s="119"/>
      <c r="M74" s="120">
        <v>0</v>
      </c>
      <c r="N74" s="121">
        <v>0</v>
      </c>
      <c r="O74" s="121">
        <v>0</v>
      </c>
      <c r="P74" s="122">
        <v>0</v>
      </c>
      <c r="Q74" s="187">
        <f t="shared" ref="Q74" si="8">K74-P74</f>
        <v>120.44</v>
      </c>
      <c r="R74" s="430">
        <v>1</v>
      </c>
      <c r="S74" s="187">
        <f>R74*Q74</f>
        <v>120.44</v>
      </c>
      <c r="T74" s="445">
        <v>120.44</v>
      </c>
      <c r="U74" s="446">
        <f t="shared" ref="U74" si="9">S74-T74</f>
        <v>0</v>
      </c>
      <c r="V74" s="245"/>
    </row>
    <row r="75" spans="2:22">
      <c r="B75" s="115"/>
      <c r="C75" s="111" t="s">
        <v>213</v>
      </c>
      <c r="D75" s="111"/>
      <c r="E75" s="111"/>
      <c r="F75" s="113"/>
      <c r="G75" s="114"/>
      <c r="H75" s="115"/>
      <c r="I75" s="116"/>
      <c r="J75" s="175"/>
      <c r="K75" s="118"/>
      <c r="L75" s="119"/>
      <c r="M75" s="120"/>
      <c r="N75" s="121"/>
      <c r="O75" s="121"/>
      <c r="P75" s="122"/>
      <c r="Q75" s="187"/>
      <c r="R75" s="430"/>
      <c r="S75" s="187"/>
      <c r="T75" s="445"/>
      <c r="U75" s="446"/>
      <c r="V75" s="245"/>
    </row>
    <row r="76" spans="2:22">
      <c r="B76" s="115"/>
      <c r="C76" s="124"/>
      <c r="D76" s="123"/>
      <c r="E76" s="111"/>
      <c r="F76" s="113"/>
      <c r="G76" s="114"/>
      <c r="H76" s="115"/>
      <c r="I76" s="116"/>
      <c r="J76" s="175"/>
      <c r="K76" s="118"/>
      <c r="L76" s="119"/>
      <c r="M76" s="120"/>
      <c r="N76" s="121"/>
      <c r="O76" s="121"/>
      <c r="P76" s="160"/>
      <c r="Q76" s="186"/>
      <c r="R76" s="431"/>
      <c r="S76" s="187"/>
      <c r="T76" s="445"/>
      <c r="U76" s="446"/>
      <c r="V76" s="245"/>
    </row>
    <row r="77" spans="2:22">
      <c r="B77" s="264">
        <v>2</v>
      </c>
      <c r="C77" s="156" t="s">
        <v>388</v>
      </c>
      <c r="D77" s="111" t="s">
        <v>160</v>
      </c>
      <c r="E77" s="146" t="s">
        <v>389</v>
      </c>
      <c r="F77" s="147" t="s">
        <v>390</v>
      </c>
      <c r="G77" s="148"/>
      <c r="H77" s="149">
        <v>1</v>
      </c>
      <c r="I77" s="151">
        <v>36</v>
      </c>
      <c r="J77" s="175">
        <v>1.4</v>
      </c>
      <c r="K77" s="118">
        <f>H77*I77*J77</f>
        <v>50.4</v>
      </c>
      <c r="L77" s="245"/>
      <c r="M77" s="280">
        <v>0</v>
      </c>
      <c r="N77" s="159">
        <v>0</v>
      </c>
      <c r="O77" s="159">
        <v>0</v>
      </c>
      <c r="P77" s="160">
        <v>0</v>
      </c>
      <c r="Q77" s="187">
        <f>K77-P77</f>
        <v>50.4</v>
      </c>
      <c r="R77" s="430">
        <v>1</v>
      </c>
      <c r="S77" s="327">
        <f>R77*Q77</f>
        <v>50.4</v>
      </c>
      <c r="T77" s="447">
        <v>50.4</v>
      </c>
      <c r="U77" s="448">
        <f>S77-T77</f>
        <v>0</v>
      </c>
      <c r="V77" s="245"/>
    </row>
    <row r="78" spans="2:22">
      <c r="B78" s="149"/>
      <c r="C78" s="111" t="s">
        <v>527</v>
      </c>
      <c r="D78" s="146"/>
      <c r="E78" s="146"/>
      <c r="F78" s="147"/>
      <c r="G78" s="148"/>
      <c r="H78" s="149"/>
      <c r="I78" s="151"/>
      <c r="J78" s="175"/>
      <c r="K78" s="175"/>
      <c r="L78" s="245"/>
      <c r="M78" s="280"/>
      <c r="N78" s="159"/>
      <c r="O78" s="159"/>
      <c r="P78" s="160"/>
      <c r="Q78" s="444"/>
      <c r="R78" s="361"/>
      <c r="S78" s="405"/>
      <c r="T78" s="432"/>
      <c r="U78" s="433"/>
      <c r="V78" s="245"/>
    </row>
    <row r="79" spans="2:22">
      <c r="B79" s="149"/>
      <c r="C79" s="156"/>
      <c r="D79" s="146"/>
      <c r="E79" s="146"/>
      <c r="F79" s="147"/>
      <c r="G79" s="148"/>
      <c r="H79" s="149"/>
      <c r="I79" s="151"/>
      <c r="J79" s="175"/>
      <c r="K79" s="175"/>
      <c r="L79" s="245"/>
      <c r="M79" s="280"/>
      <c r="N79" s="159"/>
      <c r="O79" s="159"/>
      <c r="P79" s="160"/>
      <c r="Q79" s="406"/>
      <c r="R79" s="361"/>
      <c r="S79" s="405"/>
      <c r="T79" s="447"/>
      <c r="U79" s="448"/>
      <c r="V79" s="245"/>
    </row>
    <row r="80" spans="2:22" ht="15" thickBot="1">
      <c r="B80" s="125"/>
      <c r="C80" s="126"/>
      <c r="D80" s="126"/>
      <c r="E80" s="126"/>
      <c r="F80" s="127"/>
      <c r="G80" s="128"/>
      <c r="H80" s="129"/>
      <c r="I80" s="130"/>
      <c r="J80" s="166"/>
      <c r="K80" s="166"/>
      <c r="L80" s="434"/>
      <c r="M80" s="435"/>
      <c r="N80" s="436"/>
      <c r="O80" s="436"/>
      <c r="P80" s="437"/>
      <c r="Q80" s="438"/>
      <c r="R80" s="439"/>
      <c r="S80" s="440"/>
      <c r="T80" s="441"/>
      <c r="U80" s="448"/>
      <c r="V80" s="251"/>
    </row>
    <row r="81" spans="11:21">
      <c r="K81" s="136"/>
      <c r="N81" s="136"/>
      <c r="O81" s="136"/>
      <c r="P81" s="136" t="s">
        <v>37</v>
      </c>
      <c r="Q81" s="442">
        <f>SUM(Q73:Q80)</f>
        <v>170.84</v>
      </c>
      <c r="R81" s="443"/>
      <c r="S81" s="442">
        <f>SUM(S73:S80)</f>
        <v>170.84</v>
      </c>
      <c r="T81" s="442">
        <f>SUM(T73:T80)</f>
        <v>170.84</v>
      </c>
      <c r="U81" s="442">
        <f>SUM(U74:U80)</f>
        <v>0</v>
      </c>
    </row>
  </sheetData>
  <mergeCells count="6">
    <mergeCell ref="H1:K1"/>
    <mergeCell ref="M1:P1"/>
    <mergeCell ref="H60:K60"/>
    <mergeCell ref="M60:P60"/>
    <mergeCell ref="H71:K71"/>
    <mergeCell ref="M71:P71"/>
  </mergeCells>
  <printOptions horizontalCentered="1"/>
  <pageMargins left="0.25" right="0.25" top="0.75" bottom="0.75" header="0.3" footer="0.3"/>
  <pageSetup paperSize="9" scale="55" fitToHeight="0" orientation="landscape"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B1:T31"/>
  <sheetViews>
    <sheetView view="pageBreakPreview" topLeftCell="A7" zoomScale="80" zoomScaleNormal="100" zoomScaleSheetLayoutView="80" workbookViewId="0">
      <selection activeCell="P28" sqref="P28"/>
    </sheetView>
  </sheetViews>
  <sheetFormatPr defaultColWidth="9.08984375" defaultRowHeight="14.5"/>
  <cols>
    <col min="1" max="1" width="2.08984375" style="89" customWidth="1"/>
    <col min="2" max="2" width="4.54296875" style="89" customWidth="1"/>
    <col min="3" max="3" width="26.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6328125" style="89" bestFit="1" customWidth="1"/>
    <col min="11" max="11" width="16.54296875" style="89" customWidth="1"/>
    <col min="12" max="12" width="5.6328125" style="90" bestFit="1" customWidth="1"/>
    <col min="13" max="13" width="8" style="89" bestFit="1" customWidth="1"/>
    <col min="14" max="14" width="9.36328125" style="89" bestFit="1" customWidth="1"/>
    <col min="15" max="15" width="12.08984375" style="136" customWidth="1"/>
    <col min="16" max="16" width="12.08984375" style="145" customWidth="1"/>
    <col min="17" max="18" width="12.08984375" style="136" customWidth="1"/>
    <col min="19" max="19" width="15.6328125" style="136" customWidth="1"/>
    <col min="20" max="16384" width="9.08984375" style="89"/>
  </cols>
  <sheetData>
    <row r="1" spans="2:20" ht="72" customHeight="1" thickBot="1">
      <c r="B1" s="91" t="s">
        <v>70</v>
      </c>
      <c r="C1" s="92" t="s">
        <v>71</v>
      </c>
      <c r="D1" s="92" t="s">
        <v>72</v>
      </c>
      <c r="E1" s="91" t="s">
        <v>73</v>
      </c>
      <c r="F1" s="91" t="s">
        <v>74</v>
      </c>
      <c r="G1" s="91" t="s">
        <v>75</v>
      </c>
      <c r="H1" s="557" t="s">
        <v>76</v>
      </c>
      <c r="I1" s="558"/>
      <c r="J1" s="559"/>
      <c r="K1" s="93" t="s">
        <v>77</v>
      </c>
      <c r="L1" s="557" t="s">
        <v>78</v>
      </c>
      <c r="M1" s="558"/>
      <c r="N1" s="559"/>
      <c r="O1" s="201" t="s">
        <v>79</v>
      </c>
      <c r="P1" s="169" t="s">
        <v>115</v>
      </c>
      <c r="Q1" s="189" t="s">
        <v>116</v>
      </c>
      <c r="R1" s="190" t="s">
        <v>80</v>
      </c>
      <c r="S1" s="189" t="s">
        <v>81</v>
      </c>
    </row>
    <row r="2" spans="2:20" ht="15" thickBot="1">
      <c r="B2" s="94" t="str">
        <f>VARIATIONS!B15</f>
        <v>RPJV-JOT-VOR-003 Rev00</v>
      </c>
      <c r="C2" s="95"/>
      <c r="D2" s="95"/>
      <c r="E2" s="95"/>
      <c r="F2" s="95"/>
      <c r="G2" s="96"/>
      <c r="H2" s="97" t="s">
        <v>70</v>
      </c>
      <c r="I2" s="98" t="s">
        <v>83</v>
      </c>
      <c r="J2" s="99" t="s">
        <v>85</v>
      </c>
      <c r="K2" s="100"/>
      <c r="L2" s="101" t="s">
        <v>70</v>
      </c>
      <c r="M2" s="98" t="s">
        <v>83</v>
      </c>
      <c r="N2" s="99" t="s">
        <v>85</v>
      </c>
      <c r="O2" s="191"/>
      <c r="P2" s="140"/>
      <c r="Q2" s="192"/>
      <c r="R2" s="192"/>
      <c r="S2" s="191" t="s">
        <v>86</v>
      </c>
    </row>
    <row r="3" spans="2:20">
      <c r="B3" s="103"/>
      <c r="C3" s="104"/>
      <c r="D3" s="104"/>
      <c r="E3" s="104"/>
      <c r="F3" s="105"/>
      <c r="G3" s="105"/>
      <c r="H3" s="103"/>
      <c r="I3" s="106"/>
      <c r="J3" s="107"/>
      <c r="K3" s="108"/>
      <c r="L3" s="109"/>
      <c r="M3" s="104"/>
      <c r="N3" s="107"/>
      <c r="O3" s="205"/>
      <c r="P3" s="167"/>
      <c r="Q3" s="193"/>
      <c r="R3" s="193"/>
      <c r="S3" s="194"/>
    </row>
    <row r="4" spans="2:20">
      <c r="B4" s="115">
        <v>1</v>
      </c>
      <c r="C4" s="111" t="s">
        <v>130</v>
      </c>
      <c r="D4" s="111" t="s">
        <v>131</v>
      </c>
      <c r="E4" s="111" t="s">
        <v>132</v>
      </c>
      <c r="F4" s="113" t="s">
        <v>129</v>
      </c>
      <c r="G4" s="114"/>
      <c r="H4" s="115">
        <v>2</v>
      </c>
      <c r="I4" s="116">
        <v>9.92</v>
      </c>
      <c r="J4" s="118">
        <f t="shared" ref="J4:J16" si="0">H4*I4</f>
        <v>19.84</v>
      </c>
      <c r="K4" s="119"/>
      <c r="L4" s="120">
        <v>0</v>
      </c>
      <c r="M4" s="121">
        <v>0</v>
      </c>
      <c r="N4" s="252">
        <v>0</v>
      </c>
      <c r="O4" s="187">
        <f>J4-N4</f>
        <v>19.84</v>
      </c>
      <c r="P4" s="246">
        <v>1</v>
      </c>
      <c r="Q4" s="187">
        <f>O4*P4</f>
        <v>19.84</v>
      </c>
      <c r="R4" s="359">
        <v>19.84</v>
      </c>
      <c r="S4" s="360">
        <f>O4-R4</f>
        <v>0</v>
      </c>
      <c r="T4" s="245"/>
    </row>
    <row r="5" spans="2:20">
      <c r="B5" s="115"/>
      <c r="C5" s="111" t="s">
        <v>133</v>
      </c>
      <c r="D5" s="111"/>
      <c r="E5" s="112"/>
      <c r="F5" s="113"/>
      <c r="G5" s="114"/>
      <c r="H5" s="115"/>
      <c r="I5" s="116"/>
      <c r="J5" s="118"/>
      <c r="K5" s="119"/>
      <c r="L5" s="120"/>
      <c r="M5" s="121"/>
      <c r="N5" s="252"/>
      <c r="O5" s="187"/>
      <c r="P5" s="246"/>
      <c r="Q5" s="187"/>
      <c r="R5" s="359"/>
      <c r="S5" s="360"/>
      <c r="T5" s="245"/>
    </row>
    <row r="6" spans="2:20">
      <c r="B6" s="115"/>
      <c r="C6" s="111"/>
      <c r="D6" s="123"/>
      <c r="E6" s="111"/>
      <c r="F6" s="113"/>
      <c r="G6" s="114"/>
      <c r="H6" s="115"/>
      <c r="I6" s="116"/>
      <c r="J6" s="118"/>
      <c r="K6" s="119"/>
      <c r="L6" s="120"/>
      <c r="M6" s="121"/>
      <c r="N6" s="252"/>
      <c r="O6" s="187"/>
      <c r="P6" s="246"/>
      <c r="Q6" s="187"/>
      <c r="R6" s="359"/>
      <c r="S6" s="360"/>
      <c r="T6" s="245"/>
    </row>
    <row r="7" spans="2:20">
      <c r="B7" s="115">
        <v>2</v>
      </c>
      <c r="C7" s="150" t="s">
        <v>147</v>
      </c>
      <c r="D7" s="111" t="s">
        <v>148</v>
      </c>
      <c r="E7" s="111" t="s">
        <v>149</v>
      </c>
      <c r="F7" s="113" t="s">
        <v>121</v>
      </c>
      <c r="G7" s="114"/>
      <c r="H7" s="115">
        <v>6</v>
      </c>
      <c r="I7" s="116">
        <v>1.4</v>
      </c>
      <c r="J7" s="118">
        <f t="shared" si="0"/>
        <v>8.3999999999999986</v>
      </c>
      <c r="K7" s="119"/>
      <c r="L7" s="120">
        <v>0</v>
      </c>
      <c r="M7" s="121">
        <v>0</v>
      </c>
      <c r="N7" s="252">
        <v>0</v>
      </c>
      <c r="O7" s="187">
        <f>J7-N7</f>
        <v>8.3999999999999986</v>
      </c>
      <c r="P7" s="246">
        <v>1</v>
      </c>
      <c r="Q7" s="187">
        <f>O7*P7</f>
        <v>8.3999999999999986</v>
      </c>
      <c r="R7" s="359">
        <v>8.4</v>
      </c>
      <c r="S7" s="360">
        <f>O7-R7</f>
        <v>0</v>
      </c>
      <c r="T7" s="245"/>
    </row>
    <row r="8" spans="2:20">
      <c r="B8" s="115"/>
      <c r="C8" s="150" t="s">
        <v>150</v>
      </c>
      <c r="D8" s="123"/>
      <c r="E8" s="111"/>
      <c r="F8" s="113"/>
      <c r="G8" s="114"/>
      <c r="H8" s="115"/>
      <c r="I8" s="116"/>
      <c r="J8" s="118"/>
      <c r="K8" s="119"/>
      <c r="L8" s="120"/>
      <c r="M8" s="121"/>
      <c r="N8" s="252"/>
      <c r="O8" s="187"/>
      <c r="P8" s="246"/>
      <c r="Q8" s="187"/>
      <c r="R8" s="359"/>
      <c r="S8" s="360"/>
      <c r="T8" s="245"/>
    </row>
    <row r="9" spans="2:20">
      <c r="B9" s="115"/>
      <c r="C9" s="111"/>
      <c r="D9" s="123"/>
      <c r="E9" s="111"/>
      <c r="F9" s="113"/>
      <c r="G9" s="114"/>
      <c r="H9" s="115"/>
      <c r="I9" s="116"/>
      <c r="J9" s="118"/>
      <c r="K9" s="119"/>
      <c r="L9" s="120"/>
      <c r="M9" s="121"/>
      <c r="N9" s="252"/>
      <c r="O9" s="187"/>
      <c r="P9" s="246"/>
      <c r="Q9" s="187"/>
      <c r="R9" s="359"/>
      <c r="S9" s="360"/>
      <c r="T9" s="245"/>
    </row>
    <row r="10" spans="2:20">
      <c r="B10" s="115">
        <v>3</v>
      </c>
      <c r="C10" s="153" t="s">
        <v>151</v>
      </c>
      <c r="D10" s="111" t="s">
        <v>127</v>
      </c>
      <c r="E10" s="146" t="s">
        <v>128</v>
      </c>
      <c r="F10" s="147" t="s">
        <v>129</v>
      </c>
      <c r="G10" s="114"/>
      <c r="H10" s="115">
        <v>2</v>
      </c>
      <c r="I10" s="116">
        <v>9.92</v>
      </c>
      <c r="J10" s="118">
        <f t="shared" si="0"/>
        <v>19.84</v>
      </c>
      <c r="K10" s="119"/>
      <c r="L10" s="120">
        <v>0</v>
      </c>
      <c r="M10" s="121">
        <v>0</v>
      </c>
      <c r="N10" s="252">
        <v>0</v>
      </c>
      <c r="O10" s="187">
        <f>J10-N10</f>
        <v>19.84</v>
      </c>
      <c r="P10" s="246">
        <v>1</v>
      </c>
      <c r="Q10" s="187">
        <f>O10*P10</f>
        <v>19.84</v>
      </c>
      <c r="R10" s="359">
        <v>19.84</v>
      </c>
      <c r="S10" s="360">
        <f>O10-R10</f>
        <v>0</v>
      </c>
      <c r="T10" s="245"/>
    </row>
    <row r="11" spans="2:20">
      <c r="B11" s="115"/>
      <c r="C11" s="150" t="s">
        <v>134</v>
      </c>
      <c r="D11" s="111"/>
      <c r="E11" s="111"/>
      <c r="F11" s="113"/>
      <c r="G11" s="114"/>
      <c r="H11" s="115"/>
      <c r="I11" s="116"/>
      <c r="J11" s="118"/>
      <c r="K11" s="119"/>
      <c r="L11" s="120"/>
      <c r="M11" s="121"/>
      <c r="N11" s="252"/>
      <c r="O11" s="187"/>
      <c r="P11" s="246"/>
      <c r="Q11" s="187"/>
      <c r="R11" s="359"/>
      <c r="S11" s="360"/>
      <c r="T11" s="245"/>
    </row>
    <row r="12" spans="2:20">
      <c r="B12" s="115"/>
      <c r="C12" s="111"/>
      <c r="D12" s="123"/>
      <c r="E12" s="111"/>
      <c r="F12" s="113"/>
      <c r="G12" s="114"/>
      <c r="H12" s="115"/>
      <c r="I12" s="116"/>
      <c r="J12" s="118"/>
      <c r="K12" s="119"/>
      <c r="L12" s="120"/>
      <c r="M12" s="121"/>
      <c r="N12" s="252"/>
      <c r="O12" s="187"/>
      <c r="P12" s="246"/>
      <c r="Q12" s="187"/>
      <c r="R12" s="359"/>
      <c r="S12" s="360"/>
      <c r="T12" s="245"/>
    </row>
    <row r="13" spans="2:20">
      <c r="B13" s="149">
        <v>4</v>
      </c>
      <c r="C13" s="259" t="s">
        <v>142</v>
      </c>
      <c r="D13" s="171" t="s">
        <v>184</v>
      </c>
      <c r="E13" s="172" t="s">
        <v>136</v>
      </c>
      <c r="F13" s="147" t="s">
        <v>124</v>
      </c>
      <c r="G13" s="114"/>
      <c r="H13" s="115">
        <v>4</v>
      </c>
      <c r="I13" s="116">
        <v>7.28</v>
      </c>
      <c r="J13" s="118">
        <f t="shared" si="0"/>
        <v>29.12</v>
      </c>
      <c r="K13" s="119"/>
      <c r="L13" s="120">
        <v>0</v>
      </c>
      <c r="M13" s="121">
        <v>0</v>
      </c>
      <c r="N13" s="252">
        <v>0</v>
      </c>
      <c r="O13" s="187">
        <f>J13-N13</f>
        <v>29.12</v>
      </c>
      <c r="P13" s="246">
        <v>1</v>
      </c>
      <c r="Q13" s="187">
        <f>O13*P13</f>
        <v>29.12</v>
      </c>
      <c r="R13" s="359">
        <v>29.12</v>
      </c>
      <c r="S13" s="360">
        <f t="shared" ref="S13:S19" si="1">O13-R13</f>
        <v>0</v>
      </c>
      <c r="T13" s="245"/>
    </row>
    <row r="14" spans="2:20">
      <c r="B14" s="149"/>
      <c r="C14" s="253" t="s">
        <v>202</v>
      </c>
      <c r="D14" s="170"/>
      <c r="E14" s="172"/>
      <c r="F14" s="147"/>
      <c r="G14" s="114"/>
      <c r="H14" s="115"/>
      <c r="I14" s="116"/>
      <c r="J14" s="118"/>
      <c r="K14" s="119"/>
      <c r="L14" s="120"/>
      <c r="M14" s="121"/>
      <c r="N14" s="252"/>
      <c r="O14" s="187"/>
      <c r="P14" s="246"/>
      <c r="Q14" s="187"/>
      <c r="R14" s="359"/>
      <c r="S14" s="360"/>
      <c r="T14" s="245"/>
    </row>
    <row r="15" spans="2:20">
      <c r="B15" s="149"/>
      <c r="C15" s="253"/>
      <c r="D15" s="170"/>
      <c r="E15" s="172"/>
      <c r="F15" s="147"/>
      <c r="G15" s="114"/>
      <c r="H15" s="115"/>
      <c r="I15" s="116"/>
      <c r="J15" s="118"/>
      <c r="K15" s="119"/>
      <c r="L15" s="120"/>
      <c r="M15" s="121"/>
      <c r="N15" s="252"/>
      <c r="O15" s="187"/>
      <c r="P15" s="246"/>
      <c r="Q15" s="187"/>
      <c r="R15" s="359"/>
      <c r="S15" s="360"/>
      <c r="T15" s="245"/>
    </row>
    <row r="16" spans="2:20">
      <c r="B16" s="149">
        <v>5</v>
      </c>
      <c r="C16" s="253" t="s">
        <v>203</v>
      </c>
      <c r="D16" s="171" t="s">
        <v>119</v>
      </c>
      <c r="E16" s="172" t="s">
        <v>120</v>
      </c>
      <c r="F16" s="147" t="s">
        <v>121</v>
      </c>
      <c r="G16" s="114"/>
      <c r="H16" s="115">
        <v>4</v>
      </c>
      <c r="I16" s="116">
        <v>7.28</v>
      </c>
      <c r="J16" s="118">
        <f t="shared" si="0"/>
        <v>29.12</v>
      </c>
      <c r="K16" s="119"/>
      <c r="L16" s="120">
        <v>0</v>
      </c>
      <c r="M16" s="121">
        <v>0</v>
      </c>
      <c r="N16" s="252">
        <v>0</v>
      </c>
      <c r="O16" s="187">
        <f>J16-N16</f>
        <v>29.12</v>
      </c>
      <c r="P16" s="246">
        <v>1</v>
      </c>
      <c r="Q16" s="187">
        <f>O16*P16</f>
        <v>29.12</v>
      </c>
      <c r="R16" s="359">
        <v>29.12</v>
      </c>
      <c r="S16" s="360">
        <f t="shared" si="1"/>
        <v>0</v>
      </c>
      <c r="T16" s="245"/>
    </row>
    <row r="17" spans="2:20">
      <c r="B17" s="149"/>
      <c r="C17" s="253" t="s">
        <v>204</v>
      </c>
      <c r="D17" s="170"/>
      <c r="E17" s="172"/>
      <c r="F17" s="147"/>
      <c r="G17" s="114"/>
      <c r="H17" s="115"/>
      <c r="I17" s="116"/>
      <c r="J17" s="118"/>
      <c r="K17" s="119"/>
      <c r="L17" s="120"/>
      <c r="M17" s="121"/>
      <c r="N17" s="252"/>
      <c r="O17" s="187"/>
      <c r="P17" s="230"/>
      <c r="Q17" s="187"/>
      <c r="R17" s="359"/>
      <c r="S17" s="360"/>
      <c r="T17" s="245"/>
    </row>
    <row r="18" spans="2:20">
      <c r="B18" s="149"/>
      <c r="C18" s="253"/>
      <c r="D18" s="170"/>
      <c r="E18" s="172"/>
      <c r="F18" s="147"/>
      <c r="G18" s="114"/>
      <c r="H18" s="115"/>
      <c r="I18" s="116"/>
      <c r="J18" s="118"/>
      <c r="K18" s="119"/>
      <c r="L18" s="120"/>
      <c r="M18" s="121"/>
      <c r="N18" s="252"/>
      <c r="O18" s="187"/>
      <c r="P18" s="246"/>
      <c r="Q18" s="187"/>
      <c r="R18" s="359"/>
      <c r="S18" s="360"/>
      <c r="T18" s="245"/>
    </row>
    <row r="19" spans="2:20">
      <c r="B19" s="149">
        <v>6</v>
      </c>
      <c r="C19" s="150" t="s">
        <v>147</v>
      </c>
      <c r="D19" s="111" t="s">
        <v>148</v>
      </c>
      <c r="E19" s="111" t="s">
        <v>205</v>
      </c>
      <c r="F19" s="113" t="s">
        <v>121</v>
      </c>
      <c r="G19" s="114"/>
      <c r="H19" s="115">
        <v>6</v>
      </c>
      <c r="I19" s="116">
        <v>1.4</v>
      </c>
      <c r="J19" s="118">
        <f t="shared" ref="J19" si="2">H19*I19</f>
        <v>8.3999999999999986</v>
      </c>
      <c r="K19" s="119"/>
      <c r="L19" s="120">
        <v>0</v>
      </c>
      <c r="M19" s="121">
        <v>0</v>
      </c>
      <c r="N19" s="252">
        <v>0</v>
      </c>
      <c r="O19" s="187">
        <f>J19-N19</f>
        <v>8.3999999999999986</v>
      </c>
      <c r="P19" s="246">
        <v>1</v>
      </c>
      <c r="Q19" s="187">
        <f>O19*P19</f>
        <v>8.3999999999999986</v>
      </c>
      <c r="R19" s="359">
        <v>8.4</v>
      </c>
      <c r="S19" s="360">
        <f t="shared" si="1"/>
        <v>0</v>
      </c>
      <c r="T19" s="245"/>
    </row>
    <row r="20" spans="2:20">
      <c r="B20" s="149"/>
      <c r="C20" s="150" t="s">
        <v>206</v>
      </c>
      <c r="D20" s="123"/>
      <c r="E20" s="111"/>
      <c r="F20" s="113"/>
      <c r="G20" s="114"/>
      <c r="H20" s="115"/>
      <c r="I20" s="116"/>
      <c r="J20" s="118"/>
      <c r="K20" s="119"/>
      <c r="L20" s="260"/>
      <c r="M20" s="231"/>
      <c r="N20" s="231"/>
      <c r="O20" s="187"/>
      <c r="P20" s="246"/>
      <c r="Q20" s="187"/>
      <c r="R20" s="359"/>
      <c r="S20" s="360"/>
      <c r="T20" s="245"/>
    </row>
    <row r="21" spans="2:20">
      <c r="B21" s="115"/>
      <c r="C21" s="111"/>
      <c r="D21" s="111"/>
      <c r="E21" s="112"/>
      <c r="F21" s="113"/>
      <c r="G21" s="114"/>
      <c r="H21" s="115"/>
      <c r="I21" s="116"/>
      <c r="J21" s="118"/>
      <c r="K21" s="245"/>
      <c r="L21" s="260"/>
      <c r="M21" s="231"/>
      <c r="N21" s="231"/>
      <c r="O21" s="187"/>
      <c r="P21" s="479"/>
      <c r="Q21" s="187"/>
      <c r="R21" s="359"/>
      <c r="S21" s="360"/>
      <c r="T21" s="245"/>
    </row>
    <row r="22" spans="2:20">
      <c r="B22" s="264">
        <v>7</v>
      </c>
      <c r="C22" s="150" t="s">
        <v>238</v>
      </c>
      <c r="D22" s="111" t="s">
        <v>197</v>
      </c>
      <c r="E22" s="156" t="s">
        <v>239</v>
      </c>
      <c r="F22" s="147" t="s">
        <v>240</v>
      </c>
      <c r="G22" s="148"/>
      <c r="H22" s="149">
        <v>4</v>
      </c>
      <c r="I22" s="151">
        <v>9.98</v>
      </c>
      <c r="J22" s="118">
        <f t="shared" ref="J22:J28" si="3">H22*I22</f>
        <v>39.92</v>
      </c>
      <c r="K22" s="245"/>
      <c r="L22" s="260">
        <v>0</v>
      </c>
      <c r="M22" s="231">
        <v>0</v>
      </c>
      <c r="N22" s="231">
        <v>0</v>
      </c>
      <c r="O22" s="187">
        <f>(J22+J23)-N22</f>
        <v>71.92</v>
      </c>
      <c r="P22" s="479">
        <v>1</v>
      </c>
      <c r="Q22" s="187">
        <f>O22*P22</f>
        <v>71.92</v>
      </c>
      <c r="R22" s="359">
        <v>71.92</v>
      </c>
      <c r="S22" s="360">
        <f>O22-R22</f>
        <v>0</v>
      </c>
      <c r="T22" s="247"/>
    </row>
    <row r="23" spans="2:20">
      <c r="B23" s="149"/>
      <c r="C23" s="156" t="s">
        <v>330</v>
      </c>
      <c r="D23" s="146"/>
      <c r="E23" s="156"/>
      <c r="F23" s="147"/>
      <c r="G23" s="148"/>
      <c r="H23" s="149">
        <v>4</v>
      </c>
      <c r="I23" s="151">
        <v>8</v>
      </c>
      <c r="J23" s="118">
        <f t="shared" si="3"/>
        <v>32</v>
      </c>
      <c r="K23" s="245"/>
      <c r="L23" s="260"/>
      <c r="M23" s="231"/>
      <c r="N23" s="231"/>
      <c r="O23" s="187"/>
      <c r="P23" s="479"/>
      <c r="Q23" s="187"/>
      <c r="R23" s="359"/>
      <c r="S23" s="360"/>
      <c r="T23" s="247"/>
    </row>
    <row r="24" spans="2:20">
      <c r="B24" s="149"/>
      <c r="C24" s="146"/>
      <c r="D24" s="146"/>
      <c r="E24" s="156"/>
      <c r="F24" s="147"/>
      <c r="G24" s="148"/>
      <c r="H24" s="149"/>
      <c r="I24" s="151"/>
      <c r="J24" s="118"/>
      <c r="K24" s="247"/>
      <c r="L24" s="376"/>
      <c r="M24" s="373"/>
      <c r="N24" s="373"/>
      <c r="O24" s="187"/>
      <c r="P24" s="480"/>
      <c r="Q24" s="187"/>
      <c r="R24" s="359"/>
      <c r="S24" s="360"/>
      <c r="T24" s="247"/>
    </row>
    <row r="25" spans="2:20">
      <c r="B25" s="264">
        <v>8</v>
      </c>
      <c r="C25" s="146" t="s">
        <v>331</v>
      </c>
      <c r="D25" s="111" t="s">
        <v>197</v>
      </c>
      <c r="E25" s="156" t="s">
        <v>332</v>
      </c>
      <c r="F25" s="263" t="s">
        <v>333</v>
      </c>
      <c r="G25" s="148"/>
      <c r="H25" s="149">
        <v>3</v>
      </c>
      <c r="I25" s="151">
        <v>7.242</v>
      </c>
      <c r="J25" s="118">
        <f t="shared" si="3"/>
        <v>21.725999999999999</v>
      </c>
      <c r="K25" s="247"/>
      <c r="L25" s="376">
        <v>0</v>
      </c>
      <c r="M25" s="373">
        <v>0</v>
      </c>
      <c r="N25" s="373">
        <v>0</v>
      </c>
      <c r="O25" s="187">
        <f>(J25+J26+J27)-N25</f>
        <v>28.574000000000002</v>
      </c>
      <c r="P25" s="480">
        <v>1</v>
      </c>
      <c r="Q25" s="187">
        <f>O25*P25</f>
        <v>28.574000000000002</v>
      </c>
      <c r="R25" s="359">
        <v>28.574000000000002</v>
      </c>
      <c r="S25" s="360">
        <f>O25-R25</f>
        <v>0</v>
      </c>
      <c r="T25" s="247"/>
    </row>
    <row r="26" spans="2:20">
      <c r="B26" s="149"/>
      <c r="C26" s="156" t="s">
        <v>334</v>
      </c>
      <c r="D26" s="146"/>
      <c r="E26" s="156"/>
      <c r="F26" s="147"/>
      <c r="G26" s="148"/>
      <c r="H26" s="149">
        <v>1</v>
      </c>
      <c r="I26" s="151">
        <v>4.8730000000000002</v>
      </c>
      <c r="J26" s="118">
        <f t="shared" si="3"/>
        <v>4.8730000000000002</v>
      </c>
      <c r="K26" s="247"/>
      <c r="L26" s="376"/>
      <c r="M26" s="373"/>
      <c r="N26" s="373"/>
      <c r="O26" s="377"/>
      <c r="P26" s="480"/>
      <c r="Q26" s="372"/>
      <c r="R26" s="378"/>
      <c r="S26" s="360"/>
      <c r="T26" s="247"/>
    </row>
    <row r="27" spans="2:20">
      <c r="B27" s="149"/>
      <c r="C27" s="146"/>
      <c r="D27" s="146"/>
      <c r="E27" s="156"/>
      <c r="F27" s="147"/>
      <c r="G27" s="148"/>
      <c r="H27" s="149">
        <v>1</v>
      </c>
      <c r="I27" s="151">
        <v>1.9750000000000001</v>
      </c>
      <c r="J27" s="118">
        <f t="shared" si="3"/>
        <v>1.9750000000000001</v>
      </c>
      <c r="K27" s="247"/>
      <c r="L27" s="376"/>
      <c r="M27" s="373"/>
      <c r="N27" s="373"/>
      <c r="O27" s="377"/>
      <c r="P27" s="369"/>
      <c r="Q27" s="372"/>
      <c r="R27" s="378"/>
      <c r="S27" s="374"/>
      <c r="T27" s="247"/>
    </row>
    <row r="28" spans="2:20">
      <c r="B28" s="264">
        <v>9</v>
      </c>
      <c r="C28" s="146" t="s">
        <v>610</v>
      </c>
      <c r="D28" s="111" t="s">
        <v>611</v>
      </c>
      <c r="E28" s="156"/>
      <c r="F28" s="147"/>
      <c r="G28" s="148"/>
      <c r="H28" s="149">
        <v>14</v>
      </c>
      <c r="I28" s="151">
        <v>5.35</v>
      </c>
      <c r="J28" s="118">
        <f t="shared" si="3"/>
        <v>74.899999999999991</v>
      </c>
      <c r="K28" s="247"/>
      <c r="L28" s="376">
        <v>0</v>
      </c>
      <c r="M28" s="373">
        <v>0</v>
      </c>
      <c r="N28" s="373">
        <v>0</v>
      </c>
      <c r="O28" s="187">
        <f t="shared" ref="O28" si="4">(J28+J29+J30)-N28</f>
        <v>74.899999999999991</v>
      </c>
      <c r="P28" s="543">
        <v>1</v>
      </c>
      <c r="Q28" s="187">
        <f t="shared" ref="Q28" si="5">O28*P28</f>
        <v>74.899999999999991</v>
      </c>
      <c r="R28" s="359">
        <v>0</v>
      </c>
      <c r="S28" s="360">
        <f t="shared" ref="S28" si="6">O28-R28</f>
        <v>74.899999999999991</v>
      </c>
      <c r="T28" s="247"/>
    </row>
    <row r="29" spans="2:20">
      <c r="B29" s="149"/>
      <c r="C29" s="146" t="s">
        <v>612</v>
      </c>
      <c r="D29" s="146"/>
      <c r="E29" s="156"/>
      <c r="F29" s="147"/>
      <c r="G29" s="148"/>
      <c r="H29" s="149"/>
      <c r="I29" s="151"/>
      <c r="J29" s="118"/>
      <c r="K29" s="247"/>
      <c r="L29" s="376"/>
      <c r="M29" s="373"/>
      <c r="N29" s="373"/>
      <c r="O29" s="372"/>
      <c r="P29" s="369"/>
      <c r="Q29" s="372"/>
      <c r="R29" s="378"/>
      <c r="S29" s="374"/>
      <c r="T29" s="247"/>
    </row>
    <row r="30" spans="2:20" ht="15" customHeight="1" thickBot="1">
      <c r="B30" s="125"/>
      <c r="C30" s="126"/>
      <c r="D30" s="126"/>
      <c r="E30" s="126"/>
      <c r="F30" s="127"/>
      <c r="G30" s="128"/>
      <c r="H30" s="129"/>
      <c r="I30" s="130"/>
      <c r="J30" s="131"/>
      <c r="K30" s="251"/>
      <c r="L30" s="261"/>
      <c r="M30" s="262"/>
      <c r="N30" s="262"/>
      <c r="O30" s="197"/>
      <c r="P30" s="239"/>
      <c r="Q30" s="197"/>
      <c r="R30" s="240"/>
      <c r="S30" s="352"/>
      <c r="T30" s="251"/>
    </row>
    <row r="31" spans="2:20">
      <c r="J31" s="136"/>
      <c r="M31" s="136"/>
      <c r="N31" s="136" t="s">
        <v>37</v>
      </c>
      <c r="O31" s="137">
        <f>SUM(O3:O30)</f>
        <v>290.11399999999998</v>
      </c>
      <c r="P31" s="143"/>
      <c r="Q31" s="137">
        <f>SUM(Q3:Q30)</f>
        <v>290.11399999999998</v>
      </c>
      <c r="R31" s="137">
        <f t="shared" ref="R31:S31" si="7">SUM(R3:R30)</f>
        <v>215.21400000000003</v>
      </c>
      <c r="S31" s="137">
        <f t="shared" si="7"/>
        <v>74.899999999999991</v>
      </c>
    </row>
  </sheetData>
  <mergeCells count="2">
    <mergeCell ref="H1:J1"/>
    <mergeCell ref="L1:N1"/>
  </mergeCells>
  <printOptions horizontalCentered="1"/>
  <pageMargins left="0.25" right="0.25" top="0.75" bottom="0.75" header="0.3" footer="0.3"/>
  <pageSetup paperSize="9" scale="5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B1:V32"/>
  <sheetViews>
    <sheetView view="pageBreakPreview" topLeftCell="A11" zoomScale="80" zoomScaleNormal="70" zoomScaleSheetLayoutView="80" workbookViewId="0">
      <selection activeCell="K28" sqref="K28"/>
    </sheetView>
  </sheetViews>
  <sheetFormatPr defaultColWidth="9.08984375" defaultRowHeight="14.5"/>
  <cols>
    <col min="1" max="1" width="2.08984375" style="89" customWidth="1"/>
    <col min="2" max="2" width="4.54296875" style="89" customWidth="1"/>
    <col min="3" max="3" width="30.36328125" style="89" customWidth="1"/>
    <col min="4" max="4" width="25.54296875" style="89" customWidth="1"/>
    <col min="5" max="5" width="10.36328125" style="89" customWidth="1"/>
    <col min="6" max="6" width="11" style="89" customWidth="1"/>
    <col min="7" max="7" width="10" style="89" customWidth="1"/>
    <col min="8" max="8" width="4.08984375" style="89" bestFit="1" customWidth="1"/>
    <col min="9" max="11" width="8.08984375" style="89" customWidth="1"/>
    <col min="12" max="12" width="12.6328125" style="89" customWidth="1"/>
    <col min="13" max="13" width="3.90625" style="90" customWidth="1"/>
    <col min="14" max="16" width="8.08984375" style="89" customWidth="1"/>
    <col min="17" max="17" width="13.90625" style="136" customWidth="1"/>
    <col min="18" max="18" width="14.54296875" style="89" customWidth="1"/>
    <col min="19" max="21" width="14.54296875" style="136" customWidth="1"/>
    <col min="22"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hidden="1" thickBot="1">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243" t="s">
        <v>176</v>
      </c>
    </row>
    <row r="12" spans="2:22" ht="15" thickBot="1">
      <c r="B12" s="94" t="s">
        <v>211</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227"/>
      <c r="R13" s="226"/>
      <c r="S13" s="227"/>
      <c r="T13" s="228"/>
      <c r="U13" s="351"/>
      <c r="V13" s="245"/>
    </row>
    <row r="14" spans="2:22">
      <c r="B14" s="178">
        <v>1</v>
      </c>
      <c r="C14" s="256" t="s">
        <v>195</v>
      </c>
      <c r="D14" s="111" t="s">
        <v>119</v>
      </c>
      <c r="E14" s="146" t="s">
        <v>120</v>
      </c>
      <c r="F14" s="263" t="s">
        <v>121</v>
      </c>
      <c r="G14" s="148"/>
      <c r="H14" s="149">
        <v>1</v>
      </c>
      <c r="I14" s="258">
        <v>9.2750000000000004</v>
      </c>
      <c r="J14" s="258">
        <v>7.4420000000000002</v>
      </c>
      <c r="K14" s="118">
        <f>H14*I14*J14</f>
        <v>69.024550000000005</v>
      </c>
      <c r="L14" s="119"/>
      <c r="M14" s="120">
        <v>0</v>
      </c>
      <c r="N14" s="117">
        <v>0</v>
      </c>
      <c r="O14" s="117">
        <v>0</v>
      </c>
      <c r="P14" s="122">
        <v>0</v>
      </c>
      <c r="Q14" s="327">
        <f>K14-P14</f>
        <v>69.024550000000005</v>
      </c>
      <c r="R14" s="230">
        <v>1</v>
      </c>
      <c r="S14" s="327">
        <f>Q14*R14</f>
        <v>69.024550000000005</v>
      </c>
      <c r="T14" s="332">
        <v>69.024550000000005</v>
      </c>
      <c r="U14" s="315">
        <f>S14-T14</f>
        <v>0</v>
      </c>
      <c r="V14" s="245"/>
    </row>
    <row r="15" spans="2:22">
      <c r="B15" s="178"/>
      <c r="C15" s="150" t="s">
        <v>241</v>
      </c>
      <c r="D15" s="111"/>
      <c r="E15" s="146"/>
      <c r="F15" s="147"/>
      <c r="G15" s="148"/>
      <c r="H15" s="149"/>
      <c r="I15" s="151"/>
      <c r="J15" s="116"/>
      <c r="K15" s="118"/>
      <c r="L15" s="119"/>
      <c r="M15" s="120"/>
      <c r="N15" s="117"/>
      <c r="O15" s="117"/>
      <c r="P15" s="122"/>
      <c r="Q15" s="327"/>
      <c r="R15" s="230"/>
      <c r="S15" s="327"/>
      <c r="T15" s="332"/>
      <c r="U15" s="315"/>
      <c r="V15" s="245"/>
    </row>
    <row r="16" spans="2:22">
      <c r="B16" s="178"/>
      <c r="C16" s="152"/>
      <c r="D16" s="123"/>
      <c r="E16" s="112"/>
      <c r="F16" s="113"/>
      <c r="G16" s="114"/>
      <c r="H16" s="115"/>
      <c r="I16" s="116"/>
      <c r="J16" s="116"/>
      <c r="K16" s="118"/>
      <c r="L16" s="119"/>
      <c r="M16" s="120"/>
      <c r="N16" s="117"/>
      <c r="O16" s="117"/>
      <c r="P16" s="122"/>
      <c r="Q16" s="327"/>
      <c r="R16" s="230"/>
      <c r="S16" s="327"/>
      <c r="T16" s="332"/>
      <c r="U16" s="315"/>
      <c r="V16" s="245"/>
    </row>
    <row r="17" spans="2:22">
      <c r="B17" s="178">
        <v>2</v>
      </c>
      <c r="C17" s="152" t="s">
        <v>196</v>
      </c>
      <c r="D17" s="111" t="s">
        <v>197</v>
      </c>
      <c r="E17" s="112" t="s">
        <v>198</v>
      </c>
      <c r="F17" s="263" t="s">
        <v>199</v>
      </c>
      <c r="G17" s="114"/>
      <c r="H17" s="115">
        <v>0.5</v>
      </c>
      <c r="I17" s="116">
        <v>26.050999999999998</v>
      </c>
      <c r="J17" s="117">
        <v>2.5990000000000002</v>
      </c>
      <c r="K17" s="118">
        <f t="shared" ref="K17:K27" si="0">H17*I17*J17</f>
        <v>33.853274499999998</v>
      </c>
      <c r="L17" s="119"/>
      <c r="M17" s="120">
        <v>0</v>
      </c>
      <c r="N17" s="117">
        <v>0</v>
      </c>
      <c r="O17" s="117">
        <v>0</v>
      </c>
      <c r="P17" s="122">
        <v>0</v>
      </c>
      <c r="Q17" s="327">
        <f>SUM(K17:K19)-SUM(P17:P19)</f>
        <v>244.9024345</v>
      </c>
      <c r="R17" s="230">
        <v>0.95</v>
      </c>
      <c r="S17" s="327">
        <f t="shared" ref="S17" si="1">Q17*R17</f>
        <v>232.65731277499998</v>
      </c>
      <c r="T17" s="332">
        <v>232.65731277499998</v>
      </c>
      <c r="U17" s="315">
        <f t="shared" ref="U17" si="2">S17-T17</f>
        <v>0</v>
      </c>
      <c r="V17" s="245"/>
    </row>
    <row r="18" spans="2:22">
      <c r="B18" s="178"/>
      <c r="C18" s="152" t="s">
        <v>608</v>
      </c>
      <c r="D18" s="111"/>
      <c r="E18" s="112"/>
      <c r="F18" s="263"/>
      <c r="G18" s="114"/>
      <c r="H18" s="115">
        <v>1</v>
      </c>
      <c r="I18" s="116">
        <v>4.01</v>
      </c>
      <c r="J18" s="117">
        <v>9.98</v>
      </c>
      <c r="K18" s="118">
        <f t="shared" si="0"/>
        <v>40.019799999999996</v>
      </c>
      <c r="L18" s="119"/>
      <c r="M18" s="120">
        <v>0</v>
      </c>
      <c r="N18" s="117">
        <v>0</v>
      </c>
      <c r="O18" s="117">
        <v>0</v>
      </c>
      <c r="P18" s="122">
        <v>0</v>
      </c>
      <c r="Q18" s="327"/>
      <c r="R18" s="246"/>
      <c r="S18" s="327"/>
      <c r="T18" s="332"/>
      <c r="U18" s="315"/>
      <c r="V18" s="245"/>
    </row>
    <row r="19" spans="2:22">
      <c r="B19" s="178"/>
      <c r="C19" s="152"/>
      <c r="D19" s="111"/>
      <c r="E19" s="111"/>
      <c r="F19" s="113"/>
      <c r="G19" s="232"/>
      <c r="H19" s="115">
        <v>1</v>
      </c>
      <c r="I19" s="116">
        <v>26.05</v>
      </c>
      <c r="J19" s="117">
        <v>7.38</v>
      </c>
      <c r="K19" s="118">
        <f t="shared" si="0"/>
        <v>192.249</v>
      </c>
      <c r="L19" s="119"/>
      <c r="M19" s="120">
        <v>1</v>
      </c>
      <c r="N19" s="117">
        <v>2.7949999999999999</v>
      </c>
      <c r="O19" s="117">
        <v>7.5919999999999996</v>
      </c>
      <c r="P19" s="122">
        <f>M19*N19*O19</f>
        <v>21.219639999999998</v>
      </c>
      <c r="Q19" s="327"/>
      <c r="R19" s="246"/>
      <c r="S19" s="327"/>
      <c r="T19" s="332"/>
      <c r="U19" s="315"/>
      <c r="V19" s="245"/>
    </row>
    <row r="20" spans="2:22">
      <c r="B20" s="178"/>
      <c r="C20" s="152"/>
      <c r="D20" s="111"/>
      <c r="E20" s="111"/>
      <c r="F20" s="147"/>
      <c r="G20" s="232"/>
      <c r="H20" s="115"/>
      <c r="I20" s="116"/>
      <c r="J20" s="117"/>
      <c r="K20" s="118"/>
      <c r="L20" s="119"/>
      <c r="M20" s="120"/>
      <c r="N20" s="117"/>
      <c r="O20" s="117"/>
      <c r="P20" s="122"/>
      <c r="Q20" s="327"/>
      <c r="R20" s="246"/>
      <c r="S20" s="327"/>
      <c r="T20" s="332"/>
      <c r="U20" s="315"/>
      <c r="V20" s="245"/>
    </row>
    <row r="21" spans="2:22">
      <c r="B21" s="178">
        <v>3</v>
      </c>
      <c r="C21" s="152" t="s">
        <v>200</v>
      </c>
      <c r="D21" s="111" t="s">
        <v>119</v>
      </c>
      <c r="E21" s="111" t="s">
        <v>201</v>
      </c>
      <c r="F21" s="263" t="s">
        <v>199</v>
      </c>
      <c r="G21" s="232"/>
      <c r="H21" s="115">
        <v>1</v>
      </c>
      <c r="I21" s="116">
        <v>25.135000000000002</v>
      </c>
      <c r="J21" s="117">
        <v>7.0369999999999999</v>
      </c>
      <c r="K21" s="118">
        <f t="shared" si="0"/>
        <v>176.87499500000001</v>
      </c>
      <c r="L21" s="119"/>
      <c r="M21" s="120">
        <v>0</v>
      </c>
      <c r="N21" s="117">
        <v>0</v>
      </c>
      <c r="O21" s="117">
        <v>0</v>
      </c>
      <c r="P21" s="122">
        <v>0</v>
      </c>
      <c r="Q21" s="327">
        <f t="shared" ref="Q21:Q27" si="3">K21-P21</f>
        <v>176.87499500000001</v>
      </c>
      <c r="R21" s="246">
        <v>0.6</v>
      </c>
      <c r="S21" s="327">
        <f t="shared" ref="S21:S27" si="4">Q21*R21</f>
        <v>106.12499700000001</v>
      </c>
      <c r="T21" s="332">
        <v>106.12499700000001</v>
      </c>
      <c r="U21" s="315">
        <f t="shared" ref="U21:U27" si="5">S21-T21</f>
        <v>0</v>
      </c>
      <c r="V21" s="245"/>
    </row>
    <row r="22" spans="2:22">
      <c r="B22" s="178"/>
      <c r="C22" s="152" t="s">
        <v>553</v>
      </c>
      <c r="D22" s="111"/>
      <c r="E22" s="112"/>
      <c r="F22" s="113"/>
      <c r="G22" s="232"/>
      <c r="H22" s="115"/>
      <c r="I22" s="116"/>
      <c r="J22" s="117"/>
      <c r="K22" s="118"/>
      <c r="L22" s="119"/>
      <c r="M22" s="120"/>
      <c r="N22" s="121"/>
      <c r="O22" s="121"/>
      <c r="P22" s="122"/>
      <c r="Q22" s="327"/>
      <c r="R22" s="233"/>
      <c r="S22" s="327"/>
      <c r="T22" s="332"/>
      <c r="U22" s="315"/>
      <c r="V22" s="245"/>
    </row>
    <row r="23" spans="2:22">
      <c r="B23" s="178"/>
      <c r="C23" s="152"/>
      <c r="D23" s="111"/>
      <c r="E23" s="111"/>
      <c r="F23" s="113"/>
      <c r="G23" s="232"/>
      <c r="H23" s="115"/>
      <c r="I23" s="116"/>
      <c r="J23" s="117"/>
      <c r="K23" s="118"/>
      <c r="L23" s="119"/>
      <c r="M23" s="120"/>
      <c r="N23" s="121"/>
      <c r="O23" s="121"/>
      <c r="P23" s="122"/>
      <c r="Q23" s="327"/>
      <c r="R23" s="233"/>
      <c r="S23" s="327"/>
      <c r="T23" s="332"/>
      <c r="U23" s="315"/>
      <c r="V23" s="245"/>
    </row>
    <row r="24" spans="2:22" ht="29">
      <c r="B24" s="178">
        <v>4</v>
      </c>
      <c r="C24" s="481" t="s">
        <v>242</v>
      </c>
      <c r="D24" s="111" t="s">
        <v>243</v>
      </c>
      <c r="E24" s="111" t="s">
        <v>244</v>
      </c>
      <c r="F24" s="263" t="s">
        <v>245</v>
      </c>
      <c r="G24" s="232"/>
      <c r="H24" s="115">
        <v>1</v>
      </c>
      <c r="I24" s="116">
        <v>14.46</v>
      </c>
      <c r="J24" s="117">
        <v>3.45</v>
      </c>
      <c r="K24" s="118">
        <f t="shared" si="0"/>
        <v>49.887000000000008</v>
      </c>
      <c r="L24" s="119" t="s">
        <v>328</v>
      </c>
      <c r="M24" s="182">
        <v>1</v>
      </c>
      <c r="N24" s="183">
        <v>1.2</v>
      </c>
      <c r="O24" s="183">
        <v>2.1</v>
      </c>
      <c r="P24" s="122">
        <f>PRODUCT(M24:O24)</f>
        <v>2.52</v>
      </c>
      <c r="Q24" s="327">
        <f t="shared" si="3"/>
        <v>47.367000000000004</v>
      </c>
      <c r="R24" s="246">
        <v>0.95</v>
      </c>
      <c r="S24" s="327">
        <f t="shared" si="4"/>
        <v>44.998650000000005</v>
      </c>
      <c r="T24" s="332">
        <v>44.998650000000005</v>
      </c>
      <c r="U24" s="315">
        <f t="shared" si="5"/>
        <v>0</v>
      </c>
      <c r="V24" s="245"/>
    </row>
    <row r="25" spans="2:22" ht="29">
      <c r="B25" s="264"/>
      <c r="C25" s="265" t="s">
        <v>528</v>
      </c>
      <c r="D25" s="111"/>
      <c r="E25" s="146"/>
      <c r="F25" s="263"/>
      <c r="G25" s="249"/>
      <c r="H25" s="149"/>
      <c r="I25" s="151"/>
      <c r="J25" s="117"/>
      <c r="K25" s="118"/>
      <c r="M25" s="120"/>
      <c r="N25" s="121"/>
      <c r="O25" s="121"/>
      <c r="P25" s="122"/>
      <c r="Q25" s="327"/>
      <c r="R25" s="246"/>
      <c r="S25" s="327"/>
      <c r="T25" s="332"/>
      <c r="U25" s="315"/>
      <c r="V25" s="245"/>
    </row>
    <row r="26" spans="2:22">
      <c r="B26" s="264"/>
      <c r="C26" s="307"/>
      <c r="D26" s="111"/>
      <c r="E26" s="146"/>
      <c r="F26" s="113"/>
      <c r="G26" s="249"/>
      <c r="H26" s="149"/>
      <c r="I26" s="151"/>
      <c r="J26" s="117"/>
      <c r="K26" s="118"/>
      <c r="L26" s="154"/>
      <c r="M26" s="120"/>
      <c r="N26" s="121"/>
      <c r="O26" s="121"/>
      <c r="P26" s="122"/>
      <c r="Q26" s="327"/>
      <c r="R26" s="233"/>
      <c r="S26" s="327"/>
      <c r="T26" s="332"/>
      <c r="U26" s="315"/>
      <c r="V26" s="245"/>
    </row>
    <row r="27" spans="2:22">
      <c r="B27" s="264">
        <v>5</v>
      </c>
      <c r="C27" s="152" t="s">
        <v>246</v>
      </c>
      <c r="D27" s="111" t="s">
        <v>247</v>
      </c>
      <c r="E27" s="146" t="s">
        <v>120</v>
      </c>
      <c r="F27" s="263" t="s">
        <v>248</v>
      </c>
      <c r="G27" s="249"/>
      <c r="H27" s="149">
        <v>1</v>
      </c>
      <c r="I27" s="151">
        <v>8.6</v>
      </c>
      <c r="J27" s="116">
        <v>3.85</v>
      </c>
      <c r="K27" s="118">
        <f t="shared" si="0"/>
        <v>33.11</v>
      </c>
      <c r="L27" s="155"/>
      <c r="M27" s="120">
        <v>0</v>
      </c>
      <c r="N27" s="121">
        <v>0</v>
      </c>
      <c r="O27" s="121">
        <v>0</v>
      </c>
      <c r="P27" s="122">
        <v>0</v>
      </c>
      <c r="Q27" s="327">
        <f t="shared" si="3"/>
        <v>33.11</v>
      </c>
      <c r="R27" s="246">
        <v>0.7</v>
      </c>
      <c r="S27" s="327">
        <f t="shared" si="4"/>
        <v>23.177</v>
      </c>
      <c r="T27" s="332">
        <v>23.177</v>
      </c>
      <c r="U27" s="315">
        <f t="shared" si="5"/>
        <v>0</v>
      </c>
      <c r="V27" s="245"/>
    </row>
    <row r="28" spans="2:22" ht="29">
      <c r="B28" s="115"/>
      <c r="C28" s="265" t="s">
        <v>609</v>
      </c>
      <c r="D28" s="111"/>
      <c r="E28" s="112"/>
      <c r="F28" s="113"/>
      <c r="G28" s="232"/>
      <c r="H28" s="115"/>
      <c r="I28" s="116"/>
      <c r="J28" s="117"/>
      <c r="K28" s="118"/>
      <c r="L28" s="119"/>
      <c r="M28" s="120"/>
      <c r="N28" s="121"/>
      <c r="O28" s="121"/>
      <c r="P28" s="122"/>
      <c r="Q28" s="327"/>
      <c r="R28" s="233"/>
      <c r="S28" s="327"/>
      <c r="T28" s="332"/>
      <c r="U28" s="315"/>
      <c r="V28" s="245"/>
    </row>
    <row r="29" spans="2:22">
      <c r="B29" s="149"/>
      <c r="C29" s="307"/>
      <c r="D29" s="111"/>
      <c r="E29" s="156"/>
      <c r="F29" s="113"/>
      <c r="G29" s="249"/>
      <c r="H29" s="149"/>
      <c r="I29" s="151"/>
      <c r="J29" s="116"/>
      <c r="K29" s="157"/>
      <c r="L29" s="155"/>
      <c r="M29" s="158"/>
      <c r="N29" s="159"/>
      <c r="O29" s="159"/>
      <c r="P29" s="160"/>
      <c r="Q29" s="327"/>
      <c r="R29" s="233"/>
      <c r="S29" s="327"/>
      <c r="T29" s="332"/>
      <c r="U29" s="315"/>
      <c r="V29" s="245"/>
    </row>
    <row r="30" spans="2:22">
      <c r="B30" s="149"/>
      <c r="C30" s="150"/>
      <c r="D30" s="146"/>
      <c r="E30" s="156"/>
      <c r="F30" s="147"/>
      <c r="G30" s="249"/>
      <c r="H30" s="149"/>
      <c r="I30" s="151"/>
      <c r="J30" s="161"/>
      <c r="K30" s="162"/>
      <c r="M30" s="163"/>
      <c r="N30" s="164"/>
      <c r="O30" s="164"/>
      <c r="P30" s="165"/>
      <c r="Q30" s="355"/>
      <c r="R30" s="235"/>
      <c r="S30" s="328"/>
      <c r="T30" s="333"/>
      <c r="U30" s="353"/>
      <c r="V30" s="245"/>
    </row>
    <row r="31" spans="2:22" ht="15" thickBot="1">
      <c r="B31" s="129"/>
      <c r="C31" s="238"/>
      <c r="D31" s="126"/>
      <c r="E31" s="126"/>
      <c r="F31" s="127"/>
      <c r="G31" s="250"/>
      <c r="H31" s="129"/>
      <c r="I31" s="130"/>
      <c r="J31" s="130"/>
      <c r="K31" s="131"/>
      <c r="L31" s="132"/>
      <c r="M31" s="133"/>
      <c r="N31" s="134"/>
      <c r="O31" s="134"/>
      <c r="P31" s="135"/>
      <c r="Q31" s="197"/>
      <c r="R31" s="239"/>
      <c r="S31" s="197"/>
      <c r="T31" s="240"/>
      <c r="U31" s="352"/>
      <c r="V31" s="251"/>
    </row>
    <row r="32" spans="2:22">
      <c r="K32" s="136"/>
      <c r="N32" s="136"/>
      <c r="O32" s="136"/>
      <c r="P32" s="136" t="s">
        <v>37</v>
      </c>
      <c r="Q32" s="137">
        <f>SUM(Q13:Q31)</f>
        <v>571.27897949999999</v>
      </c>
      <c r="R32" s="137"/>
      <c r="S32" s="137">
        <f>SUM(S13:S31)</f>
        <v>475.98250977500004</v>
      </c>
      <c r="T32" s="137">
        <f>SUM(T13:T31)</f>
        <v>475.98250977500004</v>
      </c>
      <c r="U32" s="137">
        <f>SUM(U13:U31)</f>
        <v>0</v>
      </c>
    </row>
  </sheetData>
  <mergeCells count="3">
    <mergeCell ref="B3:U3"/>
    <mergeCell ref="H11:K11"/>
    <mergeCell ref="M11:P11"/>
  </mergeCells>
  <pageMargins left="0.7" right="0.7" top="0.75" bottom="0.75" header="0.3" footer="0.3"/>
  <pageSetup paperSize="9" scale="5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B1:V29"/>
  <sheetViews>
    <sheetView view="pageBreakPreview" topLeftCell="A10" zoomScale="80" zoomScaleNormal="70" zoomScaleSheetLayoutView="80" workbookViewId="0">
      <selection activeCell="A9" sqref="A1:XFD9"/>
    </sheetView>
  </sheetViews>
  <sheetFormatPr defaultColWidth="9.08984375" defaultRowHeight="14.5"/>
  <cols>
    <col min="1" max="1" width="2.08984375" style="89" customWidth="1"/>
    <col min="2" max="2" width="4.54296875" style="89" customWidth="1"/>
    <col min="3" max="3" width="38.90625" style="89" customWidth="1"/>
    <col min="4" max="4" width="29.08984375" style="89" customWidth="1"/>
    <col min="5" max="5" width="13.54296875" style="89" customWidth="1"/>
    <col min="6" max="6" width="14.6328125" style="89" customWidth="1"/>
    <col min="7" max="7" width="10" style="89" customWidth="1"/>
    <col min="8" max="8" width="4.90625" style="89" bestFit="1" customWidth="1"/>
    <col min="9" max="9" width="10.54296875" style="89" customWidth="1"/>
    <col min="10" max="10" width="9.90625" style="89" customWidth="1"/>
    <col min="11" max="11" width="8" style="89" customWidth="1"/>
    <col min="12" max="12" width="15.08984375" style="89" customWidth="1"/>
    <col min="13" max="13" width="4.90625" style="90" customWidth="1"/>
    <col min="14" max="14" width="10.54296875" style="89" customWidth="1"/>
    <col min="15" max="15" width="9.90625" style="89" customWidth="1"/>
    <col min="16" max="16" width="9" style="89" customWidth="1"/>
    <col min="17" max="17" width="13.54296875" style="136" customWidth="1"/>
    <col min="18" max="18" width="15" style="89" customWidth="1"/>
    <col min="19" max="21" width="15" style="136" customWidth="1"/>
    <col min="22" max="22" width="15.90625" style="89" customWidth="1"/>
    <col min="23"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
        <v>186</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243" t="s">
        <v>176</v>
      </c>
    </row>
    <row r="12" spans="2:22" ht="15" thickBot="1">
      <c r="B12" s="94" t="s">
        <v>212</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256" t="s">
        <v>183</v>
      </c>
      <c r="D14" s="111" t="s">
        <v>184</v>
      </c>
      <c r="E14" s="146" t="s">
        <v>128</v>
      </c>
      <c r="F14" s="147" t="s">
        <v>187</v>
      </c>
      <c r="G14" s="148"/>
      <c r="H14" s="149">
        <v>1</v>
      </c>
      <c r="I14">
        <v>8.4770000000000003</v>
      </c>
      <c r="J14">
        <v>7.2750000000000004</v>
      </c>
      <c r="K14" s="118">
        <f>H14*I14*J14</f>
        <v>61.670175000000008</v>
      </c>
      <c r="L14" s="119"/>
      <c r="M14" s="120">
        <v>0</v>
      </c>
      <c r="N14" s="121">
        <v>0</v>
      </c>
      <c r="O14" s="121">
        <v>0</v>
      </c>
      <c r="P14" s="122">
        <v>0</v>
      </c>
      <c r="Q14" s="444">
        <f>K14-P14</f>
        <v>61.670175000000008</v>
      </c>
      <c r="R14" s="230">
        <v>1</v>
      </c>
      <c r="S14" s="327">
        <f>Q14*R14</f>
        <v>61.670175000000008</v>
      </c>
      <c r="T14" s="332">
        <v>61.670175000000008</v>
      </c>
      <c r="U14" s="315">
        <f>S14-T14</f>
        <v>0</v>
      </c>
      <c r="V14" s="245"/>
    </row>
    <row r="15" spans="2:22">
      <c r="B15" s="178"/>
      <c r="C15" s="150" t="s">
        <v>249</v>
      </c>
      <c r="D15" s="111"/>
      <c r="E15" s="146"/>
      <c r="F15" s="147"/>
      <c r="G15" s="148"/>
      <c r="H15" s="149"/>
      <c r="I15" s="151"/>
      <c r="J15" s="116"/>
      <c r="K15" s="118"/>
      <c r="L15" s="85"/>
      <c r="M15" s="182"/>
      <c r="N15" s="183"/>
      <c r="O15" s="183"/>
      <c r="P15" s="184"/>
      <c r="Q15" s="444"/>
      <c r="R15" s="230"/>
      <c r="S15" s="327"/>
      <c r="T15" s="332"/>
      <c r="U15" s="315"/>
      <c r="V15" s="245"/>
    </row>
    <row r="16" spans="2:22">
      <c r="B16" s="178"/>
      <c r="C16" s="152"/>
      <c r="D16" s="123"/>
      <c r="E16" s="112"/>
      <c r="F16" s="113"/>
      <c r="G16" s="114"/>
      <c r="H16" s="115"/>
      <c r="I16" s="116"/>
      <c r="J16" s="116"/>
      <c r="K16" s="118"/>
      <c r="L16" s="85"/>
      <c r="M16" s="182"/>
      <c r="N16" s="183"/>
      <c r="O16" s="183"/>
      <c r="P16" s="184"/>
      <c r="Q16" s="444"/>
      <c r="R16" s="230"/>
      <c r="S16" s="327"/>
      <c r="T16" s="332"/>
      <c r="U16" s="315"/>
      <c r="V16" s="245"/>
    </row>
    <row r="17" spans="2:22">
      <c r="B17" s="178">
        <v>2</v>
      </c>
      <c r="C17" s="265" t="s">
        <v>188</v>
      </c>
      <c r="D17" s="111" t="s">
        <v>189</v>
      </c>
      <c r="E17" s="146" t="s">
        <v>190</v>
      </c>
      <c r="F17" s="147" t="s">
        <v>187</v>
      </c>
      <c r="G17" s="114"/>
      <c r="H17" s="115">
        <v>1</v>
      </c>
      <c r="I17" s="116">
        <v>24.817</v>
      </c>
      <c r="J17" s="117">
        <v>7.2750000000000004</v>
      </c>
      <c r="K17" s="118">
        <f t="shared" ref="K17:K23" si="0">H17*I17*J17</f>
        <v>180.54367500000001</v>
      </c>
      <c r="L17" s="85" t="s">
        <v>328</v>
      </c>
      <c r="M17" s="182">
        <v>4</v>
      </c>
      <c r="N17" s="183">
        <v>1.2</v>
      </c>
      <c r="O17" s="183">
        <v>2.1</v>
      </c>
      <c r="P17" s="184">
        <f>PRODUCT(M17:O17)</f>
        <v>10.08</v>
      </c>
      <c r="Q17" s="444">
        <f t="shared" ref="Q17:Q20" si="1">K17-P17</f>
        <v>170.46367499999999</v>
      </c>
      <c r="R17" s="230">
        <v>0.9</v>
      </c>
      <c r="S17" s="327">
        <f t="shared" ref="S17" si="2">Q17*R17</f>
        <v>153.41730749999999</v>
      </c>
      <c r="T17" s="332">
        <v>153.41730749999999</v>
      </c>
      <c r="U17" s="315">
        <f t="shared" ref="U17" si="3">S17-T17</f>
        <v>0</v>
      </c>
      <c r="V17" s="245"/>
    </row>
    <row r="18" spans="2:22">
      <c r="B18" s="178"/>
      <c r="C18" s="152" t="s">
        <v>551</v>
      </c>
      <c r="D18" s="111"/>
      <c r="E18" s="146"/>
      <c r="F18" s="147"/>
      <c r="G18" s="114"/>
      <c r="H18" s="115"/>
      <c r="I18" s="116"/>
      <c r="J18" s="117"/>
      <c r="K18" s="118"/>
      <c r="L18" s="85"/>
      <c r="M18" s="182"/>
      <c r="N18" s="183"/>
      <c r="O18" s="183"/>
      <c r="P18" s="184"/>
      <c r="Q18" s="444"/>
      <c r="R18" s="230"/>
      <c r="S18" s="327"/>
      <c r="T18" s="332"/>
      <c r="U18" s="315"/>
      <c r="V18" s="245"/>
    </row>
    <row r="19" spans="2:22">
      <c r="B19" s="178"/>
      <c r="C19" s="152"/>
      <c r="D19" s="111"/>
      <c r="E19" s="111"/>
      <c r="F19" s="113"/>
      <c r="G19" s="114"/>
      <c r="H19" s="115"/>
      <c r="I19" s="116"/>
      <c r="J19" s="117"/>
      <c r="K19" s="118"/>
      <c r="L19" s="85"/>
      <c r="M19" s="182"/>
      <c r="N19" s="183"/>
      <c r="O19" s="183"/>
      <c r="P19" s="184"/>
      <c r="Q19" s="444"/>
      <c r="R19" s="233"/>
      <c r="S19" s="327"/>
      <c r="T19" s="332"/>
      <c r="U19" s="315"/>
      <c r="V19" s="245"/>
    </row>
    <row r="20" spans="2:22">
      <c r="B20" s="178">
        <v>3</v>
      </c>
      <c r="C20" s="150" t="s">
        <v>191</v>
      </c>
      <c r="D20" s="111" t="s">
        <v>189</v>
      </c>
      <c r="E20" s="111" t="s">
        <v>126</v>
      </c>
      <c r="F20" s="263" t="s">
        <v>187</v>
      </c>
      <c r="G20" s="114"/>
      <c r="H20" s="115">
        <v>1</v>
      </c>
      <c r="I20" s="116">
        <v>6.694</v>
      </c>
      <c r="J20" s="117">
        <v>7.28</v>
      </c>
      <c r="K20" s="118">
        <f t="shared" si="0"/>
        <v>48.732320000000001</v>
      </c>
      <c r="L20" s="119"/>
      <c r="M20" s="120">
        <v>1</v>
      </c>
      <c r="N20" s="121">
        <v>1</v>
      </c>
      <c r="O20" s="121">
        <v>1.8</v>
      </c>
      <c r="P20" s="209">
        <f>M20*N20*O20</f>
        <v>1.8</v>
      </c>
      <c r="Q20" s="444">
        <f t="shared" si="1"/>
        <v>46.932320000000004</v>
      </c>
      <c r="R20" s="246">
        <v>1</v>
      </c>
      <c r="S20" s="327">
        <f t="shared" ref="S20:S23" si="4">Q20*R20</f>
        <v>46.932320000000004</v>
      </c>
      <c r="T20" s="332">
        <v>46.932320000000004</v>
      </c>
      <c r="U20" s="315">
        <f t="shared" ref="U20:U23" si="5">S20-T20</f>
        <v>0</v>
      </c>
      <c r="V20" s="245"/>
    </row>
    <row r="21" spans="2:22">
      <c r="B21" s="178"/>
      <c r="C21" s="150" t="s">
        <v>552</v>
      </c>
      <c r="D21" s="111"/>
      <c r="E21" s="112"/>
      <c r="F21" s="113"/>
      <c r="G21" s="114"/>
      <c r="H21" s="115"/>
      <c r="I21" s="116"/>
      <c r="J21" s="117"/>
      <c r="K21" s="118"/>
      <c r="L21" s="119"/>
      <c r="M21" s="120"/>
      <c r="N21" s="121"/>
      <c r="O21" s="121"/>
      <c r="P21" s="209"/>
      <c r="Q21" s="444"/>
      <c r="R21" s="246"/>
      <c r="S21" s="327"/>
      <c r="T21" s="332"/>
      <c r="U21" s="315"/>
      <c r="V21" s="245"/>
    </row>
    <row r="22" spans="2:22">
      <c r="B22" s="178"/>
      <c r="C22" s="150"/>
      <c r="D22" s="111"/>
      <c r="E22" s="111"/>
      <c r="F22" s="113"/>
      <c r="G22" s="114"/>
      <c r="H22" s="115"/>
      <c r="I22" s="116"/>
      <c r="J22" s="117"/>
      <c r="K22" s="118"/>
      <c r="L22" s="119"/>
      <c r="M22" s="120"/>
      <c r="N22" s="121"/>
      <c r="O22" s="121"/>
      <c r="P22" s="209"/>
      <c r="Q22" s="444"/>
      <c r="R22" s="246"/>
      <c r="S22" s="327"/>
      <c r="T22" s="332"/>
      <c r="U22" s="315"/>
      <c r="V22" s="245"/>
    </row>
    <row r="23" spans="2:22">
      <c r="B23" s="264">
        <v>4</v>
      </c>
      <c r="C23" s="153" t="s">
        <v>192</v>
      </c>
      <c r="D23" s="111" t="s">
        <v>189</v>
      </c>
      <c r="E23" s="146" t="s">
        <v>193</v>
      </c>
      <c r="F23" s="113" t="s">
        <v>194</v>
      </c>
      <c r="G23" s="148"/>
      <c r="H23" s="149">
        <v>1</v>
      </c>
      <c r="I23" s="151">
        <v>11.32</v>
      </c>
      <c r="J23" s="117">
        <f>0.1+2.4+2.775+0.1+4.15+2.11</f>
        <v>11.635</v>
      </c>
      <c r="K23" s="118">
        <f t="shared" si="0"/>
        <v>131.70820000000001</v>
      </c>
      <c r="L23" s="154"/>
      <c r="M23" s="120">
        <v>2</v>
      </c>
      <c r="N23" s="121">
        <v>1</v>
      </c>
      <c r="O23" s="121">
        <v>1.8</v>
      </c>
      <c r="P23" s="209">
        <f t="shared" ref="P23" si="6">M23*N23*O23</f>
        <v>3.6</v>
      </c>
      <c r="Q23" s="444">
        <f>K23-P23</f>
        <v>128.10820000000001</v>
      </c>
      <c r="R23" s="246">
        <v>1</v>
      </c>
      <c r="S23" s="327">
        <f t="shared" si="4"/>
        <v>128.10820000000001</v>
      </c>
      <c r="T23" s="332">
        <v>128.10820000000001</v>
      </c>
      <c r="U23" s="315">
        <f t="shared" si="5"/>
        <v>0</v>
      </c>
      <c r="V23" s="245"/>
    </row>
    <row r="24" spans="2:22">
      <c r="B24" s="264"/>
      <c r="C24" s="150" t="s">
        <v>250</v>
      </c>
      <c r="D24" s="146"/>
      <c r="E24" s="146"/>
      <c r="F24" s="147"/>
      <c r="G24" s="148"/>
      <c r="H24" s="149"/>
      <c r="I24" s="151"/>
      <c r="J24" s="116"/>
      <c r="K24" s="118"/>
      <c r="L24" s="155"/>
      <c r="M24" s="120"/>
      <c r="N24" s="121"/>
      <c r="O24" s="121"/>
      <c r="P24" s="122"/>
      <c r="Q24" s="444"/>
      <c r="R24" s="233"/>
      <c r="S24" s="327"/>
      <c r="T24" s="332"/>
      <c r="U24" s="315"/>
      <c r="V24" s="245"/>
    </row>
    <row r="25" spans="2:22">
      <c r="B25" s="178"/>
      <c r="C25" s="150"/>
      <c r="D25" s="111"/>
      <c r="E25" s="112"/>
      <c r="F25" s="113"/>
      <c r="G25" s="114"/>
      <c r="H25" s="115"/>
      <c r="I25" s="116"/>
      <c r="J25" s="117"/>
      <c r="K25" s="118"/>
      <c r="L25" s="119"/>
      <c r="M25" s="120"/>
      <c r="N25" s="121"/>
      <c r="O25" s="121"/>
      <c r="P25" s="122"/>
      <c r="Q25" s="444"/>
      <c r="R25" s="233"/>
      <c r="S25" s="327"/>
      <c r="T25" s="332"/>
      <c r="U25" s="315"/>
      <c r="V25" s="245"/>
    </row>
    <row r="26" spans="2:22">
      <c r="B26" s="149"/>
      <c r="C26" s="153"/>
      <c r="D26" s="111"/>
      <c r="E26" s="156"/>
      <c r="F26" s="113"/>
      <c r="G26" s="148"/>
      <c r="H26" s="149"/>
      <c r="I26" s="151"/>
      <c r="J26" s="116"/>
      <c r="K26" s="157"/>
      <c r="L26" s="155"/>
      <c r="M26" s="158"/>
      <c r="N26" s="159"/>
      <c r="O26" s="159"/>
      <c r="P26" s="160"/>
      <c r="Q26" s="444"/>
      <c r="R26" s="233"/>
      <c r="S26" s="327"/>
      <c r="T26" s="332"/>
      <c r="U26" s="315"/>
      <c r="V26" s="245"/>
    </row>
    <row r="27" spans="2:22">
      <c r="B27" s="149"/>
      <c r="C27" s="150"/>
      <c r="D27" s="146"/>
      <c r="E27" s="156"/>
      <c r="F27" s="147"/>
      <c r="G27" s="148"/>
      <c r="H27" s="149"/>
      <c r="I27" s="151"/>
      <c r="J27" s="161"/>
      <c r="K27" s="162"/>
      <c r="M27" s="163"/>
      <c r="N27" s="164"/>
      <c r="O27" s="164"/>
      <c r="P27" s="165"/>
      <c r="Q27" s="325"/>
      <c r="R27" s="235"/>
      <c r="S27" s="328"/>
      <c r="T27" s="333"/>
      <c r="U27" s="353"/>
      <c r="V27" s="245"/>
    </row>
    <row r="28" spans="2:22" ht="15" thickBot="1">
      <c r="B28" s="129"/>
      <c r="C28" s="238"/>
      <c r="D28" s="126"/>
      <c r="E28" s="126"/>
      <c r="F28" s="127"/>
      <c r="G28" s="128"/>
      <c r="H28" s="129"/>
      <c r="I28" s="130"/>
      <c r="J28" s="130"/>
      <c r="K28" s="131"/>
      <c r="L28" s="132"/>
      <c r="M28" s="133"/>
      <c r="N28" s="134"/>
      <c r="O28" s="134"/>
      <c r="P28" s="135"/>
      <c r="Q28" s="326"/>
      <c r="R28" s="239"/>
      <c r="S28" s="197"/>
      <c r="T28" s="240"/>
      <c r="U28" s="352"/>
      <c r="V28" s="247"/>
    </row>
    <row r="29" spans="2:22">
      <c r="K29" s="136"/>
      <c r="N29" s="136"/>
      <c r="O29" s="136"/>
      <c r="P29" s="136" t="s">
        <v>37</v>
      </c>
      <c r="Q29" s="137">
        <f>SUM(Q10:Q28)</f>
        <v>407.17437000000001</v>
      </c>
      <c r="R29" s="137"/>
      <c r="S29" s="137">
        <f>SUM(S10:S28)</f>
        <v>390.12800249999998</v>
      </c>
      <c r="T29" s="137">
        <f>SUM(T10:T28)</f>
        <v>390.12800249999998</v>
      </c>
      <c r="U29" s="137">
        <f>SUM(U10:U28)</f>
        <v>0</v>
      </c>
      <c r="V29" s="248"/>
    </row>
  </sheetData>
  <mergeCells count="3">
    <mergeCell ref="B3:U3"/>
    <mergeCell ref="H11:K11"/>
    <mergeCell ref="M11:P11"/>
  </mergeCells>
  <pageMargins left="0.7" right="0.7" top="0.75" bottom="0.75" header="0.3" footer="0.3"/>
  <pageSetup paperSize="9" scale="46" fitToHeight="0"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B1:V477"/>
  <sheetViews>
    <sheetView view="pageBreakPreview" topLeftCell="K451" zoomScale="80" zoomScaleNormal="70" zoomScaleSheetLayoutView="80" workbookViewId="0">
      <selection activeCell="V467" sqref="V467"/>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3.6328125" style="89" customWidth="1"/>
    <col min="6" max="6" width="20.906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22" width="12.54296875" style="89" customWidth="1"/>
    <col min="23"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
        <v>335</v>
      </c>
      <c r="P10" s="221"/>
      <c r="Q10" s="379"/>
      <c r="R10" s="87"/>
      <c r="S10" s="87"/>
      <c r="T10" s="380"/>
      <c r="U10" s="381"/>
    </row>
    <row r="11" spans="2:22" ht="52.5" thickBot="1">
      <c r="B11" s="91" t="s">
        <v>70</v>
      </c>
      <c r="C11" s="92" t="s">
        <v>71</v>
      </c>
      <c r="D11" s="92" t="s">
        <v>217</v>
      </c>
      <c r="E11" s="91" t="s">
        <v>73</v>
      </c>
      <c r="F11" s="91" t="s">
        <v>74</v>
      </c>
      <c r="G11" s="91" t="s">
        <v>75</v>
      </c>
      <c r="H11" s="557" t="s">
        <v>76</v>
      </c>
      <c r="I11" s="558"/>
      <c r="J11" s="558"/>
      <c r="K11" s="559"/>
      <c r="L11" s="93" t="s">
        <v>77</v>
      </c>
      <c r="M11" s="557" t="s">
        <v>78</v>
      </c>
      <c r="N11" s="558"/>
      <c r="O11" s="558"/>
      <c r="P11" s="559"/>
      <c r="Q11" s="382" t="s">
        <v>79</v>
      </c>
      <c r="R11" s="383" t="s">
        <v>115</v>
      </c>
      <c r="S11" s="91" t="s">
        <v>116</v>
      </c>
      <c r="T11" s="384" t="s">
        <v>117</v>
      </c>
      <c r="U11" s="385" t="s">
        <v>118</v>
      </c>
      <c r="V11" s="91" t="s">
        <v>176</v>
      </c>
    </row>
    <row r="12" spans="2:22" ht="15" thickBot="1">
      <c r="B12" s="223" t="s">
        <v>336</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102"/>
    </row>
    <row r="13" spans="2:22">
      <c r="B13" s="103"/>
      <c r="C13" s="104"/>
      <c r="D13" s="104"/>
      <c r="E13" s="104"/>
      <c r="F13" s="105"/>
      <c r="G13" s="105"/>
      <c r="H13" s="103"/>
      <c r="I13" s="225"/>
      <c r="J13" s="225"/>
      <c r="K13" s="107"/>
      <c r="L13" s="108"/>
      <c r="M13" s="109"/>
      <c r="N13" s="104"/>
      <c r="O13" s="104"/>
      <c r="P13" s="107"/>
      <c r="Q13" s="390"/>
      <c r="R13" s="226"/>
      <c r="S13" s="227"/>
      <c r="T13" s="392"/>
      <c r="U13" s="393"/>
      <c r="V13" s="229"/>
    </row>
    <row r="14" spans="2:22" ht="29">
      <c r="B14" s="178">
        <v>1</v>
      </c>
      <c r="C14" s="265" t="s">
        <v>338</v>
      </c>
      <c r="D14" s="257" t="s">
        <v>220</v>
      </c>
      <c r="E14" s="146" t="s">
        <v>221</v>
      </c>
      <c r="F14" s="146" t="s">
        <v>222</v>
      </c>
      <c r="G14" s="148"/>
      <c r="H14" s="149">
        <v>1</v>
      </c>
      <c r="I14" s="258">
        <v>16</v>
      </c>
      <c r="J14" s="504">
        <v>2.95</v>
      </c>
      <c r="K14" s="118">
        <f>H14*I14*J14</f>
        <v>47.2</v>
      </c>
      <c r="L14" s="119"/>
      <c r="M14" s="120">
        <v>0</v>
      </c>
      <c r="N14" s="121">
        <v>0</v>
      </c>
      <c r="O14" s="121">
        <v>0</v>
      </c>
      <c r="P14" s="122">
        <v>0</v>
      </c>
      <c r="Q14" s="444">
        <f>K14-P14</f>
        <v>47.2</v>
      </c>
      <c r="R14" s="230">
        <v>0.9</v>
      </c>
      <c r="S14" s="231">
        <f>Q14*R14</f>
        <v>42.480000000000004</v>
      </c>
      <c r="T14" s="362">
        <v>42.480000000000004</v>
      </c>
      <c r="U14" s="363">
        <f>S14-T14</f>
        <v>0</v>
      </c>
      <c r="V14" s="232"/>
    </row>
    <row r="15" spans="2:22">
      <c r="B15" s="115"/>
      <c r="C15" s="152" t="s">
        <v>337</v>
      </c>
      <c r="D15" s="111"/>
      <c r="E15" s="146"/>
      <c r="F15" s="147"/>
      <c r="G15" s="148"/>
      <c r="H15" s="149"/>
      <c r="I15" s="151"/>
      <c r="J15" s="116"/>
      <c r="K15" s="118"/>
      <c r="L15" s="119"/>
      <c r="M15" s="120"/>
      <c r="N15" s="121"/>
      <c r="O15" s="121"/>
      <c r="P15" s="122"/>
      <c r="Q15" s="406"/>
      <c r="R15" s="230"/>
      <c r="S15" s="231"/>
      <c r="T15" s="362"/>
      <c r="U15" s="363"/>
      <c r="V15" s="232"/>
    </row>
    <row r="16" spans="2:22">
      <c r="B16" s="115"/>
      <c r="C16" s="152"/>
      <c r="D16" s="123"/>
      <c r="E16" s="112"/>
      <c r="F16" s="113"/>
      <c r="G16" s="114"/>
      <c r="H16" s="115"/>
      <c r="I16" s="116"/>
      <c r="J16" s="117"/>
      <c r="K16" s="118"/>
      <c r="L16" s="119"/>
      <c r="M16" s="120"/>
      <c r="N16" s="117"/>
      <c r="O16" s="117"/>
      <c r="P16" s="122"/>
      <c r="Q16" s="405"/>
      <c r="R16" s="233"/>
      <c r="S16" s="231"/>
      <c r="T16" s="362"/>
      <c r="U16" s="363"/>
      <c r="V16" s="232"/>
    </row>
    <row r="17" spans="2:22">
      <c r="B17" s="178"/>
      <c r="C17" s="150"/>
      <c r="D17" s="111"/>
      <c r="E17" s="112"/>
      <c r="F17" s="234"/>
      <c r="G17" s="114"/>
      <c r="H17" s="115"/>
      <c r="I17" s="116"/>
      <c r="J17" s="117"/>
      <c r="K17" s="118"/>
      <c r="L17" s="119"/>
      <c r="M17" s="120"/>
      <c r="N17" s="117"/>
      <c r="O17" s="117"/>
      <c r="P17" s="209"/>
      <c r="Q17" s="405"/>
      <c r="R17" s="230"/>
      <c r="S17" s="231"/>
      <c r="T17" s="362"/>
      <c r="U17" s="363"/>
      <c r="V17" s="232"/>
    </row>
    <row r="18" spans="2:22">
      <c r="B18" s="115"/>
      <c r="C18" s="150"/>
      <c r="D18" s="111"/>
      <c r="E18" s="111"/>
      <c r="F18" s="113"/>
      <c r="G18" s="114"/>
      <c r="H18" s="115"/>
      <c r="I18" s="116"/>
      <c r="J18" s="117"/>
      <c r="K18" s="118"/>
      <c r="L18" s="119"/>
      <c r="M18" s="120"/>
      <c r="N18" s="121"/>
      <c r="O18" s="121"/>
      <c r="P18" s="122"/>
      <c r="Q18" s="405"/>
      <c r="R18" s="233"/>
      <c r="S18" s="231"/>
      <c r="T18" s="362"/>
      <c r="U18" s="363"/>
      <c r="V18" s="232"/>
    </row>
    <row r="19" spans="2:22">
      <c r="B19" s="115"/>
      <c r="C19" s="150"/>
      <c r="D19" s="111"/>
      <c r="E19" s="111"/>
      <c r="F19" s="113"/>
      <c r="G19" s="114"/>
      <c r="H19" s="115"/>
      <c r="I19" s="116"/>
      <c r="J19" s="117"/>
      <c r="K19" s="118"/>
      <c r="L19" s="119"/>
      <c r="M19" s="120"/>
      <c r="N19" s="121"/>
      <c r="O19" s="121"/>
      <c r="P19" s="122"/>
      <c r="Q19" s="405"/>
      <c r="R19" s="365"/>
      <c r="S19" s="231"/>
      <c r="T19" s="362"/>
      <c r="U19" s="363"/>
      <c r="V19" s="232"/>
    </row>
    <row r="20" spans="2:22">
      <c r="B20" s="115"/>
      <c r="C20" s="150"/>
      <c r="D20" s="111"/>
      <c r="E20" s="112"/>
      <c r="F20" s="113"/>
      <c r="G20" s="114"/>
      <c r="H20" s="115"/>
      <c r="I20" s="116"/>
      <c r="J20" s="117"/>
      <c r="K20" s="118"/>
      <c r="L20" s="119"/>
      <c r="M20" s="120"/>
      <c r="N20" s="121"/>
      <c r="O20" s="121"/>
      <c r="P20" s="122"/>
      <c r="Q20" s="405"/>
      <c r="R20" s="365"/>
      <c r="S20" s="231"/>
      <c r="T20" s="362"/>
      <c r="U20" s="363"/>
      <c r="V20" s="232"/>
    </row>
    <row r="21" spans="2:22">
      <c r="B21" s="115"/>
      <c r="C21" s="150"/>
      <c r="D21" s="111"/>
      <c r="E21" s="111"/>
      <c r="F21" s="113"/>
      <c r="G21" s="114"/>
      <c r="H21" s="115"/>
      <c r="I21" s="116"/>
      <c r="J21" s="117"/>
      <c r="K21" s="118"/>
      <c r="L21" s="119"/>
      <c r="M21" s="120"/>
      <c r="N21" s="121"/>
      <c r="O21" s="121"/>
      <c r="P21" s="122"/>
      <c r="Q21" s="405"/>
      <c r="R21" s="365"/>
      <c r="S21" s="231"/>
      <c r="T21" s="362"/>
      <c r="U21" s="363"/>
      <c r="V21" s="232"/>
    </row>
    <row r="22" spans="2:22">
      <c r="B22" s="115"/>
      <c r="C22" s="150"/>
      <c r="D22" s="123"/>
      <c r="E22" s="111"/>
      <c r="F22" s="113"/>
      <c r="G22" s="114"/>
      <c r="H22" s="115"/>
      <c r="I22" s="116"/>
      <c r="J22" s="117"/>
      <c r="K22" s="118"/>
      <c r="L22" s="119"/>
      <c r="M22" s="120"/>
      <c r="N22" s="121"/>
      <c r="O22" s="121"/>
      <c r="P22" s="122"/>
      <c r="Q22" s="405"/>
      <c r="R22" s="365"/>
      <c r="S22" s="231"/>
      <c r="T22" s="362"/>
      <c r="U22" s="363"/>
      <c r="V22" s="232"/>
    </row>
    <row r="23" spans="2:22">
      <c r="B23" s="149"/>
      <c r="C23" s="153"/>
      <c r="D23" s="111"/>
      <c r="E23" s="146"/>
      <c r="F23" s="113"/>
      <c r="G23" s="148"/>
      <c r="H23" s="149"/>
      <c r="I23" s="151"/>
      <c r="J23" s="117"/>
      <c r="K23" s="118"/>
      <c r="L23" s="154"/>
      <c r="M23" s="120"/>
      <c r="N23" s="121"/>
      <c r="O23" s="121"/>
      <c r="P23" s="122"/>
      <c r="Q23" s="405"/>
      <c r="R23" s="365"/>
      <c r="S23" s="231"/>
      <c r="T23" s="362"/>
      <c r="U23" s="363"/>
      <c r="V23" s="232"/>
    </row>
    <row r="24" spans="2:22">
      <c r="B24" s="149"/>
      <c r="C24" s="150"/>
      <c r="D24" s="146"/>
      <c r="E24" s="146"/>
      <c r="F24" s="147"/>
      <c r="G24" s="148"/>
      <c r="H24" s="149"/>
      <c r="I24" s="151"/>
      <c r="J24" s="116"/>
      <c r="K24" s="118"/>
      <c r="L24" s="155"/>
      <c r="M24" s="120"/>
      <c r="N24" s="121"/>
      <c r="O24" s="121"/>
      <c r="P24" s="122"/>
      <c r="Q24" s="405"/>
      <c r="R24" s="365"/>
      <c r="S24" s="231"/>
      <c r="T24" s="362"/>
      <c r="U24" s="363"/>
      <c r="V24" s="232"/>
    </row>
    <row r="25" spans="2:22">
      <c r="B25" s="115"/>
      <c r="C25" s="150"/>
      <c r="D25" s="111"/>
      <c r="E25" s="112"/>
      <c r="F25" s="113"/>
      <c r="G25" s="114"/>
      <c r="H25" s="115"/>
      <c r="I25" s="116"/>
      <c r="J25" s="117"/>
      <c r="K25" s="118"/>
      <c r="L25" s="119"/>
      <c r="M25" s="120"/>
      <c r="N25" s="121"/>
      <c r="O25" s="121"/>
      <c r="P25" s="122"/>
      <c r="Q25" s="405"/>
      <c r="R25" s="365"/>
      <c r="S25" s="231"/>
      <c r="T25" s="362"/>
      <c r="U25" s="363"/>
      <c r="V25" s="232"/>
    </row>
    <row r="26" spans="2:22">
      <c r="B26" s="149"/>
      <c r="C26" s="153"/>
      <c r="D26" s="111"/>
      <c r="E26" s="156"/>
      <c r="F26" s="113"/>
      <c r="G26" s="148"/>
      <c r="H26" s="149"/>
      <c r="I26" s="151"/>
      <c r="J26" s="116"/>
      <c r="K26" s="157"/>
      <c r="L26" s="155"/>
      <c r="M26" s="158"/>
      <c r="N26" s="159"/>
      <c r="O26" s="159"/>
      <c r="P26" s="160"/>
      <c r="Q26" s="405"/>
      <c r="R26" s="365"/>
      <c r="S26" s="231"/>
      <c r="T26" s="362"/>
      <c r="U26" s="363"/>
      <c r="V26" s="232"/>
    </row>
    <row r="27" spans="2:22">
      <c r="B27" s="149"/>
      <c r="C27" s="150"/>
      <c r="D27" s="146"/>
      <c r="E27" s="156"/>
      <c r="F27" s="147"/>
      <c r="G27" s="148"/>
      <c r="H27" s="149"/>
      <c r="I27" s="151"/>
      <c r="J27" s="161"/>
      <c r="K27" s="162"/>
      <c r="M27" s="163"/>
      <c r="N27" s="164"/>
      <c r="O27" s="164"/>
      <c r="P27" s="165"/>
      <c r="Q27" s="394"/>
      <c r="R27" s="395"/>
      <c r="S27" s="236"/>
      <c r="T27" s="396"/>
      <c r="U27" s="397"/>
      <c r="V27" s="237"/>
    </row>
    <row r="28" spans="2:22" ht="15" thickBot="1">
      <c r="B28" s="129"/>
      <c r="C28" s="238"/>
      <c r="D28" s="126"/>
      <c r="E28" s="126"/>
      <c r="F28" s="127"/>
      <c r="G28" s="128"/>
      <c r="H28" s="129"/>
      <c r="I28" s="130"/>
      <c r="J28" s="130"/>
      <c r="K28" s="131"/>
      <c r="L28" s="132"/>
      <c r="M28" s="133"/>
      <c r="N28" s="134"/>
      <c r="O28" s="134"/>
      <c r="P28" s="135"/>
      <c r="Q28" s="398"/>
      <c r="R28" s="399"/>
      <c r="S28" s="197"/>
      <c r="T28" s="400"/>
      <c r="U28" s="401"/>
      <c r="V28" s="241"/>
    </row>
    <row r="29" spans="2:22">
      <c r="K29" s="136"/>
      <c r="N29" s="136"/>
      <c r="O29" s="136"/>
      <c r="P29" s="136" t="s">
        <v>37</v>
      </c>
      <c r="Q29" s="137">
        <f>SUM(Q10:Q28)</f>
        <v>47.2</v>
      </c>
      <c r="R29" s="137"/>
      <c r="S29" s="137">
        <f>SUM(S10:S28)</f>
        <v>42.480000000000004</v>
      </c>
      <c r="T29" s="137">
        <f>SUM(T10:T28)</f>
        <v>42.480000000000004</v>
      </c>
      <c r="U29" s="137">
        <f>SUM(U10:U28)</f>
        <v>0</v>
      </c>
    </row>
    <row r="30" spans="2:22" ht="15" thickBot="1">
      <c r="B30" s="220" t="s">
        <v>216</v>
      </c>
      <c r="P30" s="221"/>
      <c r="Q30" s="323"/>
      <c r="R30" s="87"/>
      <c r="S30" s="323"/>
      <c r="T30" s="329"/>
      <c r="U30" s="346"/>
    </row>
    <row r="31" spans="2:22" ht="52.5" thickBot="1">
      <c r="B31" s="91" t="s">
        <v>70</v>
      </c>
      <c r="C31" s="92" t="s">
        <v>71</v>
      </c>
      <c r="D31" s="92" t="s">
        <v>217</v>
      </c>
      <c r="E31" s="91" t="s">
        <v>73</v>
      </c>
      <c r="F31" s="91" t="s">
        <v>74</v>
      </c>
      <c r="G31" s="91" t="s">
        <v>75</v>
      </c>
      <c r="H31" s="557" t="s">
        <v>76</v>
      </c>
      <c r="I31" s="558"/>
      <c r="J31" s="558"/>
      <c r="K31" s="559"/>
      <c r="L31" s="93" t="s">
        <v>77</v>
      </c>
      <c r="M31" s="557" t="s">
        <v>78</v>
      </c>
      <c r="N31" s="558"/>
      <c r="O31" s="558"/>
      <c r="P31" s="559"/>
      <c r="Q31" s="201" t="s">
        <v>79</v>
      </c>
      <c r="R31" s="222" t="s">
        <v>115</v>
      </c>
      <c r="S31" s="189" t="s">
        <v>116</v>
      </c>
      <c r="T31" s="330" t="s">
        <v>117</v>
      </c>
      <c r="U31" s="347" t="s">
        <v>118</v>
      </c>
      <c r="V31" s="91" t="s">
        <v>176</v>
      </c>
    </row>
    <row r="32" spans="2:22" ht="15" thickBot="1">
      <c r="B32" s="223" t="s">
        <v>218</v>
      </c>
      <c r="C32" s="95"/>
      <c r="D32" s="95"/>
      <c r="E32" s="95"/>
      <c r="F32" s="95"/>
      <c r="G32" s="96"/>
      <c r="H32" s="97" t="s">
        <v>70</v>
      </c>
      <c r="I32" s="98" t="s">
        <v>83</v>
      </c>
      <c r="J32" s="98" t="s">
        <v>84</v>
      </c>
      <c r="K32" s="99" t="s">
        <v>85</v>
      </c>
      <c r="L32" s="100"/>
      <c r="M32" s="101" t="s">
        <v>70</v>
      </c>
      <c r="N32" s="98" t="s">
        <v>83</v>
      </c>
      <c r="O32" s="98" t="s">
        <v>84</v>
      </c>
      <c r="P32" s="99" t="s">
        <v>85</v>
      </c>
      <c r="Q32" s="191"/>
      <c r="R32" s="224"/>
      <c r="S32" s="191"/>
      <c r="T32" s="331"/>
      <c r="U32" s="350" t="s">
        <v>86</v>
      </c>
      <c r="V32" s="102"/>
    </row>
    <row r="33" spans="2:22">
      <c r="B33" s="103"/>
      <c r="C33" s="104"/>
      <c r="D33" s="104"/>
      <c r="E33" s="104"/>
      <c r="F33" s="105"/>
      <c r="G33" s="105"/>
      <c r="H33" s="103"/>
      <c r="I33" s="225"/>
      <c r="J33" s="225"/>
      <c r="K33" s="107"/>
      <c r="L33" s="108"/>
      <c r="M33" s="109"/>
      <c r="N33" s="104"/>
      <c r="O33" s="104"/>
      <c r="P33" s="107"/>
      <c r="Q33" s="356"/>
      <c r="R33" s="226"/>
      <c r="S33" s="227"/>
      <c r="T33" s="228"/>
      <c r="U33" s="351"/>
      <c r="V33" s="229"/>
    </row>
    <row r="34" spans="2:22" ht="29">
      <c r="B34" s="178">
        <v>1</v>
      </c>
      <c r="C34" s="265" t="s">
        <v>219</v>
      </c>
      <c r="D34" s="257" t="s">
        <v>220</v>
      </c>
      <c r="E34" s="146" t="s">
        <v>221</v>
      </c>
      <c r="F34" s="146" t="s">
        <v>222</v>
      </c>
      <c r="G34" s="148"/>
      <c r="H34" s="149">
        <v>1</v>
      </c>
      <c r="I34" s="258">
        <v>9.3000000000000007</v>
      </c>
      <c r="J34">
        <v>2.7749999999999999</v>
      </c>
      <c r="K34" s="118">
        <f>H34*I34*J34</f>
        <v>25.807500000000001</v>
      </c>
      <c r="L34" s="119"/>
      <c r="M34" s="120">
        <v>0</v>
      </c>
      <c r="N34" s="121">
        <v>0</v>
      </c>
      <c r="O34" s="121">
        <v>0</v>
      </c>
      <c r="P34" s="122">
        <v>0</v>
      </c>
      <c r="Q34" s="444">
        <f>K34-P34</f>
        <v>25.807500000000001</v>
      </c>
      <c r="R34" s="230">
        <v>0.9</v>
      </c>
      <c r="S34" s="327">
        <f>Q34*R34</f>
        <v>23.226750000000003</v>
      </c>
      <c r="T34" s="332">
        <v>23.226750000000003</v>
      </c>
      <c r="U34" s="315">
        <f>S34-T34</f>
        <v>0</v>
      </c>
      <c r="V34" s="232"/>
    </row>
    <row r="35" spans="2:22">
      <c r="B35" s="115"/>
      <c r="C35" s="152" t="s">
        <v>529</v>
      </c>
      <c r="D35" s="111"/>
      <c r="E35" s="146"/>
      <c r="F35" s="147"/>
      <c r="G35" s="148"/>
      <c r="H35" s="149"/>
      <c r="I35" s="151"/>
      <c r="J35" s="116"/>
      <c r="K35" s="118"/>
      <c r="L35" s="119"/>
      <c r="M35" s="120"/>
      <c r="N35" s="121"/>
      <c r="O35" s="121"/>
      <c r="P35" s="122"/>
      <c r="Q35" s="444"/>
      <c r="R35" s="230"/>
      <c r="S35" s="327"/>
      <c r="T35" s="332"/>
      <c r="U35" s="315"/>
      <c r="V35" s="232"/>
    </row>
    <row r="36" spans="2:22">
      <c r="B36" s="115"/>
      <c r="C36" s="152"/>
      <c r="D36" s="123"/>
      <c r="E36" s="112"/>
      <c r="F36" s="113"/>
      <c r="G36" s="114"/>
      <c r="H36" s="115"/>
      <c r="I36" s="116"/>
      <c r="J36" s="117"/>
      <c r="K36" s="118"/>
      <c r="L36" s="119"/>
      <c r="M36" s="120"/>
      <c r="N36" s="117"/>
      <c r="O36" s="117"/>
      <c r="P36" s="122"/>
      <c r="Q36" s="327"/>
      <c r="R36" s="233"/>
      <c r="S36" s="327"/>
      <c r="T36" s="332"/>
      <c r="U36" s="315"/>
      <c r="V36" s="232"/>
    </row>
    <row r="37" spans="2:22">
      <c r="B37" s="115"/>
      <c r="C37" s="150"/>
      <c r="D37" s="111"/>
      <c r="E37" s="112"/>
      <c r="F37" s="234"/>
      <c r="G37" s="114"/>
      <c r="H37" s="115"/>
      <c r="I37" s="116"/>
      <c r="J37" s="117"/>
      <c r="K37" s="118"/>
      <c r="L37" s="119"/>
      <c r="M37" s="120"/>
      <c r="N37" s="117"/>
      <c r="O37" s="117"/>
      <c r="P37" s="209"/>
      <c r="Q37" s="327"/>
      <c r="R37" s="230"/>
      <c r="S37" s="327"/>
      <c r="T37" s="332"/>
      <c r="U37" s="315"/>
      <c r="V37" s="232"/>
    </row>
    <row r="38" spans="2:22">
      <c r="B38" s="115"/>
      <c r="C38" s="150"/>
      <c r="D38" s="111"/>
      <c r="E38" s="111"/>
      <c r="F38" s="113"/>
      <c r="G38" s="114"/>
      <c r="H38" s="115"/>
      <c r="I38" s="116"/>
      <c r="J38" s="117"/>
      <c r="K38" s="118"/>
      <c r="L38" s="119"/>
      <c r="M38" s="120"/>
      <c r="N38" s="121"/>
      <c r="O38" s="121"/>
      <c r="P38" s="122"/>
      <c r="Q38" s="327"/>
      <c r="R38" s="233"/>
      <c r="S38" s="327"/>
      <c r="T38" s="332"/>
      <c r="U38" s="315"/>
      <c r="V38" s="232"/>
    </row>
    <row r="39" spans="2:22">
      <c r="B39" s="115"/>
      <c r="C39" s="150"/>
      <c r="D39" s="111"/>
      <c r="E39" s="111"/>
      <c r="F39" s="113"/>
      <c r="G39" s="114"/>
      <c r="H39" s="115"/>
      <c r="I39" s="116"/>
      <c r="J39" s="117"/>
      <c r="K39" s="118"/>
      <c r="L39" s="119"/>
      <c r="M39" s="120"/>
      <c r="N39" s="121"/>
      <c r="O39" s="121"/>
      <c r="P39" s="122"/>
      <c r="Q39" s="327"/>
      <c r="R39" s="233"/>
      <c r="S39" s="327"/>
      <c r="T39" s="332"/>
      <c r="U39" s="315"/>
      <c r="V39" s="232"/>
    </row>
    <row r="40" spans="2:22">
      <c r="B40" s="115"/>
      <c r="C40" s="150"/>
      <c r="D40" s="111"/>
      <c r="E40" s="112"/>
      <c r="F40" s="113"/>
      <c r="G40" s="114"/>
      <c r="H40" s="115"/>
      <c r="I40" s="116"/>
      <c r="J40" s="117"/>
      <c r="K40" s="118"/>
      <c r="L40" s="119"/>
      <c r="M40" s="120"/>
      <c r="N40" s="121"/>
      <c r="O40" s="121"/>
      <c r="P40" s="122"/>
      <c r="Q40" s="327"/>
      <c r="R40" s="233"/>
      <c r="S40" s="327"/>
      <c r="T40" s="332"/>
      <c r="U40" s="315"/>
      <c r="V40" s="232"/>
    </row>
    <row r="41" spans="2:22">
      <c r="B41" s="115"/>
      <c r="C41" s="150"/>
      <c r="D41" s="111"/>
      <c r="E41" s="111"/>
      <c r="F41" s="113"/>
      <c r="G41" s="114"/>
      <c r="H41" s="115"/>
      <c r="I41" s="116"/>
      <c r="J41" s="117"/>
      <c r="K41" s="118"/>
      <c r="L41" s="119"/>
      <c r="M41" s="120"/>
      <c r="N41" s="121"/>
      <c r="O41" s="121"/>
      <c r="P41" s="122"/>
      <c r="Q41" s="327"/>
      <c r="R41" s="233"/>
      <c r="S41" s="327"/>
      <c r="T41" s="332"/>
      <c r="U41" s="315"/>
      <c r="V41" s="232"/>
    </row>
    <row r="42" spans="2:22">
      <c r="B42" s="115"/>
      <c r="C42" s="150"/>
      <c r="D42" s="123"/>
      <c r="E42" s="111"/>
      <c r="F42" s="113"/>
      <c r="G42" s="114"/>
      <c r="H42" s="115"/>
      <c r="I42" s="116"/>
      <c r="J42" s="117"/>
      <c r="K42" s="118"/>
      <c r="L42" s="119"/>
      <c r="M42" s="120"/>
      <c r="N42" s="121"/>
      <c r="O42" s="121"/>
      <c r="P42" s="122"/>
      <c r="Q42" s="327"/>
      <c r="R42" s="233"/>
      <c r="S42" s="327"/>
      <c r="T42" s="332"/>
      <c r="U42" s="315"/>
      <c r="V42" s="232"/>
    </row>
    <row r="43" spans="2:22">
      <c r="B43" s="149"/>
      <c r="C43" s="153"/>
      <c r="D43" s="111"/>
      <c r="E43" s="146"/>
      <c r="F43" s="113"/>
      <c r="G43" s="148"/>
      <c r="H43" s="149"/>
      <c r="I43" s="151"/>
      <c r="J43" s="117"/>
      <c r="K43" s="118"/>
      <c r="L43" s="154"/>
      <c r="M43" s="120"/>
      <c r="N43" s="121"/>
      <c r="O43" s="121"/>
      <c r="P43" s="122"/>
      <c r="Q43" s="327"/>
      <c r="R43" s="233"/>
      <c r="S43" s="327"/>
      <c r="T43" s="332"/>
      <c r="U43" s="315"/>
      <c r="V43" s="232"/>
    </row>
    <row r="44" spans="2:22">
      <c r="B44" s="149"/>
      <c r="C44" s="150"/>
      <c r="D44" s="146"/>
      <c r="E44" s="146"/>
      <c r="F44" s="147"/>
      <c r="G44" s="148"/>
      <c r="H44" s="149"/>
      <c r="I44" s="151"/>
      <c r="J44" s="116"/>
      <c r="K44" s="118"/>
      <c r="L44" s="155"/>
      <c r="M44" s="120"/>
      <c r="N44" s="121"/>
      <c r="O44" s="121"/>
      <c r="P44" s="122"/>
      <c r="Q44" s="327"/>
      <c r="R44" s="233"/>
      <c r="S44" s="327"/>
      <c r="T44" s="332"/>
      <c r="U44" s="315"/>
      <c r="V44" s="232"/>
    </row>
    <row r="45" spans="2:22">
      <c r="B45" s="115"/>
      <c r="C45" s="150"/>
      <c r="D45" s="111"/>
      <c r="E45" s="112"/>
      <c r="F45" s="113"/>
      <c r="G45" s="114"/>
      <c r="H45" s="115"/>
      <c r="I45" s="116"/>
      <c r="J45" s="117"/>
      <c r="K45" s="118"/>
      <c r="L45" s="119"/>
      <c r="M45" s="120"/>
      <c r="N45" s="121"/>
      <c r="O45" s="121"/>
      <c r="P45" s="122"/>
      <c r="Q45" s="327"/>
      <c r="R45" s="233"/>
      <c r="S45" s="327"/>
      <c r="T45" s="332"/>
      <c r="U45" s="315"/>
      <c r="V45" s="232"/>
    </row>
    <row r="46" spans="2:22">
      <c r="B46" s="149"/>
      <c r="C46" s="153"/>
      <c r="D46" s="111"/>
      <c r="E46" s="156"/>
      <c r="F46" s="113"/>
      <c r="G46" s="148"/>
      <c r="H46" s="149"/>
      <c r="I46" s="151"/>
      <c r="J46" s="116"/>
      <c r="K46" s="157"/>
      <c r="L46" s="155"/>
      <c r="M46" s="158"/>
      <c r="N46" s="159"/>
      <c r="O46" s="159"/>
      <c r="P46" s="160"/>
      <c r="Q46" s="327"/>
      <c r="R46" s="233"/>
      <c r="S46" s="327"/>
      <c r="T46" s="332"/>
      <c r="U46" s="315"/>
      <c r="V46" s="232"/>
    </row>
    <row r="47" spans="2:22">
      <c r="B47" s="149"/>
      <c r="C47" s="150"/>
      <c r="D47" s="146"/>
      <c r="E47" s="156"/>
      <c r="F47" s="147"/>
      <c r="G47" s="148"/>
      <c r="H47" s="149"/>
      <c r="I47" s="151"/>
      <c r="J47" s="161"/>
      <c r="K47" s="162"/>
      <c r="M47" s="163"/>
      <c r="N47" s="164"/>
      <c r="O47" s="164"/>
      <c r="P47" s="165"/>
      <c r="Q47" s="355"/>
      <c r="R47" s="235"/>
      <c r="S47" s="328"/>
      <c r="T47" s="333"/>
      <c r="U47" s="353"/>
      <c r="V47" s="237"/>
    </row>
    <row r="48" spans="2:22" ht="15" thickBot="1">
      <c r="B48" s="129"/>
      <c r="C48" s="238"/>
      <c r="D48" s="126"/>
      <c r="E48" s="126"/>
      <c r="F48" s="127"/>
      <c r="G48" s="128"/>
      <c r="H48" s="129"/>
      <c r="I48" s="130"/>
      <c r="J48" s="130"/>
      <c r="K48" s="131"/>
      <c r="L48" s="132"/>
      <c r="M48" s="133"/>
      <c r="N48" s="134"/>
      <c r="O48" s="134"/>
      <c r="P48" s="135"/>
      <c r="Q48" s="197"/>
      <c r="R48" s="239"/>
      <c r="S48" s="197"/>
      <c r="T48" s="240"/>
      <c r="U48" s="352"/>
      <c r="V48" s="241"/>
    </row>
    <row r="49" spans="2:22">
      <c r="K49" s="136"/>
      <c r="N49" s="136"/>
      <c r="O49" s="136"/>
      <c r="P49" s="136" t="s">
        <v>37</v>
      </c>
      <c r="Q49" s="137">
        <f>SUM(Q30:Q48)</f>
        <v>25.807500000000001</v>
      </c>
      <c r="R49" s="137"/>
      <c r="S49" s="137">
        <f>SUM(S30:S48)</f>
        <v>23.226750000000003</v>
      </c>
      <c r="T49" s="137">
        <f>SUM(T30:T48)</f>
        <v>23.226750000000003</v>
      </c>
      <c r="U49" s="137">
        <f>SUM(U30:U48)</f>
        <v>0</v>
      </c>
    </row>
    <row r="52" spans="2:22" ht="15" thickBot="1">
      <c r="B52" s="220" t="s">
        <v>340</v>
      </c>
      <c r="P52" s="221"/>
      <c r="Q52" s="323"/>
      <c r="R52" s="87"/>
      <c r="S52" s="323"/>
      <c r="T52" s="329"/>
      <c r="U52" s="346"/>
    </row>
    <row r="53" spans="2:22" ht="52.5" thickBot="1">
      <c r="B53" s="91" t="s">
        <v>70</v>
      </c>
      <c r="C53" s="92" t="s">
        <v>71</v>
      </c>
      <c r="D53" s="92" t="s">
        <v>217</v>
      </c>
      <c r="E53" s="91" t="s">
        <v>73</v>
      </c>
      <c r="F53" s="91" t="s">
        <v>74</v>
      </c>
      <c r="G53" s="91" t="s">
        <v>75</v>
      </c>
      <c r="H53" s="557" t="s">
        <v>76</v>
      </c>
      <c r="I53" s="558"/>
      <c r="J53" s="558"/>
      <c r="K53" s="559"/>
      <c r="L53" s="93" t="s">
        <v>77</v>
      </c>
      <c r="M53" s="557" t="s">
        <v>78</v>
      </c>
      <c r="N53" s="558"/>
      <c r="O53" s="558"/>
      <c r="P53" s="559"/>
      <c r="Q53" s="201" t="s">
        <v>79</v>
      </c>
      <c r="R53" s="222" t="s">
        <v>115</v>
      </c>
      <c r="S53" s="189" t="s">
        <v>116</v>
      </c>
      <c r="T53" s="330" t="s">
        <v>117</v>
      </c>
      <c r="U53" s="347" t="s">
        <v>118</v>
      </c>
      <c r="V53" s="91" t="s">
        <v>176</v>
      </c>
    </row>
    <row r="54" spans="2:22" ht="15" thickBot="1">
      <c r="B54" s="223" t="s">
        <v>218</v>
      </c>
      <c r="C54" s="95"/>
      <c r="D54" s="95"/>
      <c r="E54" s="95"/>
      <c r="F54" s="95"/>
      <c r="G54" s="96"/>
      <c r="H54" s="97" t="s">
        <v>70</v>
      </c>
      <c r="I54" s="98" t="s">
        <v>83</v>
      </c>
      <c r="J54" s="98" t="s">
        <v>84</v>
      </c>
      <c r="K54" s="99" t="s">
        <v>85</v>
      </c>
      <c r="L54" s="100"/>
      <c r="M54" s="101" t="s">
        <v>70</v>
      </c>
      <c r="N54" s="98" t="s">
        <v>83</v>
      </c>
      <c r="O54" s="98" t="s">
        <v>84</v>
      </c>
      <c r="P54" s="99" t="s">
        <v>85</v>
      </c>
      <c r="Q54" s="191"/>
      <c r="R54" s="224"/>
      <c r="S54" s="191"/>
      <c r="T54" s="331"/>
      <c r="U54" s="350" t="s">
        <v>86</v>
      </c>
      <c r="V54" s="102"/>
    </row>
    <row r="55" spans="2:22">
      <c r="B55" s="103"/>
      <c r="C55" s="104"/>
      <c r="D55" s="104"/>
      <c r="E55" s="104"/>
      <c r="F55" s="105"/>
      <c r="G55" s="105"/>
      <c r="H55" s="103"/>
      <c r="I55" s="225"/>
      <c r="J55" s="225"/>
      <c r="K55" s="107"/>
      <c r="L55" s="108"/>
      <c r="M55" s="109"/>
      <c r="N55" s="104"/>
      <c r="O55" s="104"/>
      <c r="P55" s="107"/>
      <c r="Q55" s="356"/>
      <c r="R55" s="226"/>
      <c r="S55" s="227"/>
      <c r="T55" s="228"/>
      <c r="U55" s="351"/>
      <c r="V55" s="229"/>
    </row>
    <row r="56" spans="2:22" ht="29">
      <c r="B56" s="178">
        <v>1</v>
      </c>
      <c r="C56" s="265" t="s">
        <v>223</v>
      </c>
      <c r="D56" s="257" t="s">
        <v>220</v>
      </c>
      <c r="E56" s="146" t="s">
        <v>224</v>
      </c>
      <c r="F56" s="146" t="s">
        <v>225</v>
      </c>
      <c r="G56" s="148"/>
      <c r="H56" s="149">
        <v>1</v>
      </c>
      <c r="I56" s="258">
        <v>10.25</v>
      </c>
      <c r="J56">
        <v>4.6749999999999998</v>
      </c>
      <c r="K56" s="118">
        <f>H56*I56*J56</f>
        <v>47.918749999999996</v>
      </c>
      <c r="L56" s="119" t="s">
        <v>339</v>
      </c>
      <c r="M56" s="120">
        <v>1</v>
      </c>
      <c r="N56" s="121">
        <v>1.2</v>
      </c>
      <c r="O56" s="121">
        <v>2.1</v>
      </c>
      <c r="P56" s="122">
        <f>PRODUCT(M56:O56)</f>
        <v>2.52</v>
      </c>
      <c r="Q56" s="444">
        <f>K56-P56</f>
        <v>45.398749999999993</v>
      </c>
      <c r="R56" s="230">
        <v>1</v>
      </c>
      <c r="S56" s="327">
        <f>Q56*R56</f>
        <v>45.398749999999993</v>
      </c>
      <c r="T56" s="332">
        <v>45.398749999999993</v>
      </c>
      <c r="U56" s="315">
        <f>S56-T56</f>
        <v>0</v>
      </c>
      <c r="V56" s="232"/>
    </row>
    <row r="57" spans="2:22">
      <c r="B57" s="115"/>
      <c r="C57" s="152" t="s">
        <v>530</v>
      </c>
      <c r="D57" s="111"/>
      <c r="E57" s="146"/>
      <c r="F57" s="147"/>
      <c r="G57" s="148"/>
      <c r="H57" s="149"/>
      <c r="I57" s="151"/>
      <c r="J57" s="116"/>
      <c r="K57" s="118"/>
      <c r="L57" s="119"/>
      <c r="M57" s="120"/>
      <c r="N57" s="121"/>
      <c r="O57" s="121"/>
      <c r="P57" s="122"/>
      <c r="Q57" s="444"/>
      <c r="R57" s="230"/>
      <c r="S57" s="327"/>
      <c r="T57" s="332"/>
      <c r="U57" s="315"/>
      <c r="V57" s="232"/>
    </row>
    <row r="58" spans="2:22">
      <c r="B58" s="115"/>
      <c r="C58" s="152"/>
      <c r="D58" s="123"/>
      <c r="E58" s="112"/>
      <c r="F58" s="113"/>
      <c r="G58" s="114"/>
      <c r="H58" s="115"/>
      <c r="I58" s="116"/>
      <c r="J58" s="117"/>
      <c r="K58" s="118"/>
      <c r="L58" s="119"/>
      <c r="M58" s="120"/>
      <c r="N58" s="117"/>
      <c r="O58" s="117"/>
      <c r="P58" s="122"/>
      <c r="Q58" s="327"/>
      <c r="R58" s="233"/>
      <c r="S58" s="327"/>
      <c r="T58" s="332"/>
      <c r="U58" s="315"/>
      <c r="V58" s="232"/>
    </row>
    <row r="59" spans="2:22">
      <c r="B59" s="115"/>
      <c r="C59" s="150"/>
      <c r="D59" s="111"/>
      <c r="E59" s="112"/>
      <c r="F59" s="234"/>
      <c r="G59" s="114"/>
      <c r="H59" s="115"/>
      <c r="I59" s="116"/>
      <c r="J59" s="117"/>
      <c r="K59" s="118"/>
      <c r="L59" s="119"/>
      <c r="M59" s="120"/>
      <c r="N59" s="117"/>
      <c r="O59" s="117"/>
      <c r="P59" s="209"/>
      <c r="Q59" s="327"/>
      <c r="R59" s="230"/>
      <c r="S59" s="327"/>
      <c r="T59" s="332"/>
      <c r="U59" s="315"/>
      <c r="V59" s="232"/>
    </row>
    <row r="60" spans="2:22">
      <c r="B60" s="115"/>
      <c r="C60" s="150"/>
      <c r="D60" s="111"/>
      <c r="E60" s="111"/>
      <c r="F60" s="113"/>
      <c r="G60" s="114"/>
      <c r="H60" s="115"/>
      <c r="I60" s="116"/>
      <c r="J60" s="117"/>
      <c r="K60" s="118"/>
      <c r="L60" s="119"/>
      <c r="M60" s="120"/>
      <c r="N60" s="121"/>
      <c r="O60" s="121"/>
      <c r="P60" s="122"/>
      <c r="Q60" s="327"/>
      <c r="R60" s="233"/>
      <c r="S60" s="327"/>
      <c r="T60" s="332"/>
      <c r="U60" s="315"/>
      <c r="V60" s="232"/>
    </row>
    <row r="61" spans="2:22">
      <c r="B61" s="115"/>
      <c r="C61" s="150"/>
      <c r="D61" s="111"/>
      <c r="E61" s="111"/>
      <c r="F61" s="113"/>
      <c r="G61" s="114"/>
      <c r="H61" s="115"/>
      <c r="I61" s="116"/>
      <c r="J61" s="117"/>
      <c r="K61" s="118"/>
      <c r="L61" s="119"/>
      <c r="M61" s="120"/>
      <c r="N61" s="121"/>
      <c r="O61" s="121"/>
      <c r="P61" s="122"/>
      <c r="Q61" s="327"/>
      <c r="R61" s="233"/>
      <c r="S61" s="327"/>
      <c r="T61" s="332"/>
      <c r="U61" s="315"/>
      <c r="V61" s="232"/>
    </row>
    <row r="62" spans="2:22">
      <c r="B62" s="115"/>
      <c r="C62" s="150"/>
      <c r="D62" s="111"/>
      <c r="E62" s="112"/>
      <c r="F62" s="113"/>
      <c r="G62" s="114"/>
      <c r="H62" s="115"/>
      <c r="I62" s="116"/>
      <c r="J62" s="117"/>
      <c r="K62" s="118"/>
      <c r="L62" s="119"/>
      <c r="M62" s="120"/>
      <c r="N62" s="121"/>
      <c r="O62" s="121"/>
      <c r="P62" s="122"/>
      <c r="Q62" s="327"/>
      <c r="R62" s="233"/>
      <c r="S62" s="327"/>
      <c r="T62" s="332"/>
      <c r="U62" s="315"/>
      <c r="V62" s="232"/>
    </row>
    <row r="63" spans="2:22">
      <c r="B63" s="115"/>
      <c r="C63" s="150"/>
      <c r="D63" s="111"/>
      <c r="E63" s="111"/>
      <c r="F63" s="113"/>
      <c r="G63" s="114"/>
      <c r="H63" s="115"/>
      <c r="I63" s="116"/>
      <c r="J63" s="117"/>
      <c r="K63" s="118"/>
      <c r="L63" s="119"/>
      <c r="M63" s="120"/>
      <c r="N63" s="121"/>
      <c r="O63" s="121"/>
      <c r="P63" s="122"/>
      <c r="Q63" s="327"/>
      <c r="R63" s="233"/>
      <c r="S63" s="327"/>
      <c r="T63" s="332"/>
      <c r="U63" s="315"/>
      <c r="V63" s="232"/>
    </row>
    <row r="64" spans="2:22">
      <c r="B64" s="115"/>
      <c r="C64" s="150"/>
      <c r="D64" s="123"/>
      <c r="E64" s="111"/>
      <c r="F64" s="113"/>
      <c r="G64" s="114"/>
      <c r="H64" s="115"/>
      <c r="I64" s="116"/>
      <c r="J64" s="117"/>
      <c r="K64" s="118"/>
      <c r="L64" s="119"/>
      <c r="M64" s="120"/>
      <c r="N64" s="121"/>
      <c r="O64" s="121"/>
      <c r="P64" s="122"/>
      <c r="Q64" s="327"/>
      <c r="R64" s="233"/>
      <c r="S64" s="327"/>
      <c r="T64" s="332"/>
      <c r="U64" s="315"/>
      <c r="V64" s="232"/>
    </row>
    <row r="65" spans="2:22">
      <c r="B65" s="149"/>
      <c r="C65" s="153"/>
      <c r="D65" s="111"/>
      <c r="E65" s="146"/>
      <c r="F65" s="113"/>
      <c r="G65" s="148"/>
      <c r="H65" s="149"/>
      <c r="I65" s="151"/>
      <c r="J65" s="117"/>
      <c r="K65" s="118"/>
      <c r="L65" s="154"/>
      <c r="M65" s="120"/>
      <c r="N65" s="121"/>
      <c r="O65" s="121"/>
      <c r="P65" s="122"/>
      <c r="Q65" s="327"/>
      <c r="R65" s="233"/>
      <c r="S65" s="327"/>
      <c r="T65" s="332"/>
      <c r="U65" s="315"/>
      <c r="V65" s="232"/>
    </row>
    <row r="66" spans="2:22">
      <c r="B66" s="149"/>
      <c r="C66" s="150"/>
      <c r="D66" s="146"/>
      <c r="E66" s="146"/>
      <c r="F66" s="147"/>
      <c r="G66" s="148"/>
      <c r="H66" s="149"/>
      <c r="I66" s="151"/>
      <c r="J66" s="116"/>
      <c r="K66" s="118"/>
      <c r="L66" s="155"/>
      <c r="M66" s="120"/>
      <c r="N66" s="121"/>
      <c r="O66" s="121"/>
      <c r="P66" s="122"/>
      <c r="Q66" s="327"/>
      <c r="R66" s="233"/>
      <c r="S66" s="327"/>
      <c r="T66" s="332"/>
      <c r="U66" s="315"/>
      <c r="V66" s="232"/>
    </row>
    <row r="67" spans="2:22">
      <c r="B67" s="115"/>
      <c r="C67" s="150"/>
      <c r="D67" s="111"/>
      <c r="E67" s="112"/>
      <c r="F67" s="113"/>
      <c r="G67" s="114"/>
      <c r="H67" s="115"/>
      <c r="I67" s="116"/>
      <c r="J67" s="117"/>
      <c r="K67" s="118"/>
      <c r="L67" s="119"/>
      <c r="M67" s="120"/>
      <c r="N67" s="121"/>
      <c r="O67" s="121"/>
      <c r="P67" s="122"/>
      <c r="Q67" s="327"/>
      <c r="R67" s="233"/>
      <c r="S67" s="327"/>
      <c r="T67" s="332"/>
      <c r="U67" s="315"/>
      <c r="V67" s="232"/>
    </row>
    <row r="68" spans="2:22">
      <c r="B68" s="149"/>
      <c r="C68" s="153"/>
      <c r="D68" s="111"/>
      <c r="E68" s="156"/>
      <c r="F68" s="113"/>
      <c r="G68" s="148"/>
      <c r="H68" s="149"/>
      <c r="I68" s="151"/>
      <c r="J68" s="116"/>
      <c r="K68" s="157"/>
      <c r="L68" s="155"/>
      <c r="M68" s="158"/>
      <c r="N68" s="159"/>
      <c r="O68" s="159"/>
      <c r="P68" s="160"/>
      <c r="Q68" s="327"/>
      <c r="R68" s="233"/>
      <c r="S68" s="327"/>
      <c r="T68" s="332"/>
      <c r="U68" s="315"/>
      <c r="V68" s="232"/>
    </row>
    <row r="69" spans="2:22">
      <c r="B69" s="149"/>
      <c r="C69" s="150"/>
      <c r="D69" s="146"/>
      <c r="E69" s="156"/>
      <c r="F69" s="147"/>
      <c r="G69" s="148"/>
      <c r="H69" s="149"/>
      <c r="I69" s="151"/>
      <c r="J69" s="161"/>
      <c r="K69" s="162"/>
      <c r="M69" s="163"/>
      <c r="N69" s="164"/>
      <c r="O69" s="164"/>
      <c r="P69" s="165"/>
      <c r="Q69" s="355"/>
      <c r="R69" s="235"/>
      <c r="S69" s="328"/>
      <c r="T69" s="333"/>
      <c r="U69" s="353"/>
      <c r="V69" s="237"/>
    </row>
    <row r="70" spans="2:22" ht="15" thickBot="1">
      <c r="B70" s="129"/>
      <c r="C70" s="238"/>
      <c r="D70" s="126"/>
      <c r="E70" s="126"/>
      <c r="F70" s="127"/>
      <c r="G70" s="128"/>
      <c r="H70" s="129"/>
      <c r="I70" s="130"/>
      <c r="J70" s="130"/>
      <c r="K70" s="131"/>
      <c r="L70" s="132"/>
      <c r="M70" s="133"/>
      <c r="N70" s="134"/>
      <c r="O70" s="134"/>
      <c r="P70" s="135"/>
      <c r="Q70" s="197"/>
      <c r="R70" s="239"/>
      <c r="S70" s="197"/>
      <c r="T70" s="240"/>
      <c r="U70" s="352"/>
      <c r="V70" s="241"/>
    </row>
    <row r="71" spans="2:22">
      <c r="K71" s="136"/>
      <c r="N71" s="136"/>
      <c r="O71" s="136"/>
      <c r="P71" s="136" t="s">
        <v>37</v>
      </c>
      <c r="Q71" s="137">
        <f>SUM(Q52:Q70)</f>
        <v>45.398749999999993</v>
      </c>
      <c r="R71" s="137"/>
      <c r="S71" s="137">
        <f>SUM(S52:S70)</f>
        <v>45.398749999999993</v>
      </c>
      <c r="T71" s="137">
        <f>SUM(T52:T70)</f>
        <v>45.398749999999993</v>
      </c>
      <c r="U71" s="137">
        <f>SUM(U52:U70)</f>
        <v>0</v>
      </c>
    </row>
    <row r="73" spans="2:22" ht="15" thickBot="1">
      <c r="B73" s="220" t="s">
        <v>226</v>
      </c>
      <c r="P73" s="221"/>
      <c r="Q73" s="323"/>
      <c r="R73" s="87"/>
      <c r="S73" s="323"/>
      <c r="T73" s="329"/>
      <c r="U73" s="346"/>
    </row>
    <row r="74" spans="2:22" ht="52.5" thickBot="1">
      <c r="B74" s="91" t="s">
        <v>70</v>
      </c>
      <c r="C74" s="92" t="s">
        <v>71</v>
      </c>
      <c r="D74" s="92" t="s">
        <v>217</v>
      </c>
      <c r="E74" s="91" t="s">
        <v>73</v>
      </c>
      <c r="F74" s="91" t="s">
        <v>74</v>
      </c>
      <c r="G74" s="91" t="s">
        <v>75</v>
      </c>
      <c r="H74" s="557" t="s">
        <v>76</v>
      </c>
      <c r="I74" s="558"/>
      <c r="J74" s="558"/>
      <c r="K74" s="559"/>
      <c r="L74" s="93" t="s">
        <v>77</v>
      </c>
      <c r="M74" s="557" t="s">
        <v>78</v>
      </c>
      <c r="N74" s="558"/>
      <c r="O74" s="558"/>
      <c r="P74" s="559"/>
      <c r="Q74" s="201" t="s">
        <v>79</v>
      </c>
      <c r="R74" s="222" t="s">
        <v>115</v>
      </c>
      <c r="S74" s="189" t="s">
        <v>116</v>
      </c>
      <c r="T74" s="330" t="s">
        <v>117</v>
      </c>
      <c r="U74" s="347" t="s">
        <v>118</v>
      </c>
      <c r="V74" s="91" t="s">
        <v>176</v>
      </c>
    </row>
    <row r="75" spans="2:22" ht="15" thickBot="1">
      <c r="B75" s="223" t="s">
        <v>227</v>
      </c>
      <c r="C75" s="95"/>
      <c r="D75" s="95"/>
      <c r="E75" s="95"/>
      <c r="F75" s="95"/>
      <c r="G75" s="96"/>
      <c r="H75" s="97" t="s">
        <v>70</v>
      </c>
      <c r="I75" s="98" t="s">
        <v>83</v>
      </c>
      <c r="J75" s="98" t="s">
        <v>84</v>
      </c>
      <c r="K75" s="99" t="s">
        <v>85</v>
      </c>
      <c r="L75" s="100"/>
      <c r="M75" s="101" t="s">
        <v>70</v>
      </c>
      <c r="N75" s="98" t="s">
        <v>83</v>
      </c>
      <c r="O75" s="98" t="s">
        <v>84</v>
      </c>
      <c r="P75" s="99" t="s">
        <v>85</v>
      </c>
      <c r="Q75" s="191"/>
      <c r="R75" s="224"/>
      <c r="S75" s="191"/>
      <c r="T75" s="331"/>
      <c r="U75" s="350" t="s">
        <v>86</v>
      </c>
      <c r="V75" s="102"/>
    </row>
    <row r="76" spans="2:22">
      <c r="B76" s="103"/>
      <c r="C76" s="104"/>
      <c r="D76" s="104"/>
      <c r="E76" s="104"/>
      <c r="F76" s="105"/>
      <c r="G76" s="105"/>
      <c r="H76" s="103"/>
      <c r="I76" s="225"/>
      <c r="J76" s="225"/>
      <c r="K76" s="107"/>
      <c r="L76" s="108"/>
      <c r="M76" s="109"/>
      <c r="N76" s="104"/>
      <c r="O76" s="104"/>
      <c r="P76" s="107"/>
      <c r="Q76" s="356"/>
      <c r="R76" s="226"/>
      <c r="S76" s="227"/>
      <c r="T76" s="228"/>
      <c r="U76" s="351"/>
      <c r="V76" s="229"/>
    </row>
    <row r="77" spans="2:22" ht="29">
      <c r="B77" s="178">
        <v>1</v>
      </c>
      <c r="C77" s="256" t="s">
        <v>228</v>
      </c>
      <c r="D77" s="257" t="s">
        <v>229</v>
      </c>
      <c r="E77" s="146" t="s">
        <v>224</v>
      </c>
      <c r="F77" s="146" t="s">
        <v>225</v>
      </c>
      <c r="G77" s="148"/>
      <c r="H77" s="149">
        <v>1</v>
      </c>
      <c r="I77" s="258">
        <v>11.285</v>
      </c>
      <c r="J77">
        <v>4.6749999999999998</v>
      </c>
      <c r="K77" s="118">
        <f>H77*I77*J77</f>
        <v>52.757374999999996</v>
      </c>
      <c r="L77" s="119"/>
      <c r="M77" s="120">
        <v>0</v>
      </c>
      <c r="N77" s="121">
        <v>0</v>
      </c>
      <c r="O77" s="121">
        <v>0</v>
      </c>
      <c r="P77" s="122">
        <v>0</v>
      </c>
      <c r="Q77" s="444">
        <f>K77-P77</f>
        <v>52.757374999999996</v>
      </c>
      <c r="R77" s="486">
        <v>0.95</v>
      </c>
      <c r="S77" s="327">
        <f>(Q77+Q78)*R77</f>
        <v>167.24196624999999</v>
      </c>
      <c r="T77" s="332">
        <v>167.24196624999999</v>
      </c>
      <c r="U77" s="315">
        <f>S77-T77</f>
        <v>0</v>
      </c>
      <c r="V77" s="232"/>
    </row>
    <row r="78" spans="2:22">
      <c r="B78" s="115"/>
      <c r="C78" s="152" t="s">
        <v>531</v>
      </c>
      <c r="D78" s="111"/>
      <c r="E78" s="146" t="s">
        <v>230</v>
      </c>
      <c r="F78" s="147"/>
      <c r="G78" s="148"/>
      <c r="H78" s="149">
        <v>1</v>
      </c>
      <c r="I78" s="151">
        <v>31.611999999999998</v>
      </c>
      <c r="J78" s="116">
        <v>3.9</v>
      </c>
      <c r="K78" s="118">
        <f>H78*I78*J78</f>
        <v>123.28679999999999</v>
      </c>
      <c r="L78" s="119"/>
      <c r="M78" s="120">
        <v>0</v>
      </c>
      <c r="N78" s="121">
        <v>0</v>
      </c>
      <c r="O78" s="121">
        <v>0</v>
      </c>
      <c r="P78" s="122">
        <v>0</v>
      </c>
      <c r="Q78" s="444">
        <f>K78-P78</f>
        <v>123.28679999999999</v>
      </c>
      <c r="R78" s="230"/>
      <c r="S78" s="327"/>
      <c r="T78" s="332"/>
      <c r="U78" s="315"/>
      <c r="V78" s="232"/>
    </row>
    <row r="79" spans="2:22">
      <c r="B79" s="115"/>
      <c r="C79" s="152"/>
      <c r="D79" s="123"/>
      <c r="E79" s="112"/>
      <c r="F79" s="113"/>
      <c r="G79" s="114"/>
      <c r="H79" s="115"/>
      <c r="I79" s="116"/>
      <c r="J79" s="117"/>
      <c r="K79" s="118"/>
      <c r="L79" s="119"/>
      <c r="M79" s="120"/>
      <c r="N79" s="117"/>
      <c r="O79" s="117"/>
      <c r="P79" s="122"/>
      <c r="Q79" s="327"/>
      <c r="R79" s="233"/>
      <c r="S79" s="327"/>
      <c r="T79" s="332"/>
      <c r="U79" s="315"/>
      <c r="V79" s="232"/>
    </row>
    <row r="80" spans="2:22">
      <c r="B80" s="115"/>
      <c r="C80" s="150"/>
      <c r="D80" s="111"/>
      <c r="E80" s="112"/>
      <c r="F80" s="234"/>
      <c r="G80" s="114"/>
      <c r="H80" s="115"/>
      <c r="I80" s="116"/>
      <c r="J80" s="117"/>
      <c r="K80" s="118"/>
      <c r="L80" s="119"/>
      <c r="M80" s="120"/>
      <c r="N80" s="117"/>
      <c r="O80" s="117"/>
      <c r="P80" s="209"/>
      <c r="Q80" s="327"/>
      <c r="R80" s="230"/>
      <c r="S80" s="327"/>
      <c r="T80" s="332"/>
      <c r="U80" s="315"/>
      <c r="V80" s="232"/>
    </row>
    <row r="81" spans="2:22">
      <c r="B81" s="115"/>
      <c r="C81" s="150"/>
      <c r="D81" s="111"/>
      <c r="E81" s="111"/>
      <c r="F81" s="113"/>
      <c r="G81" s="114"/>
      <c r="H81" s="115"/>
      <c r="I81" s="116"/>
      <c r="J81" s="117"/>
      <c r="K81" s="118"/>
      <c r="L81" s="119"/>
      <c r="M81" s="120"/>
      <c r="N81" s="121"/>
      <c r="O81" s="121"/>
      <c r="P81" s="122"/>
      <c r="Q81" s="327"/>
      <c r="R81" s="233"/>
      <c r="S81" s="327"/>
      <c r="T81" s="332"/>
      <c r="U81" s="315"/>
      <c r="V81" s="232"/>
    </row>
    <row r="82" spans="2:22">
      <c r="B82" s="115"/>
      <c r="C82" s="150"/>
      <c r="D82" s="111"/>
      <c r="E82" s="111"/>
      <c r="F82" s="113"/>
      <c r="G82" s="114"/>
      <c r="H82" s="115"/>
      <c r="I82" s="116"/>
      <c r="J82" s="117"/>
      <c r="K82" s="118"/>
      <c r="L82" s="119"/>
      <c r="M82" s="120"/>
      <c r="N82" s="121"/>
      <c r="O82" s="121"/>
      <c r="P82" s="122"/>
      <c r="Q82" s="327"/>
      <c r="R82" s="233"/>
      <c r="S82" s="327"/>
      <c r="T82" s="332"/>
      <c r="U82" s="315"/>
      <c r="V82" s="232"/>
    </row>
    <row r="83" spans="2:22">
      <c r="B83" s="115"/>
      <c r="C83" s="150"/>
      <c r="D83" s="111"/>
      <c r="E83" s="112"/>
      <c r="F83" s="113"/>
      <c r="G83" s="114"/>
      <c r="H83" s="115"/>
      <c r="I83" s="116"/>
      <c r="J83" s="117"/>
      <c r="K83" s="118"/>
      <c r="L83" s="119"/>
      <c r="M83" s="120"/>
      <c r="N83" s="121"/>
      <c r="O83" s="121"/>
      <c r="P83" s="122"/>
      <c r="Q83" s="327"/>
      <c r="R83" s="233"/>
      <c r="S83" s="327"/>
      <c r="T83" s="332"/>
      <c r="U83" s="315"/>
      <c r="V83" s="232"/>
    </row>
    <row r="84" spans="2:22">
      <c r="B84" s="115"/>
      <c r="C84" s="150"/>
      <c r="D84" s="111"/>
      <c r="E84" s="111"/>
      <c r="F84" s="113"/>
      <c r="G84" s="114"/>
      <c r="H84" s="115"/>
      <c r="I84" s="116"/>
      <c r="J84" s="117"/>
      <c r="K84" s="118"/>
      <c r="L84" s="119"/>
      <c r="M84" s="120"/>
      <c r="N84" s="121"/>
      <c r="O84" s="121"/>
      <c r="P84" s="122"/>
      <c r="Q84" s="327"/>
      <c r="R84" s="233"/>
      <c r="S84" s="327"/>
      <c r="T84" s="332"/>
      <c r="U84" s="315"/>
      <c r="V84" s="232"/>
    </row>
    <row r="85" spans="2:22">
      <c r="B85" s="115"/>
      <c r="C85" s="150"/>
      <c r="D85" s="123"/>
      <c r="E85" s="111"/>
      <c r="F85" s="113"/>
      <c r="G85" s="114"/>
      <c r="H85" s="115"/>
      <c r="I85" s="116"/>
      <c r="J85" s="117"/>
      <c r="K85" s="118"/>
      <c r="L85" s="119"/>
      <c r="M85" s="120"/>
      <c r="N85" s="121"/>
      <c r="O85" s="121"/>
      <c r="P85" s="122"/>
      <c r="Q85" s="327"/>
      <c r="R85" s="233"/>
      <c r="S85" s="327"/>
      <c r="T85" s="332"/>
      <c r="U85" s="315"/>
      <c r="V85" s="232"/>
    </row>
    <row r="86" spans="2:22">
      <c r="B86" s="149"/>
      <c r="C86" s="153"/>
      <c r="D86" s="111"/>
      <c r="E86" s="146"/>
      <c r="F86" s="113"/>
      <c r="G86" s="148"/>
      <c r="H86" s="149"/>
      <c r="I86" s="151"/>
      <c r="J86" s="117"/>
      <c r="K86" s="118"/>
      <c r="L86" s="154"/>
      <c r="M86" s="120"/>
      <c r="N86" s="121"/>
      <c r="O86" s="121"/>
      <c r="P86" s="122"/>
      <c r="Q86" s="327"/>
      <c r="R86" s="233"/>
      <c r="S86" s="327"/>
      <c r="T86" s="332"/>
      <c r="U86" s="315"/>
      <c r="V86" s="232"/>
    </row>
    <row r="87" spans="2:22">
      <c r="B87" s="149"/>
      <c r="C87" s="150"/>
      <c r="D87" s="146"/>
      <c r="E87" s="146"/>
      <c r="F87" s="147"/>
      <c r="G87" s="148"/>
      <c r="H87" s="149"/>
      <c r="I87" s="151"/>
      <c r="J87" s="116"/>
      <c r="K87" s="118"/>
      <c r="L87" s="155"/>
      <c r="M87" s="120"/>
      <c r="N87" s="121"/>
      <c r="O87" s="121"/>
      <c r="P87" s="122"/>
      <c r="Q87" s="327"/>
      <c r="R87" s="233"/>
      <c r="S87" s="327"/>
      <c r="T87" s="332"/>
      <c r="U87" s="315"/>
      <c r="V87" s="232"/>
    </row>
    <row r="88" spans="2:22">
      <c r="B88" s="115"/>
      <c r="C88" s="150"/>
      <c r="D88" s="111"/>
      <c r="E88" s="112"/>
      <c r="F88" s="113"/>
      <c r="G88" s="114"/>
      <c r="H88" s="115"/>
      <c r="I88" s="116"/>
      <c r="J88" s="117"/>
      <c r="K88" s="118"/>
      <c r="L88" s="119"/>
      <c r="M88" s="120"/>
      <c r="N88" s="121"/>
      <c r="O88" s="121"/>
      <c r="P88" s="122"/>
      <c r="Q88" s="327"/>
      <c r="R88" s="233"/>
      <c r="S88" s="327"/>
      <c r="T88" s="332"/>
      <c r="U88" s="315"/>
      <c r="V88" s="232"/>
    </row>
    <row r="89" spans="2:22">
      <c r="B89" s="149"/>
      <c r="C89" s="153"/>
      <c r="D89" s="111"/>
      <c r="E89" s="156"/>
      <c r="F89" s="113"/>
      <c r="G89" s="148"/>
      <c r="H89" s="149"/>
      <c r="I89" s="151"/>
      <c r="J89" s="116"/>
      <c r="K89" s="157"/>
      <c r="L89" s="155"/>
      <c r="M89" s="158"/>
      <c r="N89" s="159"/>
      <c r="O89" s="159"/>
      <c r="P89" s="160"/>
      <c r="Q89" s="327"/>
      <c r="R89" s="233"/>
      <c r="S89" s="327"/>
      <c r="T89" s="332"/>
      <c r="U89" s="315"/>
      <c r="V89" s="232"/>
    </row>
    <row r="90" spans="2:22">
      <c r="B90" s="149"/>
      <c r="C90" s="150"/>
      <c r="D90" s="146"/>
      <c r="E90" s="156"/>
      <c r="F90" s="147"/>
      <c r="G90" s="148"/>
      <c r="H90" s="149"/>
      <c r="I90" s="151"/>
      <c r="J90" s="161"/>
      <c r="K90" s="162"/>
      <c r="M90" s="163"/>
      <c r="N90" s="164"/>
      <c r="O90" s="164"/>
      <c r="P90" s="165"/>
      <c r="Q90" s="355"/>
      <c r="R90" s="235"/>
      <c r="S90" s="328"/>
      <c r="T90" s="333"/>
      <c r="U90" s="353"/>
      <c r="V90" s="237"/>
    </row>
    <row r="91" spans="2:22" ht="15" thickBot="1">
      <c r="B91" s="129"/>
      <c r="C91" s="238"/>
      <c r="D91" s="126"/>
      <c r="E91" s="126"/>
      <c r="F91" s="127"/>
      <c r="G91" s="128"/>
      <c r="H91" s="129"/>
      <c r="I91" s="130"/>
      <c r="J91" s="130"/>
      <c r="K91" s="131"/>
      <c r="L91" s="132"/>
      <c r="M91" s="133"/>
      <c r="N91" s="134"/>
      <c r="O91" s="134"/>
      <c r="P91" s="135"/>
      <c r="Q91" s="197"/>
      <c r="R91" s="239"/>
      <c r="S91" s="197"/>
      <c r="T91" s="240"/>
      <c r="U91" s="352"/>
      <c r="V91" s="241"/>
    </row>
    <row r="92" spans="2:22">
      <c r="K92" s="136"/>
      <c r="N92" s="136"/>
      <c r="O92" s="136"/>
      <c r="P92" s="136" t="s">
        <v>37</v>
      </c>
      <c r="Q92" s="137">
        <f>SUM(Q73:Q91)</f>
        <v>176.044175</v>
      </c>
      <c r="R92" s="137"/>
      <c r="S92" s="137">
        <f>SUM(S73:S91)</f>
        <v>167.24196624999999</v>
      </c>
      <c r="T92" s="137">
        <f>SUM(T73:T91)</f>
        <v>167.24196624999999</v>
      </c>
      <c r="U92" s="137">
        <f>SUM(U73:U91)</f>
        <v>0</v>
      </c>
    </row>
    <row r="94" spans="2:22" ht="15" thickBot="1">
      <c r="B94" s="220" t="s">
        <v>231</v>
      </c>
      <c r="P94" s="221"/>
      <c r="Q94" s="323"/>
      <c r="R94" s="87"/>
      <c r="S94" s="323"/>
      <c r="T94" s="329"/>
      <c r="U94" s="346"/>
    </row>
    <row r="95" spans="2:22" ht="52.5" thickBot="1">
      <c r="B95" s="91" t="s">
        <v>70</v>
      </c>
      <c r="C95" s="92" t="s">
        <v>71</v>
      </c>
      <c r="D95" s="92" t="s">
        <v>217</v>
      </c>
      <c r="E95" s="91" t="s">
        <v>73</v>
      </c>
      <c r="F95" s="91" t="s">
        <v>74</v>
      </c>
      <c r="G95" s="91" t="s">
        <v>75</v>
      </c>
      <c r="H95" s="557" t="s">
        <v>76</v>
      </c>
      <c r="I95" s="558"/>
      <c r="J95" s="558"/>
      <c r="K95" s="559"/>
      <c r="L95" s="93" t="s">
        <v>77</v>
      </c>
      <c r="M95" s="557" t="s">
        <v>78</v>
      </c>
      <c r="N95" s="558"/>
      <c r="O95" s="558"/>
      <c r="P95" s="559"/>
      <c r="Q95" s="201" t="s">
        <v>79</v>
      </c>
      <c r="R95" s="222" t="s">
        <v>115</v>
      </c>
      <c r="S95" s="189" t="s">
        <v>116</v>
      </c>
      <c r="T95" s="330" t="s">
        <v>117</v>
      </c>
      <c r="U95" s="347" t="s">
        <v>118</v>
      </c>
      <c r="V95" s="91" t="s">
        <v>176</v>
      </c>
    </row>
    <row r="96" spans="2:22" ht="15" thickBot="1">
      <c r="B96" s="223" t="s">
        <v>227</v>
      </c>
      <c r="C96" s="95"/>
      <c r="D96" s="95"/>
      <c r="E96" s="95"/>
      <c r="F96" s="95"/>
      <c r="G96" s="96"/>
      <c r="H96" s="97" t="s">
        <v>70</v>
      </c>
      <c r="I96" s="98" t="s">
        <v>83</v>
      </c>
      <c r="J96" s="98" t="s">
        <v>84</v>
      </c>
      <c r="K96" s="99" t="s">
        <v>85</v>
      </c>
      <c r="L96" s="100"/>
      <c r="M96" s="101" t="s">
        <v>70</v>
      </c>
      <c r="N96" s="98" t="s">
        <v>83</v>
      </c>
      <c r="O96" s="98" t="s">
        <v>84</v>
      </c>
      <c r="P96" s="99" t="s">
        <v>85</v>
      </c>
      <c r="Q96" s="191"/>
      <c r="R96" s="224"/>
      <c r="S96" s="191"/>
      <c r="T96" s="331"/>
      <c r="U96" s="350" t="s">
        <v>86</v>
      </c>
      <c r="V96" s="102"/>
    </row>
    <row r="97" spans="2:22">
      <c r="B97" s="103"/>
      <c r="C97" s="104"/>
      <c r="D97" s="104"/>
      <c r="E97" s="104"/>
      <c r="F97" s="105"/>
      <c r="G97" s="105"/>
      <c r="H97" s="103"/>
      <c r="I97" s="225"/>
      <c r="J97" s="225"/>
      <c r="K97" s="107"/>
      <c r="L97" s="108"/>
      <c r="M97" s="109"/>
      <c r="N97" s="104"/>
      <c r="O97" s="104"/>
      <c r="P97" s="107"/>
      <c r="Q97" s="356"/>
      <c r="R97" s="226"/>
      <c r="S97" s="227"/>
      <c r="T97" s="228"/>
      <c r="U97" s="351"/>
      <c r="V97" s="229"/>
    </row>
    <row r="98" spans="2:22" ht="29">
      <c r="B98" s="178">
        <v>1</v>
      </c>
      <c r="C98" s="256" t="s">
        <v>232</v>
      </c>
      <c r="D98" s="257" t="s">
        <v>233</v>
      </c>
      <c r="E98" s="146" t="s">
        <v>234</v>
      </c>
      <c r="F98" s="146"/>
      <c r="G98" s="148"/>
      <c r="H98" s="149">
        <v>1</v>
      </c>
      <c r="I98" s="258">
        <v>11.5</v>
      </c>
      <c r="J98">
        <v>1.38</v>
      </c>
      <c r="K98" s="118">
        <f t="shared" ref="K98:K103" si="0">H98*I98*J98</f>
        <v>15.87</v>
      </c>
      <c r="L98" s="119"/>
      <c r="M98" s="120">
        <v>0</v>
      </c>
      <c r="N98" s="121">
        <v>0</v>
      </c>
      <c r="O98" s="121">
        <v>0</v>
      </c>
      <c r="P98" s="122">
        <v>0</v>
      </c>
      <c r="Q98" s="444">
        <f>SUM(K98:K103)</f>
        <v>156.83349999999999</v>
      </c>
      <c r="R98" s="230">
        <v>0.9</v>
      </c>
      <c r="S98" s="327">
        <f>(Q98+Q99)*R98</f>
        <v>141.15015</v>
      </c>
      <c r="T98" s="332">
        <v>141.15015</v>
      </c>
      <c r="U98" s="315">
        <f>S98-T98</f>
        <v>0</v>
      </c>
      <c r="V98" s="232"/>
    </row>
    <row r="99" spans="2:22">
      <c r="B99" s="115"/>
      <c r="C99" s="150"/>
      <c r="D99" s="111"/>
      <c r="E99" s="146"/>
      <c r="F99" s="147"/>
      <c r="G99" s="148"/>
      <c r="H99" s="149">
        <v>1</v>
      </c>
      <c r="I99" s="151">
        <v>21.8</v>
      </c>
      <c r="J99" s="116">
        <v>0.9</v>
      </c>
      <c r="K99" s="118">
        <f t="shared" si="0"/>
        <v>19.62</v>
      </c>
      <c r="L99" s="119"/>
      <c r="M99" s="120"/>
      <c r="N99" s="121"/>
      <c r="O99" s="121"/>
      <c r="P99" s="122"/>
      <c r="Q99" s="444"/>
      <c r="R99" s="230"/>
      <c r="S99" s="327"/>
      <c r="T99" s="332"/>
      <c r="U99" s="315"/>
      <c r="V99" s="232"/>
    </row>
    <row r="100" spans="2:22">
      <c r="B100" s="115"/>
      <c r="C100" s="152"/>
      <c r="D100" s="123"/>
      <c r="E100" s="112"/>
      <c r="F100" s="113"/>
      <c r="G100" s="114"/>
      <c r="H100" s="115">
        <v>1</v>
      </c>
      <c r="I100" s="116">
        <v>29.25</v>
      </c>
      <c r="J100" s="117">
        <v>0.9</v>
      </c>
      <c r="K100" s="118">
        <f t="shared" si="0"/>
        <v>26.324999999999999</v>
      </c>
      <c r="L100" s="119"/>
      <c r="M100" s="120"/>
      <c r="N100" s="117"/>
      <c r="O100" s="117"/>
      <c r="P100" s="122"/>
      <c r="Q100" s="327"/>
      <c r="R100" s="246"/>
      <c r="S100" s="327"/>
      <c r="T100" s="332"/>
      <c r="U100" s="315"/>
      <c r="V100" s="232"/>
    </row>
    <row r="101" spans="2:22">
      <c r="B101" s="115"/>
      <c r="C101" s="150"/>
      <c r="D101" s="111"/>
      <c r="E101" s="112"/>
      <c r="F101" s="234"/>
      <c r="G101" s="114"/>
      <c r="H101" s="115">
        <v>1</v>
      </c>
      <c r="I101" s="116">
        <v>14.2</v>
      </c>
      <c r="J101" s="117">
        <v>1.115</v>
      </c>
      <c r="K101" s="118">
        <f t="shared" si="0"/>
        <v>15.832999999999998</v>
      </c>
      <c r="L101" s="119"/>
      <c r="M101" s="120"/>
      <c r="N101" s="117"/>
      <c r="O101" s="117"/>
      <c r="P101" s="209"/>
      <c r="Q101" s="327"/>
      <c r="R101" s="230"/>
      <c r="S101" s="327"/>
      <c r="T101" s="332"/>
      <c r="U101" s="315"/>
      <c r="V101" s="232"/>
    </row>
    <row r="102" spans="2:22">
      <c r="B102" s="115"/>
      <c r="C102" s="150"/>
      <c r="D102" s="111"/>
      <c r="E102" s="111"/>
      <c r="F102" s="113"/>
      <c r="G102" s="114"/>
      <c r="H102" s="115">
        <v>1</v>
      </c>
      <c r="I102" s="116">
        <v>27.75</v>
      </c>
      <c r="J102" s="117">
        <v>1.45</v>
      </c>
      <c r="K102" s="118">
        <f t="shared" si="0"/>
        <v>40.237499999999997</v>
      </c>
      <c r="L102" s="119"/>
      <c r="M102" s="120"/>
      <c r="N102" s="121"/>
      <c r="O102" s="121"/>
      <c r="P102" s="122"/>
      <c r="Q102" s="327"/>
      <c r="R102" s="246"/>
      <c r="S102" s="327"/>
      <c r="T102" s="332"/>
      <c r="U102" s="315"/>
      <c r="V102" s="232"/>
    </row>
    <row r="103" spans="2:22">
      <c r="B103" s="115"/>
      <c r="C103" s="150"/>
      <c r="D103" s="111"/>
      <c r="E103" s="111"/>
      <c r="F103" s="113"/>
      <c r="G103" s="114"/>
      <c r="H103" s="115">
        <v>1</v>
      </c>
      <c r="I103" s="116">
        <v>29.96</v>
      </c>
      <c r="J103" s="117">
        <v>1.3</v>
      </c>
      <c r="K103" s="118">
        <f t="shared" si="0"/>
        <v>38.948</v>
      </c>
      <c r="L103" s="119"/>
      <c r="M103" s="120"/>
      <c r="N103" s="121"/>
      <c r="O103" s="121"/>
      <c r="P103" s="122"/>
      <c r="Q103" s="327"/>
      <c r="R103" s="246"/>
      <c r="S103" s="327"/>
      <c r="T103" s="332"/>
      <c r="U103" s="315"/>
      <c r="V103" s="232"/>
    </row>
    <row r="104" spans="2:22">
      <c r="B104" s="115"/>
      <c r="C104" s="150"/>
      <c r="D104" s="482"/>
      <c r="E104" s="112"/>
      <c r="F104" s="113"/>
      <c r="G104" s="114"/>
      <c r="H104" s="115"/>
      <c r="I104" s="116"/>
      <c r="J104" s="117"/>
      <c r="K104" s="118"/>
      <c r="L104" s="119"/>
      <c r="M104" s="120"/>
      <c r="N104" s="121"/>
      <c r="O104" s="121"/>
      <c r="P104" s="122"/>
      <c r="Q104" s="327"/>
      <c r="R104" s="246"/>
      <c r="S104" s="327"/>
      <c r="T104" s="332"/>
      <c r="U104" s="315"/>
      <c r="V104" s="232"/>
    </row>
    <row r="105" spans="2:22">
      <c r="B105" s="115"/>
      <c r="C105" s="152" t="s">
        <v>341</v>
      </c>
      <c r="D105" s="483" t="s">
        <v>391</v>
      </c>
      <c r="E105" s="112" t="s">
        <v>342</v>
      </c>
      <c r="F105" s="113" t="s">
        <v>343</v>
      </c>
      <c r="G105" s="114"/>
      <c r="H105" s="115">
        <v>1</v>
      </c>
      <c r="I105" s="116">
        <v>23.216000000000001</v>
      </c>
      <c r="J105" s="117">
        <v>1.3</v>
      </c>
      <c r="K105" s="118">
        <f t="shared" ref="K105:K122" si="1">H105*I105*J105</f>
        <v>30.180800000000001</v>
      </c>
      <c r="L105" s="119"/>
      <c r="M105" s="120">
        <v>0</v>
      </c>
      <c r="N105" s="121">
        <v>0</v>
      </c>
      <c r="O105" s="121">
        <v>0</v>
      </c>
      <c r="P105" s="122">
        <v>0</v>
      </c>
      <c r="Q105" s="444">
        <f>SUM(K105:K113)</f>
        <v>347.92944999999997</v>
      </c>
      <c r="R105" s="431">
        <v>0.9</v>
      </c>
      <c r="S105" s="327">
        <f>(Q105+Q106)*R105</f>
        <v>313.136505</v>
      </c>
      <c r="T105" s="447">
        <v>313.136505</v>
      </c>
      <c r="U105" s="315">
        <f>S105-T105</f>
        <v>0</v>
      </c>
      <c r="V105" s="232"/>
    </row>
    <row r="106" spans="2:22">
      <c r="B106" s="115"/>
      <c r="C106" s="152" t="s">
        <v>344</v>
      </c>
      <c r="D106" s="483" t="s">
        <v>393</v>
      </c>
      <c r="E106" s="111" t="s">
        <v>345</v>
      </c>
      <c r="F106" s="113" t="s">
        <v>346</v>
      </c>
      <c r="G106" s="114"/>
      <c r="H106" s="115">
        <v>1</v>
      </c>
      <c r="I106" s="116">
        <v>34.253</v>
      </c>
      <c r="J106" s="117">
        <v>2.9</v>
      </c>
      <c r="K106" s="118">
        <f t="shared" si="1"/>
        <v>99.333699999999993</v>
      </c>
      <c r="L106" s="119"/>
      <c r="M106" s="120"/>
      <c r="N106" s="121"/>
      <c r="O106" s="121"/>
      <c r="P106" s="122"/>
      <c r="Q106" s="444"/>
      <c r="R106" s="431"/>
      <c r="S106" s="327"/>
      <c r="T106" s="447"/>
      <c r="U106" s="315"/>
      <c r="V106" s="232"/>
    </row>
    <row r="107" spans="2:22">
      <c r="B107" s="115"/>
      <c r="C107" s="152" t="s">
        <v>347</v>
      </c>
      <c r="D107" s="483" t="s">
        <v>391</v>
      </c>
      <c r="E107" s="111" t="s">
        <v>348</v>
      </c>
      <c r="F107" s="113" t="s">
        <v>343</v>
      </c>
      <c r="G107" s="114"/>
      <c r="H107" s="115">
        <v>1</v>
      </c>
      <c r="I107" s="116">
        <v>32.951000000000001</v>
      </c>
      <c r="J107" s="117">
        <v>1</v>
      </c>
      <c r="K107" s="118">
        <f t="shared" si="1"/>
        <v>32.951000000000001</v>
      </c>
      <c r="L107" s="119"/>
      <c r="M107" s="120"/>
      <c r="N107" s="121"/>
      <c r="O107" s="121"/>
      <c r="P107" s="122"/>
      <c r="Q107" s="444"/>
      <c r="R107" s="431"/>
      <c r="S107" s="327"/>
      <c r="T107" s="447"/>
      <c r="U107" s="315"/>
      <c r="V107" s="232"/>
    </row>
    <row r="108" spans="2:22">
      <c r="B108" s="149"/>
      <c r="C108" s="152" t="s">
        <v>347</v>
      </c>
      <c r="D108" s="483" t="s">
        <v>391</v>
      </c>
      <c r="E108" s="111" t="s">
        <v>349</v>
      </c>
      <c r="F108" s="113" t="s">
        <v>350</v>
      </c>
      <c r="G108" s="148"/>
      <c r="H108" s="149">
        <v>1</v>
      </c>
      <c r="I108" s="151">
        <v>37.411000000000001</v>
      </c>
      <c r="J108" s="117">
        <v>1.35</v>
      </c>
      <c r="K108" s="118">
        <f t="shared" si="1"/>
        <v>50.504850000000005</v>
      </c>
      <c r="M108" s="120"/>
      <c r="N108" s="121"/>
      <c r="O108" s="121"/>
      <c r="P108" s="122"/>
      <c r="Q108" s="444"/>
      <c r="R108" s="431"/>
      <c r="S108" s="327"/>
      <c r="T108" s="447"/>
      <c r="U108" s="315"/>
      <c r="V108" s="232"/>
    </row>
    <row r="109" spans="2:22">
      <c r="B109" s="149"/>
      <c r="C109" s="152" t="s">
        <v>347</v>
      </c>
      <c r="D109" s="483" t="s">
        <v>391</v>
      </c>
      <c r="E109" s="146" t="s">
        <v>351</v>
      </c>
      <c r="F109" s="113" t="s">
        <v>343</v>
      </c>
      <c r="G109" s="148"/>
      <c r="H109" s="149">
        <v>1</v>
      </c>
      <c r="I109" s="151">
        <v>28.010999999999999</v>
      </c>
      <c r="J109" s="117">
        <v>1.4</v>
      </c>
      <c r="K109" s="118">
        <f t="shared" si="1"/>
        <v>39.215399999999995</v>
      </c>
      <c r="L109" s="154"/>
      <c r="M109" s="120"/>
      <c r="N109" s="121"/>
      <c r="O109" s="121"/>
      <c r="P109" s="122"/>
      <c r="Q109" s="444"/>
      <c r="R109" s="431"/>
      <c r="S109" s="327"/>
      <c r="T109" s="447"/>
      <c r="U109" s="315"/>
      <c r="V109" s="232"/>
    </row>
    <row r="110" spans="2:22">
      <c r="B110" s="149"/>
      <c r="C110" s="152" t="s">
        <v>347</v>
      </c>
      <c r="D110" s="483" t="s">
        <v>391</v>
      </c>
      <c r="E110" s="146" t="s">
        <v>352</v>
      </c>
      <c r="F110" s="113" t="s">
        <v>353</v>
      </c>
      <c r="G110" s="148"/>
      <c r="H110" s="149">
        <v>4</v>
      </c>
      <c r="I110" s="151">
        <v>3.8479999999999999</v>
      </c>
      <c r="J110" s="116">
        <v>0.45</v>
      </c>
      <c r="K110" s="118">
        <f t="shared" si="1"/>
        <v>6.9264000000000001</v>
      </c>
      <c r="L110" s="155"/>
      <c r="M110" s="120"/>
      <c r="N110" s="121"/>
      <c r="O110" s="121"/>
      <c r="P110" s="122"/>
      <c r="Q110" s="444"/>
      <c r="R110" s="431"/>
      <c r="S110" s="327"/>
      <c r="T110" s="447"/>
      <c r="U110" s="315"/>
      <c r="V110" s="232"/>
    </row>
    <row r="111" spans="2:22">
      <c r="B111" s="115"/>
      <c r="C111" s="152" t="s">
        <v>347</v>
      </c>
      <c r="D111" s="483" t="s">
        <v>391</v>
      </c>
      <c r="E111" s="146" t="s">
        <v>354</v>
      </c>
      <c r="F111" s="113" t="s">
        <v>343</v>
      </c>
      <c r="G111" s="114"/>
      <c r="H111" s="115">
        <v>1</v>
      </c>
      <c r="I111" s="116">
        <v>3.85</v>
      </c>
      <c r="J111" s="117">
        <v>0.75</v>
      </c>
      <c r="K111" s="118">
        <f t="shared" si="1"/>
        <v>2.8875000000000002</v>
      </c>
      <c r="L111" s="119"/>
      <c r="M111" s="120"/>
      <c r="N111" s="121"/>
      <c r="O111" s="121"/>
      <c r="P111" s="122"/>
      <c r="Q111" s="444"/>
      <c r="R111" s="431"/>
      <c r="S111" s="327"/>
      <c r="T111" s="447"/>
      <c r="U111" s="315"/>
      <c r="V111" s="232"/>
    </row>
    <row r="112" spans="2:22">
      <c r="B112" s="149"/>
      <c r="C112" s="307" t="s">
        <v>355</v>
      </c>
      <c r="D112" s="483" t="s">
        <v>391</v>
      </c>
      <c r="E112" s="146" t="s">
        <v>356</v>
      </c>
      <c r="F112" s="113" t="s">
        <v>343</v>
      </c>
      <c r="G112" s="148"/>
      <c r="H112" s="149">
        <v>1</v>
      </c>
      <c r="I112" s="151">
        <v>33.729999999999997</v>
      </c>
      <c r="J112" s="116">
        <v>1.2</v>
      </c>
      <c r="K112" s="157">
        <f t="shared" si="1"/>
        <v>40.475999999999992</v>
      </c>
      <c r="L112" s="155"/>
      <c r="M112" s="158"/>
      <c r="N112" s="159"/>
      <c r="O112" s="159"/>
      <c r="P112" s="160"/>
      <c r="Q112" s="444"/>
      <c r="R112" s="246"/>
      <c r="S112" s="327"/>
      <c r="T112" s="447"/>
      <c r="U112" s="315"/>
      <c r="V112" s="232"/>
    </row>
    <row r="113" spans="2:22">
      <c r="B113" s="149"/>
      <c r="C113" s="307" t="s">
        <v>355</v>
      </c>
      <c r="D113" s="483" t="s">
        <v>391</v>
      </c>
      <c r="E113" s="146" t="s">
        <v>357</v>
      </c>
      <c r="F113" s="113" t="s">
        <v>343</v>
      </c>
      <c r="G113" s="148"/>
      <c r="H113" s="149">
        <v>1</v>
      </c>
      <c r="I113" s="151">
        <v>32.466999999999999</v>
      </c>
      <c r="J113" s="116">
        <v>1.4</v>
      </c>
      <c r="K113" s="157">
        <f t="shared" si="1"/>
        <v>45.453799999999994</v>
      </c>
      <c r="L113" s="155"/>
      <c r="M113" s="158"/>
      <c r="N113" s="159"/>
      <c r="O113" s="159"/>
      <c r="P113" s="160"/>
      <c r="Q113" s="444"/>
      <c r="R113" s="230"/>
      <c r="S113" s="327"/>
      <c r="T113" s="447"/>
      <c r="U113" s="315"/>
      <c r="V113" s="232"/>
    </row>
    <row r="114" spans="2:22">
      <c r="B114" s="149"/>
      <c r="C114" s="307"/>
      <c r="D114" s="506"/>
      <c r="E114" s="146"/>
      <c r="F114" s="113"/>
      <c r="G114" s="148"/>
      <c r="H114" s="149"/>
      <c r="I114" s="151"/>
      <c r="J114" s="116"/>
      <c r="K114" s="157"/>
      <c r="L114" s="155"/>
      <c r="M114" s="158"/>
      <c r="N114" s="159"/>
      <c r="O114" s="159"/>
      <c r="P114" s="160"/>
      <c r="Q114" s="444"/>
      <c r="R114" s="246"/>
      <c r="S114" s="327"/>
      <c r="T114" s="447"/>
      <c r="U114" s="315"/>
      <c r="V114" s="232"/>
    </row>
    <row r="115" spans="2:22">
      <c r="B115" s="507"/>
      <c r="C115" s="408" t="s">
        <v>491</v>
      </c>
      <c r="D115" s="508"/>
      <c r="E115" s="508" t="s">
        <v>492</v>
      </c>
      <c r="F115" s="509" t="s">
        <v>343</v>
      </c>
      <c r="G115" s="148"/>
      <c r="H115" s="149">
        <v>1</v>
      </c>
      <c r="I115" s="151">
        <v>4.4290000000000003</v>
      </c>
      <c r="J115" s="116">
        <v>5</v>
      </c>
      <c r="K115" s="157">
        <f t="shared" si="1"/>
        <v>22.145000000000003</v>
      </c>
      <c r="L115" s="155"/>
      <c r="M115" s="158">
        <v>0</v>
      </c>
      <c r="N115" s="159">
        <v>0</v>
      </c>
      <c r="O115" s="159">
        <v>0</v>
      </c>
      <c r="P115" s="160">
        <v>0</v>
      </c>
      <c r="Q115" s="444">
        <f>SUM(K115:K123)</f>
        <v>156.7621</v>
      </c>
      <c r="R115" s="246">
        <v>0.85</v>
      </c>
      <c r="S115" s="327">
        <f t="shared" ref="S115" si="2">(Q115+Q116)*R115</f>
        <v>133.24778499999999</v>
      </c>
      <c r="T115" s="447">
        <v>133.24778499999999</v>
      </c>
      <c r="U115" s="315">
        <f t="shared" ref="U115" si="3">S115-T115</f>
        <v>0</v>
      </c>
      <c r="V115" s="232"/>
    </row>
    <row r="116" spans="2:22">
      <c r="B116" s="507"/>
      <c r="C116" s="408"/>
      <c r="D116" s="508"/>
      <c r="E116" s="508" t="s">
        <v>492</v>
      </c>
      <c r="F116" s="509" t="s">
        <v>343</v>
      </c>
      <c r="G116" s="148"/>
      <c r="H116" s="149">
        <v>1</v>
      </c>
      <c r="I116" s="151">
        <v>3.37</v>
      </c>
      <c r="J116" s="116">
        <v>8.5500000000000007</v>
      </c>
      <c r="K116" s="157">
        <f t="shared" si="1"/>
        <v>28.813500000000005</v>
      </c>
      <c r="L116" s="155"/>
      <c r="M116" s="158"/>
      <c r="N116" s="159"/>
      <c r="O116" s="159"/>
      <c r="P116" s="160"/>
      <c r="Q116" s="364"/>
      <c r="R116" s="282"/>
      <c r="S116" s="231"/>
      <c r="T116" s="362"/>
      <c r="U116" s="363"/>
      <c r="V116" s="232"/>
    </row>
    <row r="117" spans="2:22">
      <c r="B117" s="507"/>
      <c r="C117" s="408"/>
      <c r="D117" s="508"/>
      <c r="E117" s="508" t="s">
        <v>492</v>
      </c>
      <c r="F117" s="509" t="s">
        <v>343</v>
      </c>
      <c r="G117" s="148"/>
      <c r="H117" s="149">
        <v>1</v>
      </c>
      <c r="I117" s="151">
        <v>2.0539999999999998</v>
      </c>
      <c r="J117" s="116">
        <v>3.2</v>
      </c>
      <c r="K117" s="157">
        <f t="shared" si="1"/>
        <v>6.5728</v>
      </c>
      <c r="L117" s="155"/>
      <c r="M117" s="158"/>
      <c r="N117" s="159"/>
      <c r="O117" s="159"/>
      <c r="P117" s="160"/>
      <c r="Q117" s="364"/>
      <c r="R117" s="282"/>
      <c r="S117" s="231"/>
      <c r="T117" s="362"/>
      <c r="U117" s="363"/>
      <c r="V117" s="232"/>
    </row>
    <row r="118" spans="2:22">
      <c r="B118" s="507"/>
      <c r="C118" s="408"/>
      <c r="D118" s="508"/>
      <c r="E118" s="508" t="s">
        <v>493</v>
      </c>
      <c r="F118" s="509" t="s">
        <v>343</v>
      </c>
      <c r="G118" s="148"/>
      <c r="H118" s="149">
        <v>1</v>
      </c>
      <c r="I118" s="151">
        <v>4.4660000000000002</v>
      </c>
      <c r="J118" s="116">
        <v>3</v>
      </c>
      <c r="K118" s="157">
        <f t="shared" si="1"/>
        <v>13.398</v>
      </c>
      <c r="L118" s="155"/>
      <c r="M118" s="158"/>
      <c r="N118" s="159"/>
      <c r="O118" s="159"/>
      <c r="P118" s="160"/>
      <c r="Q118" s="364"/>
      <c r="R118" s="282"/>
      <c r="S118" s="231"/>
      <c r="T118" s="362"/>
      <c r="U118" s="363"/>
      <c r="V118" s="232"/>
    </row>
    <row r="119" spans="2:22">
      <c r="B119" s="507"/>
      <c r="C119" s="408"/>
      <c r="D119" s="508"/>
      <c r="E119" s="508" t="s">
        <v>493</v>
      </c>
      <c r="F119" s="510" t="s">
        <v>494</v>
      </c>
      <c r="G119" s="148"/>
      <c r="H119" s="149">
        <v>1</v>
      </c>
      <c r="I119" s="151">
        <v>17.713999999999999</v>
      </c>
      <c r="J119" s="116">
        <v>1.4</v>
      </c>
      <c r="K119" s="157">
        <f t="shared" si="1"/>
        <v>24.799599999999998</v>
      </c>
      <c r="L119" s="155"/>
      <c r="M119" s="158"/>
      <c r="N119" s="159"/>
      <c r="O119" s="159"/>
      <c r="P119" s="160"/>
      <c r="Q119" s="364"/>
      <c r="R119" s="282"/>
      <c r="S119" s="231"/>
      <c r="T119" s="362"/>
      <c r="U119" s="363"/>
      <c r="V119" s="232"/>
    </row>
    <row r="120" spans="2:22">
      <c r="B120" s="507"/>
      <c r="C120" s="408"/>
      <c r="D120" s="508"/>
      <c r="E120" s="508" t="s">
        <v>493</v>
      </c>
      <c r="F120" s="510" t="s">
        <v>495</v>
      </c>
      <c r="G120" s="148"/>
      <c r="H120" s="149">
        <v>1</v>
      </c>
      <c r="I120" s="151">
        <v>7.1520000000000001</v>
      </c>
      <c r="J120" s="116">
        <v>1.1000000000000001</v>
      </c>
      <c r="K120" s="157">
        <f t="shared" si="1"/>
        <v>7.8672000000000004</v>
      </c>
      <c r="L120" s="155"/>
      <c r="M120" s="158"/>
      <c r="N120" s="159"/>
      <c r="O120" s="159"/>
      <c r="P120" s="160"/>
      <c r="Q120" s="364"/>
      <c r="R120" s="282"/>
      <c r="S120" s="231"/>
      <c r="T120" s="362"/>
      <c r="U120" s="363"/>
      <c r="V120" s="232"/>
    </row>
    <row r="121" spans="2:22">
      <c r="B121" s="507"/>
      <c r="C121" s="408"/>
      <c r="D121" s="508"/>
      <c r="E121" s="508" t="s">
        <v>496</v>
      </c>
      <c r="F121" s="510" t="s">
        <v>497</v>
      </c>
      <c r="G121" s="148"/>
      <c r="H121" s="149">
        <v>1</v>
      </c>
      <c r="I121" s="151">
        <v>22.44</v>
      </c>
      <c r="J121" s="116">
        <v>1.3</v>
      </c>
      <c r="K121" s="157">
        <f t="shared" si="1"/>
        <v>29.172000000000004</v>
      </c>
      <c r="L121" s="155"/>
      <c r="M121" s="158"/>
      <c r="N121" s="159"/>
      <c r="O121" s="159"/>
      <c r="P121" s="160"/>
      <c r="Q121" s="364"/>
      <c r="R121" s="282"/>
      <c r="S121" s="231"/>
      <c r="T121" s="362"/>
      <c r="U121" s="363"/>
      <c r="V121" s="232"/>
    </row>
    <row r="122" spans="2:22">
      <c r="B122" s="507"/>
      <c r="C122" s="408"/>
      <c r="D122" s="508"/>
      <c r="E122" s="508" t="s">
        <v>496</v>
      </c>
      <c r="F122" s="510" t="s">
        <v>498</v>
      </c>
      <c r="G122" s="148"/>
      <c r="H122" s="149">
        <v>1</v>
      </c>
      <c r="I122" s="151">
        <v>13.33</v>
      </c>
      <c r="J122" s="116">
        <v>1.8</v>
      </c>
      <c r="K122" s="157">
        <f t="shared" si="1"/>
        <v>23.994</v>
      </c>
      <c r="L122" s="155"/>
      <c r="M122" s="158"/>
      <c r="N122" s="159"/>
      <c r="O122" s="159"/>
      <c r="P122" s="160"/>
      <c r="Q122" s="364"/>
      <c r="R122" s="282"/>
      <c r="S122" s="231"/>
      <c r="T122" s="362"/>
      <c r="U122" s="363"/>
      <c r="V122" s="232"/>
    </row>
    <row r="123" spans="2:22">
      <c r="B123" s="149"/>
      <c r="C123" s="307"/>
      <c r="D123" s="484"/>
      <c r="E123" s="146"/>
      <c r="F123" s="147"/>
      <c r="G123" s="148"/>
      <c r="H123" s="149"/>
      <c r="I123" s="151"/>
      <c r="J123" s="116"/>
      <c r="K123" s="157"/>
      <c r="L123" s="155"/>
      <c r="M123" s="158"/>
      <c r="N123" s="159"/>
      <c r="O123" s="159"/>
      <c r="P123" s="160"/>
      <c r="Q123" s="444"/>
      <c r="R123" s="230"/>
      <c r="S123" s="327"/>
      <c r="T123" s="447"/>
      <c r="U123" s="315"/>
      <c r="V123" s="232"/>
    </row>
    <row r="124" spans="2:22">
      <c r="B124" s="507"/>
      <c r="C124" s="153" t="s">
        <v>615</v>
      </c>
      <c r="D124" s="146"/>
      <c r="E124" s="146" t="s">
        <v>616</v>
      </c>
      <c r="F124" s="113" t="s">
        <v>343</v>
      </c>
      <c r="G124" s="148"/>
      <c r="H124" s="149">
        <v>2</v>
      </c>
      <c r="I124" s="151">
        <v>50.121000000000002</v>
      </c>
      <c r="J124" s="116">
        <v>1.35</v>
      </c>
      <c r="K124" s="157">
        <f t="shared" ref="K124:K127" si="4">H124*I124*J124</f>
        <v>135.32670000000002</v>
      </c>
      <c r="L124" s="155"/>
      <c r="M124" s="158">
        <v>0</v>
      </c>
      <c r="N124" s="159">
        <v>0</v>
      </c>
      <c r="O124" s="159">
        <v>0</v>
      </c>
      <c r="P124" s="160">
        <v>0</v>
      </c>
      <c r="Q124" s="444">
        <f>SUM(K124:K127)</f>
        <v>298.37509999999997</v>
      </c>
      <c r="R124" s="541">
        <v>0.85</v>
      </c>
      <c r="S124" s="327">
        <f>(Q124+Q125)*R124</f>
        <v>253.61883499999996</v>
      </c>
      <c r="T124" s="447">
        <v>0</v>
      </c>
      <c r="U124" s="315">
        <f>S124-T124</f>
        <v>253.61883499999996</v>
      </c>
      <c r="V124" s="232"/>
    </row>
    <row r="125" spans="2:22">
      <c r="B125" s="149"/>
      <c r="C125" s="153" t="s">
        <v>617</v>
      </c>
      <c r="D125" s="146"/>
      <c r="E125" s="146" t="s">
        <v>618</v>
      </c>
      <c r="F125" s="113" t="s">
        <v>343</v>
      </c>
      <c r="G125" s="148"/>
      <c r="H125" s="149">
        <v>1</v>
      </c>
      <c r="I125" s="151">
        <v>24.463999999999999</v>
      </c>
      <c r="J125" s="116">
        <v>1.35</v>
      </c>
      <c r="K125" s="157">
        <f t="shared" si="4"/>
        <v>33.026400000000002</v>
      </c>
      <c r="L125" s="155"/>
      <c r="M125" s="158">
        <v>0</v>
      </c>
      <c r="N125" s="159">
        <v>0</v>
      </c>
      <c r="O125" s="159">
        <v>0</v>
      </c>
      <c r="P125" s="160">
        <v>0</v>
      </c>
      <c r="Q125" s="364"/>
      <c r="R125" s="505"/>
      <c r="S125" s="231"/>
      <c r="T125" s="362"/>
      <c r="U125" s="363"/>
      <c r="V125" s="232"/>
    </row>
    <row r="126" spans="2:22">
      <c r="B126" s="149"/>
      <c r="C126" s="153" t="s">
        <v>619</v>
      </c>
      <c r="D126" s="146"/>
      <c r="E126" s="146" t="s">
        <v>620</v>
      </c>
      <c r="F126" s="113" t="s">
        <v>343</v>
      </c>
      <c r="G126" s="148"/>
      <c r="H126" s="149">
        <v>1</v>
      </c>
      <c r="I126" s="151">
        <v>31.516999999999999</v>
      </c>
      <c r="J126" s="116">
        <v>1.35</v>
      </c>
      <c r="K126" s="157">
        <f t="shared" si="4"/>
        <v>42.54795</v>
      </c>
      <c r="L126" s="155"/>
      <c r="M126" s="158">
        <v>0</v>
      </c>
      <c r="N126" s="159">
        <v>0</v>
      </c>
      <c r="O126" s="159">
        <v>0</v>
      </c>
      <c r="P126" s="160">
        <v>0</v>
      </c>
      <c r="Q126" s="364"/>
      <c r="R126" s="505"/>
      <c r="S126" s="231"/>
      <c r="T126" s="362"/>
      <c r="U126" s="363"/>
      <c r="V126" s="232"/>
    </row>
    <row r="127" spans="2:22">
      <c r="B127" s="149"/>
      <c r="C127" s="153" t="s">
        <v>621</v>
      </c>
      <c r="D127" s="146"/>
      <c r="E127" s="146" t="s">
        <v>622</v>
      </c>
      <c r="F127" s="147" t="s">
        <v>343</v>
      </c>
      <c r="G127" s="148"/>
      <c r="H127" s="149">
        <v>1</v>
      </c>
      <c r="I127" s="151">
        <v>37.222999999999999</v>
      </c>
      <c r="J127" s="116">
        <v>2.35</v>
      </c>
      <c r="K127" s="157">
        <f t="shared" si="4"/>
        <v>87.474050000000005</v>
      </c>
      <c r="L127" s="155"/>
      <c r="M127" s="158">
        <v>0</v>
      </c>
      <c r="N127" s="159">
        <v>0</v>
      </c>
      <c r="O127" s="159">
        <v>0</v>
      </c>
      <c r="P127" s="160">
        <v>0</v>
      </c>
      <c r="Q127" s="364"/>
      <c r="R127" s="505"/>
      <c r="S127" s="231"/>
      <c r="T127" s="362"/>
      <c r="U127" s="363"/>
      <c r="V127" s="232"/>
    </row>
    <row r="128" spans="2:22">
      <c r="B128" s="149"/>
      <c r="C128" s="153"/>
      <c r="D128" s="146"/>
      <c r="E128" s="146"/>
      <c r="F128" s="147"/>
      <c r="G128" s="148"/>
      <c r="H128" s="149"/>
      <c r="I128" s="151"/>
      <c r="J128" s="116"/>
      <c r="K128" s="157"/>
      <c r="L128" s="155"/>
      <c r="M128" s="158"/>
      <c r="N128" s="159"/>
      <c r="O128" s="159"/>
      <c r="P128" s="160"/>
      <c r="Q128" s="364"/>
      <c r="R128" s="505"/>
      <c r="S128" s="231"/>
      <c r="T128" s="362"/>
      <c r="U128" s="363"/>
      <c r="V128" s="232"/>
    </row>
    <row r="129" spans="2:22" ht="29">
      <c r="B129" s="149">
        <v>2</v>
      </c>
      <c r="C129" s="407" t="s">
        <v>367</v>
      </c>
      <c r="D129" s="484"/>
      <c r="E129" s="146"/>
      <c r="F129" s="147"/>
      <c r="G129" s="148"/>
      <c r="H129" s="149"/>
      <c r="I129" s="151"/>
      <c r="J129" s="116"/>
      <c r="K129" s="157"/>
      <c r="L129" s="155"/>
      <c r="M129" s="158"/>
      <c r="N129" s="159"/>
      <c r="O129" s="159"/>
      <c r="P129" s="160"/>
      <c r="Q129" s="444"/>
      <c r="R129" s="230"/>
      <c r="S129" s="327"/>
      <c r="T129" s="447"/>
      <c r="U129" s="315"/>
      <c r="V129" s="232"/>
    </row>
    <row r="130" spans="2:22">
      <c r="B130" s="149" t="s">
        <v>254</v>
      </c>
      <c r="C130" s="408" t="s">
        <v>358</v>
      </c>
      <c r="D130" s="484"/>
      <c r="E130" s="146" t="s">
        <v>359</v>
      </c>
      <c r="F130" s="147" t="s">
        <v>343</v>
      </c>
      <c r="G130" s="148"/>
      <c r="H130" s="149">
        <v>1</v>
      </c>
      <c r="I130" s="151">
        <v>8.6050000000000004</v>
      </c>
      <c r="J130" s="116">
        <v>1.35</v>
      </c>
      <c r="K130" s="157">
        <f>H130*I130*J130</f>
        <v>11.616750000000001</v>
      </c>
      <c r="L130" s="155"/>
      <c r="M130" s="158">
        <v>0</v>
      </c>
      <c r="N130" s="159">
        <v>0</v>
      </c>
      <c r="O130" s="159">
        <v>0</v>
      </c>
      <c r="P130" s="160">
        <v>0</v>
      </c>
      <c r="Q130" s="444">
        <f>SUM(K130:K132)</f>
        <v>101.58885000000001</v>
      </c>
      <c r="R130" s="246">
        <v>0.85</v>
      </c>
      <c r="S130" s="327">
        <f>(Q130+Q131)*R130</f>
        <v>86.350522500000011</v>
      </c>
      <c r="T130" s="447">
        <v>86.350522500000011</v>
      </c>
      <c r="U130" s="315">
        <f>S130-T130</f>
        <v>0</v>
      </c>
      <c r="V130" s="232"/>
    </row>
    <row r="131" spans="2:22">
      <c r="B131" s="149" t="s">
        <v>360</v>
      </c>
      <c r="C131" s="408" t="s">
        <v>358</v>
      </c>
      <c r="D131" s="484"/>
      <c r="E131" s="146" t="s">
        <v>359</v>
      </c>
      <c r="F131" s="147" t="s">
        <v>343</v>
      </c>
      <c r="G131" s="148"/>
      <c r="H131" s="149">
        <v>1</v>
      </c>
      <c r="I131" s="151">
        <v>13.84</v>
      </c>
      <c r="J131" s="116">
        <v>1.35</v>
      </c>
      <c r="K131" s="157">
        <f>H131*I131*J131</f>
        <v>18.684000000000001</v>
      </c>
      <c r="L131" s="155"/>
      <c r="M131" s="158"/>
      <c r="N131" s="159"/>
      <c r="O131" s="159"/>
      <c r="P131" s="160"/>
      <c r="Q131" s="444"/>
      <c r="R131" s="230"/>
      <c r="S131" s="327"/>
      <c r="T131" s="447"/>
      <c r="U131" s="315"/>
      <c r="V131" s="232"/>
    </row>
    <row r="132" spans="2:22">
      <c r="B132" s="149" t="s">
        <v>361</v>
      </c>
      <c r="C132" s="408" t="s">
        <v>362</v>
      </c>
      <c r="D132" s="484"/>
      <c r="E132" s="146" t="s">
        <v>363</v>
      </c>
      <c r="F132" s="147" t="s">
        <v>343</v>
      </c>
      <c r="G132" s="148"/>
      <c r="H132" s="149">
        <v>1</v>
      </c>
      <c r="I132" s="151">
        <v>52.805999999999997</v>
      </c>
      <c r="J132" s="116">
        <v>1.35</v>
      </c>
      <c r="K132" s="157">
        <f>H132*I132*J132</f>
        <v>71.2881</v>
      </c>
      <c r="L132" s="155"/>
      <c r="M132" s="158"/>
      <c r="N132" s="159"/>
      <c r="O132" s="159"/>
      <c r="P132" s="160"/>
      <c r="Q132" s="444"/>
      <c r="R132" s="230"/>
      <c r="S132" s="327"/>
      <c r="T132" s="447"/>
      <c r="U132" s="315"/>
      <c r="V132" s="232"/>
    </row>
    <row r="133" spans="2:22">
      <c r="B133" s="149"/>
      <c r="C133" s="408"/>
      <c r="D133" s="484"/>
      <c r="E133" s="146"/>
      <c r="F133" s="147"/>
      <c r="G133" s="148"/>
      <c r="H133" s="149"/>
      <c r="I133" s="151"/>
      <c r="J133" s="116"/>
      <c r="K133" s="157"/>
      <c r="L133" s="155"/>
      <c r="M133" s="158"/>
      <c r="N133" s="159"/>
      <c r="O133" s="159"/>
      <c r="P133" s="160"/>
      <c r="Q133" s="444"/>
      <c r="R133" s="230"/>
      <c r="S133" s="327"/>
      <c r="T133" s="447"/>
      <c r="U133" s="315"/>
      <c r="V133" s="232"/>
    </row>
    <row r="134" spans="2:22">
      <c r="B134" s="507" t="s">
        <v>499</v>
      </c>
      <c r="C134" s="153" t="s">
        <v>500</v>
      </c>
      <c r="D134" s="146"/>
      <c r="E134" s="146" t="s">
        <v>501</v>
      </c>
      <c r="F134" s="147"/>
      <c r="G134" s="148"/>
      <c r="H134" s="149">
        <v>1</v>
      </c>
      <c r="I134" s="151">
        <v>130.20599999999999</v>
      </c>
      <c r="J134" s="116">
        <v>1.35</v>
      </c>
      <c r="K134" s="157">
        <f t="shared" ref="K134" si="5">H134*I134*J134</f>
        <v>175.77809999999999</v>
      </c>
      <c r="L134" s="155"/>
      <c r="M134" s="158">
        <v>0</v>
      </c>
      <c r="N134" s="159">
        <v>0</v>
      </c>
      <c r="O134" s="159">
        <v>0</v>
      </c>
      <c r="P134" s="160">
        <v>0</v>
      </c>
      <c r="Q134" s="444">
        <f>SUM(K134)</f>
        <v>175.77809999999999</v>
      </c>
      <c r="R134" s="246">
        <v>0.85</v>
      </c>
      <c r="S134" s="327">
        <f>(Q134)*R134</f>
        <v>149.411385</v>
      </c>
      <c r="T134" s="447">
        <v>149.411385</v>
      </c>
      <c r="U134" s="315">
        <f>S134-T134</f>
        <v>0</v>
      </c>
      <c r="V134" s="232"/>
    </row>
    <row r="135" spans="2:22">
      <c r="B135" s="149"/>
      <c r="C135" s="307"/>
      <c r="D135" s="484"/>
      <c r="E135" s="146"/>
      <c r="F135" s="147"/>
      <c r="G135" s="148"/>
      <c r="H135" s="149"/>
      <c r="I135" s="151"/>
      <c r="J135" s="116"/>
      <c r="K135" s="157"/>
      <c r="L135" s="155"/>
      <c r="M135" s="158"/>
      <c r="N135" s="159"/>
      <c r="O135" s="159"/>
      <c r="P135" s="160"/>
      <c r="Q135" s="444"/>
      <c r="R135" s="230"/>
      <c r="S135" s="327"/>
      <c r="T135" s="447"/>
      <c r="U135" s="315"/>
      <c r="V135" s="232"/>
    </row>
    <row r="136" spans="2:22" ht="29">
      <c r="B136" s="149">
        <v>3</v>
      </c>
      <c r="C136" s="265" t="s">
        <v>368</v>
      </c>
      <c r="D136" s="484"/>
      <c r="E136" s="146"/>
      <c r="F136" s="147"/>
      <c r="G136" s="148"/>
      <c r="H136" s="149"/>
      <c r="I136" s="151"/>
      <c r="J136" s="116"/>
      <c r="K136" s="157"/>
      <c r="L136" s="155"/>
      <c r="M136" s="158"/>
      <c r="N136" s="159"/>
      <c r="O136" s="159"/>
      <c r="P136" s="160"/>
      <c r="Q136" s="444"/>
      <c r="R136" s="230"/>
      <c r="S136" s="327"/>
      <c r="T136" s="447"/>
      <c r="U136" s="315"/>
      <c r="V136" s="232"/>
    </row>
    <row r="137" spans="2:22">
      <c r="B137" s="149" t="s">
        <v>254</v>
      </c>
      <c r="C137" s="307" t="s">
        <v>364</v>
      </c>
      <c r="D137" s="518" t="s">
        <v>392</v>
      </c>
      <c r="E137" s="146" t="s">
        <v>365</v>
      </c>
      <c r="F137" s="147"/>
      <c r="G137" s="148"/>
      <c r="H137" s="149">
        <v>1</v>
      </c>
      <c r="I137" s="151">
        <v>85.382000000000005</v>
      </c>
      <c r="J137" s="116">
        <v>0.8</v>
      </c>
      <c r="K137" s="157">
        <f>H137*I137*J137</f>
        <v>68.305600000000013</v>
      </c>
      <c r="L137" s="155"/>
      <c r="M137" s="158"/>
      <c r="N137" s="159"/>
      <c r="O137" s="159"/>
      <c r="P137" s="160"/>
      <c r="Q137" s="444">
        <f>SUM(K137:K139)</f>
        <v>683.90560000000005</v>
      </c>
      <c r="R137" s="246">
        <v>0.85</v>
      </c>
      <c r="S137" s="327">
        <f>(Q137+Q138)*R137</f>
        <v>581.31975999999997</v>
      </c>
      <c r="T137" s="447">
        <v>581.31975999999997</v>
      </c>
      <c r="U137" s="315">
        <f>S137-T137</f>
        <v>0</v>
      </c>
      <c r="V137" s="232"/>
    </row>
    <row r="138" spans="2:22">
      <c r="B138" s="149" t="s">
        <v>360</v>
      </c>
      <c r="C138" s="307" t="s">
        <v>364</v>
      </c>
      <c r="D138" s="518" t="s">
        <v>392</v>
      </c>
      <c r="E138" s="146" t="s">
        <v>366</v>
      </c>
      <c r="F138" s="147"/>
      <c r="G138" s="148"/>
      <c r="H138" s="149">
        <v>1</v>
      </c>
      <c r="I138" s="151">
        <v>684</v>
      </c>
      <c r="J138" s="116">
        <v>0.9</v>
      </c>
      <c r="K138" s="157">
        <f>H138*I138*J138</f>
        <v>615.6</v>
      </c>
      <c r="L138" s="155"/>
      <c r="M138" s="158"/>
      <c r="N138" s="159"/>
      <c r="O138" s="159"/>
      <c r="P138" s="160"/>
      <c r="Q138" s="444"/>
      <c r="R138" s="230"/>
      <c r="S138" s="327"/>
      <c r="T138" s="447"/>
      <c r="U138" s="315"/>
      <c r="V138" s="232"/>
    </row>
    <row r="139" spans="2:22">
      <c r="B139" s="115"/>
      <c r="C139" s="150"/>
      <c r="D139" s="482"/>
      <c r="E139" s="111"/>
      <c r="F139" s="113"/>
      <c r="G139" s="114"/>
      <c r="H139" s="115"/>
      <c r="I139" s="116"/>
      <c r="J139" s="117"/>
      <c r="K139" s="118"/>
      <c r="L139" s="119"/>
      <c r="M139" s="120"/>
      <c r="N139" s="121"/>
      <c r="O139" s="121"/>
      <c r="P139" s="122"/>
      <c r="Q139" s="327"/>
      <c r="R139" s="246"/>
      <c r="S139" s="327"/>
      <c r="T139" s="332"/>
      <c r="U139" s="315"/>
      <c r="V139" s="232"/>
    </row>
    <row r="140" spans="2:22">
      <c r="B140" s="149" t="s">
        <v>361</v>
      </c>
      <c r="C140" s="153" t="s">
        <v>502</v>
      </c>
      <c r="D140" s="146"/>
      <c r="E140" s="146"/>
      <c r="F140" s="147"/>
      <c r="G140" s="148"/>
      <c r="H140" s="149">
        <v>1</v>
      </c>
      <c r="I140" s="151">
        <v>26.928000000000001</v>
      </c>
      <c r="J140" s="116">
        <v>1.35</v>
      </c>
      <c r="K140" s="157">
        <f t="shared" ref="K140:K148" si="6">H140*I140*J140</f>
        <v>36.352800000000002</v>
      </c>
      <c r="L140" s="155"/>
      <c r="M140" s="158"/>
      <c r="N140" s="159"/>
      <c r="O140" s="159"/>
      <c r="P140" s="160"/>
      <c r="Q140" s="444">
        <f>SUM(K140:K148)</f>
        <v>259.98714999999999</v>
      </c>
      <c r="R140" s="246">
        <v>0.85</v>
      </c>
      <c r="S140" s="327">
        <f t="shared" ref="S140" si="7">(Q140+Q141)*R140</f>
        <v>220.98907749999998</v>
      </c>
      <c r="T140" s="447">
        <v>220.98907749999998</v>
      </c>
      <c r="U140" s="315">
        <f t="shared" ref="U140" si="8">S140-T140</f>
        <v>0</v>
      </c>
      <c r="V140" s="232"/>
    </row>
    <row r="141" spans="2:22">
      <c r="B141" s="149"/>
      <c r="C141" s="153"/>
      <c r="D141" s="146"/>
      <c r="E141" s="146"/>
      <c r="F141" s="147"/>
      <c r="G141" s="148"/>
      <c r="H141" s="149">
        <v>1</v>
      </c>
      <c r="I141" s="151">
        <v>25.42</v>
      </c>
      <c r="J141" s="116">
        <v>1.35</v>
      </c>
      <c r="K141" s="157">
        <f t="shared" si="6"/>
        <v>34.317000000000007</v>
      </c>
      <c r="L141" s="155"/>
      <c r="M141" s="158"/>
      <c r="N141" s="159"/>
      <c r="O141" s="159"/>
      <c r="P141" s="160"/>
      <c r="Q141" s="366"/>
      <c r="R141" s="282"/>
      <c r="S141" s="231"/>
      <c r="T141" s="362"/>
      <c r="U141" s="363"/>
      <c r="V141" s="232"/>
    </row>
    <row r="142" spans="2:22">
      <c r="B142" s="149"/>
      <c r="C142" s="153"/>
      <c r="D142" s="146"/>
      <c r="E142" s="146"/>
      <c r="F142" s="147"/>
      <c r="G142" s="148"/>
      <c r="H142" s="149">
        <v>1</v>
      </c>
      <c r="I142" s="151">
        <v>7.8879999999999999</v>
      </c>
      <c r="J142" s="116">
        <v>1.35</v>
      </c>
      <c r="K142" s="157">
        <f t="shared" si="6"/>
        <v>10.648800000000001</v>
      </c>
      <c r="L142" s="155"/>
      <c r="M142" s="158"/>
      <c r="N142" s="159"/>
      <c r="O142" s="159"/>
      <c r="P142" s="160"/>
      <c r="Q142" s="366"/>
      <c r="R142" s="282"/>
      <c r="S142" s="231"/>
      <c r="T142" s="362"/>
      <c r="U142" s="363"/>
      <c r="V142" s="232"/>
    </row>
    <row r="143" spans="2:22">
      <c r="B143" s="149" t="s">
        <v>499</v>
      </c>
      <c r="C143" s="153" t="s">
        <v>503</v>
      </c>
      <c r="D143" s="146"/>
      <c r="E143" s="146"/>
      <c r="F143" s="147"/>
      <c r="G143" s="148"/>
      <c r="H143" s="149">
        <v>1</v>
      </c>
      <c r="I143" s="151">
        <v>16.98</v>
      </c>
      <c r="J143" s="116">
        <v>1.35</v>
      </c>
      <c r="K143" s="157">
        <f t="shared" si="6"/>
        <v>22.923000000000002</v>
      </c>
      <c r="L143" s="155"/>
      <c r="M143" s="158"/>
      <c r="N143" s="159"/>
      <c r="O143" s="159"/>
      <c r="P143" s="160"/>
      <c r="Q143" s="366"/>
      <c r="R143" s="505"/>
      <c r="S143" s="231"/>
      <c r="T143" s="362"/>
      <c r="U143" s="363"/>
      <c r="V143" s="232"/>
    </row>
    <row r="144" spans="2:22">
      <c r="B144" s="149"/>
      <c r="C144" s="153"/>
      <c r="D144" s="146"/>
      <c r="E144" s="146"/>
      <c r="F144" s="147"/>
      <c r="G144" s="148"/>
      <c r="H144" s="149">
        <v>1</v>
      </c>
      <c r="I144" s="151">
        <v>41.500999999999998</v>
      </c>
      <c r="J144" s="116">
        <v>1.35</v>
      </c>
      <c r="K144" s="157">
        <f t="shared" si="6"/>
        <v>56.026350000000001</v>
      </c>
      <c r="L144" s="155"/>
      <c r="M144" s="158"/>
      <c r="N144" s="159"/>
      <c r="O144" s="159"/>
      <c r="P144" s="160"/>
      <c r="Q144" s="366"/>
      <c r="R144" s="505"/>
      <c r="S144" s="231"/>
      <c r="T144" s="362"/>
      <c r="U144" s="363"/>
      <c r="V144" s="232"/>
    </row>
    <row r="145" spans="2:22">
      <c r="B145" s="149"/>
      <c r="C145" s="153"/>
      <c r="D145" s="146"/>
      <c r="E145" s="146"/>
      <c r="F145" s="147"/>
      <c r="G145" s="148"/>
      <c r="H145" s="149">
        <v>1</v>
      </c>
      <c r="I145" s="151">
        <v>1.79</v>
      </c>
      <c r="J145" s="116">
        <v>0.35</v>
      </c>
      <c r="K145" s="157">
        <f t="shared" si="6"/>
        <v>0.62649999999999995</v>
      </c>
      <c r="L145" s="155"/>
      <c r="M145" s="158"/>
      <c r="N145" s="159"/>
      <c r="O145" s="159"/>
      <c r="P145" s="160"/>
      <c r="Q145" s="366"/>
      <c r="R145" s="505"/>
      <c r="S145" s="231"/>
      <c r="T145" s="362"/>
      <c r="U145" s="363"/>
      <c r="V145" s="232"/>
    </row>
    <row r="146" spans="2:22">
      <c r="B146" s="149"/>
      <c r="C146" s="153"/>
      <c r="D146" s="146"/>
      <c r="E146" s="146"/>
      <c r="F146" s="147"/>
      <c r="G146" s="148"/>
      <c r="H146" s="149">
        <v>1</v>
      </c>
      <c r="I146" s="151">
        <v>41.113999999999997</v>
      </c>
      <c r="J146" s="116">
        <v>1.35</v>
      </c>
      <c r="K146" s="157">
        <f t="shared" si="6"/>
        <v>55.503900000000002</v>
      </c>
      <c r="L146" s="155"/>
      <c r="M146" s="158"/>
      <c r="N146" s="159"/>
      <c r="O146" s="159"/>
      <c r="P146" s="160"/>
      <c r="Q146" s="366"/>
      <c r="R146" s="505"/>
      <c r="S146" s="231"/>
      <c r="T146" s="362"/>
      <c r="U146" s="363"/>
      <c r="V146" s="232"/>
    </row>
    <row r="147" spans="2:22">
      <c r="B147" s="149" t="s">
        <v>504</v>
      </c>
      <c r="C147" s="153" t="s">
        <v>505</v>
      </c>
      <c r="D147" s="146"/>
      <c r="E147" s="146"/>
      <c r="F147" s="147"/>
      <c r="G147" s="148"/>
      <c r="H147" s="149">
        <v>1</v>
      </c>
      <c r="I147" s="151">
        <v>12.602</v>
      </c>
      <c r="J147" s="116">
        <v>1.35</v>
      </c>
      <c r="K147" s="157">
        <f t="shared" si="6"/>
        <v>17.012700000000002</v>
      </c>
      <c r="L147" s="155"/>
      <c r="M147" s="158"/>
      <c r="N147" s="159"/>
      <c r="O147" s="159"/>
      <c r="P147" s="160"/>
      <c r="Q147" s="366"/>
      <c r="R147" s="505"/>
      <c r="S147" s="231"/>
      <c r="T147" s="362"/>
      <c r="U147" s="363"/>
      <c r="V147" s="232"/>
    </row>
    <row r="148" spans="2:22">
      <c r="B148" s="149"/>
      <c r="C148" s="153" t="s">
        <v>491</v>
      </c>
      <c r="D148" s="146"/>
      <c r="E148" s="146" t="s">
        <v>506</v>
      </c>
      <c r="F148" s="147"/>
      <c r="G148" s="148"/>
      <c r="H148" s="149">
        <v>1</v>
      </c>
      <c r="I148" s="151">
        <v>19.686</v>
      </c>
      <c r="J148" s="116">
        <v>1.35</v>
      </c>
      <c r="K148" s="157">
        <f t="shared" si="6"/>
        <v>26.5761</v>
      </c>
      <c r="L148" s="155"/>
      <c r="M148" s="158"/>
      <c r="N148" s="159"/>
      <c r="O148" s="159"/>
      <c r="P148" s="160"/>
      <c r="Q148" s="366"/>
      <c r="R148" s="505"/>
      <c r="S148" s="231"/>
      <c r="T148" s="362"/>
      <c r="U148" s="363"/>
      <c r="V148" s="232"/>
    </row>
    <row r="149" spans="2:22">
      <c r="B149" s="115"/>
      <c r="C149" s="150"/>
      <c r="D149" s="146"/>
      <c r="E149" s="111"/>
      <c r="F149" s="113"/>
      <c r="G149" s="114"/>
      <c r="H149" s="115"/>
      <c r="I149" s="116"/>
      <c r="J149" s="117"/>
      <c r="K149" s="118"/>
      <c r="L149" s="119"/>
      <c r="M149" s="120"/>
      <c r="N149" s="121"/>
      <c r="O149" s="121"/>
      <c r="P149" s="122"/>
      <c r="Q149" s="327"/>
      <c r="R149" s="246"/>
      <c r="S149" s="327"/>
      <c r="T149" s="332"/>
      <c r="U149" s="315"/>
      <c r="V149" s="232"/>
    </row>
    <row r="150" spans="2:22">
      <c r="B150" s="149"/>
      <c r="C150" s="153"/>
      <c r="D150" s="146"/>
      <c r="E150" s="146"/>
      <c r="F150" s="113"/>
      <c r="G150" s="148"/>
      <c r="H150" s="149"/>
      <c r="I150" s="151"/>
      <c r="J150" s="117"/>
      <c r="K150" s="118"/>
      <c r="L150" s="154"/>
      <c r="M150" s="120"/>
      <c r="N150" s="121"/>
      <c r="O150" s="121"/>
      <c r="P150" s="122"/>
      <c r="Q150" s="327"/>
      <c r="R150" s="246"/>
      <c r="S150" s="327"/>
      <c r="T150" s="332"/>
      <c r="U150" s="315"/>
      <c r="V150" s="232"/>
    </row>
    <row r="151" spans="2:22">
      <c r="B151" s="149"/>
      <c r="C151" s="150"/>
      <c r="D151" s="146"/>
      <c r="E151" s="146"/>
      <c r="F151" s="147"/>
      <c r="G151" s="148"/>
      <c r="H151" s="149"/>
      <c r="I151" s="151"/>
      <c r="J151" s="116"/>
      <c r="K151" s="118"/>
      <c r="L151" s="155"/>
      <c r="M151" s="120"/>
      <c r="N151" s="121"/>
      <c r="O151" s="121"/>
      <c r="P151" s="122"/>
      <c r="Q151" s="327"/>
      <c r="R151" s="246"/>
      <c r="S151" s="327"/>
      <c r="T151" s="332"/>
      <c r="U151" s="315"/>
      <c r="V151" s="232"/>
    </row>
    <row r="152" spans="2:22">
      <c r="B152" s="115"/>
      <c r="C152" s="150"/>
      <c r="D152" s="111"/>
      <c r="E152" s="112"/>
      <c r="F152" s="113"/>
      <c r="G152" s="114"/>
      <c r="H152" s="115"/>
      <c r="I152" s="116"/>
      <c r="J152" s="117"/>
      <c r="K152" s="118"/>
      <c r="L152" s="119"/>
      <c r="M152" s="120"/>
      <c r="N152" s="121"/>
      <c r="O152" s="121"/>
      <c r="P152" s="122"/>
      <c r="Q152" s="327"/>
      <c r="R152" s="246"/>
      <c r="S152" s="327"/>
      <c r="T152" s="332"/>
      <c r="U152" s="315"/>
      <c r="V152" s="232"/>
    </row>
    <row r="153" spans="2:22">
      <c r="B153" s="149"/>
      <c r="C153" s="153"/>
      <c r="D153" s="111"/>
      <c r="E153" s="156"/>
      <c r="F153" s="113"/>
      <c r="G153" s="148"/>
      <c r="H153" s="149"/>
      <c r="I153" s="151"/>
      <c r="J153" s="116"/>
      <c r="K153" s="157"/>
      <c r="L153" s="155"/>
      <c r="M153" s="158"/>
      <c r="N153" s="159"/>
      <c r="O153" s="159"/>
      <c r="P153" s="160"/>
      <c r="Q153" s="327"/>
      <c r="R153" s="233"/>
      <c r="S153" s="327"/>
      <c r="T153" s="332"/>
      <c r="U153" s="315"/>
      <c r="V153" s="232"/>
    </row>
    <row r="154" spans="2:22">
      <c r="B154" s="149"/>
      <c r="C154" s="150"/>
      <c r="D154" s="146"/>
      <c r="E154" s="156"/>
      <c r="F154" s="147"/>
      <c r="G154" s="148"/>
      <c r="H154" s="149"/>
      <c r="I154" s="151"/>
      <c r="J154" s="161"/>
      <c r="K154" s="162"/>
      <c r="M154" s="163"/>
      <c r="N154" s="164"/>
      <c r="O154" s="164"/>
      <c r="P154" s="165"/>
      <c r="Q154" s="355"/>
      <c r="R154" s="235"/>
      <c r="S154" s="328"/>
      <c r="T154" s="333"/>
      <c r="U154" s="353"/>
      <c r="V154" s="237"/>
    </row>
    <row r="155" spans="2:22" ht="15" thickBot="1">
      <c r="B155" s="129"/>
      <c r="C155" s="238"/>
      <c r="D155" s="126"/>
      <c r="E155" s="126"/>
      <c r="F155" s="127"/>
      <c r="G155" s="128"/>
      <c r="H155" s="129"/>
      <c r="I155" s="130"/>
      <c r="J155" s="130"/>
      <c r="K155" s="131"/>
      <c r="L155" s="132"/>
      <c r="M155" s="133"/>
      <c r="N155" s="134"/>
      <c r="O155" s="134"/>
      <c r="P155" s="135"/>
      <c r="Q155" s="197"/>
      <c r="R155" s="239"/>
      <c r="S155" s="197"/>
      <c r="T155" s="240"/>
      <c r="U155" s="352"/>
      <c r="V155" s="241"/>
    </row>
    <row r="156" spans="2:22">
      <c r="K156" s="136"/>
      <c r="N156" s="136"/>
      <c r="O156" s="136"/>
      <c r="P156" s="136" t="s">
        <v>37</v>
      </c>
      <c r="Q156" s="137">
        <f>SUM(Q94:Q155)</f>
        <v>2181.15985</v>
      </c>
      <c r="R156" s="137"/>
      <c r="S156" s="137">
        <f>SUM(S94:S155)</f>
        <v>1879.2240199999997</v>
      </c>
      <c r="T156" s="137">
        <f>SUM(T94:T155)</f>
        <v>1625.6051849999999</v>
      </c>
      <c r="U156" s="137">
        <f>SUM(U94:U155)</f>
        <v>253.61883499999996</v>
      </c>
    </row>
    <row r="158" spans="2:22" ht="15" thickBot="1">
      <c r="B158" s="220" t="s">
        <v>369</v>
      </c>
      <c r="P158" s="221"/>
      <c r="Q158" s="379"/>
      <c r="R158" s="87"/>
      <c r="S158" s="87"/>
      <c r="T158" s="380"/>
      <c r="U158" s="381"/>
    </row>
    <row r="159" spans="2:22" ht="52.5" thickBot="1">
      <c r="B159" s="91" t="s">
        <v>70</v>
      </c>
      <c r="C159" s="92" t="s">
        <v>71</v>
      </c>
      <c r="D159" s="92" t="s">
        <v>217</v>
      </c>
      <c r="E159" s="91" t="s">
        <v>73</v>
      </c>
      <c r="F159" s="91" t="s">
        <v>74</v>
      </c>
      <c r="G159" s="91" t="s">
        <v>75</v>
      </c>
      <c r="H159" s="557" t="s">
        <v>76</v>
      </c>
      <c r="I159" s="558"/>
      <c r="J159" s="558"/>
      <c r="K159" s="559"/>
      <c r="L159" s="93" t="s">
        <v>77</v>
      </c>
      <c r="M159" s="557" t="s">
        <v>78</v>
      </c>
      <c r="N159" s="558"/>
      <c r="O159" s="558"/>
      <c r="P159" s="559"/>
      <c r="Q159" s="382" t="s">
        <v>79</v>
      </c>
      <c r="R159" s="383" t="s">
        <v>115</v>
      </c>
      <c r="S159" s="91" t="s">
        <v>116</v>
      </c>
      <c r="T159" s="384" t="s">
        <v>117</v>
      </c>
      <c r="U159" s="385" t="s">
        <v>118</v>
      </c>
      <c r="V159" s="91" t="s">
        <v>176</v>
      </c>
    </row>
    <row r="160" spans="2:22" ht="15" thickBot="1">
      <c r="B160" s="223" t="s">
        <v>370</v>
      </c>
      <c r="C160" s="95"/>
      <c r="D160" s="95"/>
      <c r="E160" s="95"/>
      <c r="F160" s="95"/>
      <c r="G160" s="96"/>
      <c r="H160" s="97" t="s">
        <v>70</v>
      </c>
      <c r="I160" s="98" t="s">
        <v>83</v>
      </c>
      <c r="J160" s="98" t="s">
        <v>84</v>
      </c>
      <c r="K160" s="99" t="s">
        <v>85</v>
      </c>
      <c r="L160" s="100"/>
      <c r="M160" s="101" t="s">
        <v>70</v>
      </c>
      <c r="N160" s="98" t="s">
        <v>83</v>
      </c>
      <c r="O160" s="98" t="s">
        <v>84</v>
      </c>
      <c r="P160" s="99" t="s">
        <v>85</v>
      </c>
      <c r="Q160" s="386"/>
      <c r="R160" s="387"/>
      <c r="S160" s="102"/>
      <c r="T160" s="388"/>
      <c r="U160" s="389" t="s">
        <v>86</v>
      </c>
      <c r="V160" s="102"/>
    </row>
    <row r="161" spans="2:22">
      <c r="B161" s="103"/>
      <c r="C161" s="104"/>
      <c r="D161" s="104"/>
      <c r="E161" s="104"/>
      <c r="F161" s="105"/>
      <c r="G161" s="105"/>
      <c r="H161" s="103"/>
      <c r="I161" s="225"/>
      <c r="J161" s="225"/>
      <c r="K161" s="107"/>
      <c r="L161" s="108"/>
      <c r="M161" s="109"/>
      <c r="N161" s="104"/>
      <c r="O161" s="104"/>
      <c r="P161" s="107"/>
      <c r="Q161" s="390"/>
      <c r="R161" s="226"/>
      <c r="S161" s="227"/>
      <c r="T161" s="392"/>
      <c r="U161" s="393"/>
      <c r="V161" s="229"/>
    </row>
    <row r="162" spans="2:22" ht="29">
      <c r="B162" s="178">
        <v>1</v>
      </c>
      <c r="C162" s="256" t="s">
        <v>371</v>
      </c>
      <c r="D162" s="257" t="s">
        <v>372</v>
      </c>
      <c r="E162" s="146" t="s">
        <v>373</v>
      </c>
      <c r="F162" s="146"/>
      <c r="G162" s="148"/>
      <c r="H162" s="149">
        <v>1</v>
      </c>
      <c r="I162" s="258">
        <v>82.218000000000004</v>
      </c>
      <c r="J162">
        <v>1</v>
      </c>
      <c r="K162" s="118">
        <f>H162*I162*J162</f>
        <v>82.218000000000004</v>
      </c>
      <c r="L162" s="119"/>
      <c r="M162" s="120">
        <v>0</v>
      </c>
      <c r="N162" s="121">
        <v>0</v>
      </c>
      <c r="O162" s="121">
        <v>0</v>
      </c>
      <c r="P162" s="122">
        <v>0</v>
      </c>
      <c r="Q162" s="444">
        <f>K162-P162</f>
        <v>82.218000000000004</v>
      </c>
      <c r="R162" s="230">
        <v>1</v>
      </c>
      <c r="S162" s="327">
        <f>(Q162)*R162</f>
        <v>82.218000000000004</v>
      </c>
      <c r="T162" s="447">
        <v>82.218000000000004</v>
      </c>
      <c r="U162" s="315">
        <f>S162-T162</f>
        <v>0</v>
      </c>
      <c r="V162" s="232"/>
    </row>
    <row r="163" spans="2:22">
      <c r="B163" s="115"/>
      <c r="C163" s="152" t="s">
        <v>374</v>
      </c>
      <c r="D163" s="111"/>
      <c r="E163" s="146"/>
      <c r="F163" s="147"/>
      <c r="G163" s="148"/>
      <c r="H163" s="149">
        <v>1</v>
      </c>
      <c r="I163" s="151">
        <v>77.781999999999996</v>
      </c>
      <c r="J163" s="116">
        <v>1</v>
      </c>
      <c r="K163" s="118">
        <f>H163*I163*J163</f>
        <v>77.781999999999996</v>
      </c>
      <c r="L163" s="119"/>
      <c r="M163" s="120">
        <v>0</v>
      </c>
      <c r="N163" s="121">
        <v>0</v>
      </c>
      <c r="O163" s="121">
        <v>0</v>
      </c>
      <c r="P163" s="122">
        <v>0</v>
      </c>
      <c r="Q163" s="444">
        <f>SUM(K163:K168)</f>
        <v>77.781999999999996</v>
      </c>
      <c r="R163" s="230">
        <v>1</v>
      </c>
      <c r="S163" s="327">
        <f>(Q163)*R163</f>
        <v>77.781999999999996</v>
      </c>
      <c r="T163" s="447">
        <v>77.781999999999996</v>
      </c>
      <c r="U163" s="315">
        <f>S163-T163</f>
        <v>0</v>
      </c>
      <c r="V163" s="232"/>
    </row>
    <row r="164" spans="2:22">
      <c r="B164" s="115"/>
      <c r="C164" s="152"/>
      <c r="D164" s="123"/>
      <c r="E164" s="112"/>
      <c r="F164" s="113"/>
      <c r="G164" s="114"/>
      <c r="H164" s="115"/>
      <c r="I164" s="116"/>
      <c r="J164" s="117"/>
      <c r="K164" s="118"/>
      <c r="L164" s="119"/>
      <c r="M164" s="120"/>
      <c r="N164" s="117"/>
      <c r="O164" s="117"/>
      <c r="P164" s="122"/>
      <c r="Q164" s="444"/>
      <c r="R164" s="233"/>
      <c r="S164" s="327"/>
      <c r="T164" s="447"/>
      <c r="U164" s="315"/>
      <c r="V164" s="232"/>
    </row>
    <row r="165" spans="2:22">
      <c r="B165" s="115"/>
      <c r="C165" s="150"/>
      <c r="D165" s="111"/>
      <c r="E165" s="112"/>
      <c r="F165" s="234"/>
      <c r="G165" s="114"/>
      <c r="H165" s="115"/>
      <c r="I165" s="116"/>
      <c r="J165" s="117"/>
      <c r="K165" s="118"/>
      <c r="L165" s="119"/>
      <c r="M165" s="120"/>
      <c r="N165" s="117"/>
      <c r="O165" s="117"/>
      <c r="P165" s="209"/>
      <c r="Q165" s="444"/>
      <c r="R165" s="230"/>
      <c r="S165" s="327"/>
      <c r="T165" s="447"/>
      <c r="U165" s="363"/>
      <c r="V165" s="232"/>
    </row>
    <row r="166" spans="2:22">
      <c r="B166" s="115"/>
      <c r="C166" s="150"/>
      <c r="D166" s="111"/>
      <c r="E166" s="111"/>
      <c r="F166" s="113"/>
      <c r="G166" s="114"/>
      <c r="H166" s="115"/>
      <c r="I166" s="116"/>
      <c r="J166" s="117"/>
      <c r="K166" s="118"/>
      <c r="L166" s="119"/>
      <c r="M166" s="120"/>
      <c r="N166" s="121"/>
      <c r="O166" s="121"/>
      <c r="P166" s="122"/>
      <c r="Q166" s="405"/>
      <c r="R166" s="365"/>
      <c r="S166" s="231"/>
      <c r="T166" s="447"/>
      <c r="U166" s="363"/>
      <c r="V166" s="232"/>
    </row>
    <row r="167" spans="2:22">
      <c r="B167" s="115"/>
      <c r="C167" s="150"/>
      <c r="D167" s="111"/>
      <c r="E167" s="111"/>
      <c r="F167" s="113"/>
      <c r="G167" s="114"/>
      <c r="H167" s="115"/>
      <c r="I167" s="116"/>
      <c r="J167" s="117"/>
      <c r="K167" s="118"/>
      <c r="L167" s="119"/>
      <c r="M167" s="120"/>
      <c r="N167" s="121"/>
      <c r="O167" s="121"/>
      <c r="P167" s="122"/>
      <c r="Q167" s="405"/>
      <c r="R167" s="365"/>
      <c r="S167" s="231"/>
      <c r="T167" s="447"/>
      <c r="U167" s="363"/>
      <c r="V167" s="232"/>
    </row>
    <row r="168" spans="2:22">
      <c r="B168" s="115"/>
      <c r="C168" s="150"/>
      <c r="D168" s="111"/>
      <c r="E168" s="112"/>
      <c r="F168" s="113"/>
      <c r="G168" s="114"/>
      <c r="H168" s="115"/>
      <c r="I168" s="116"/>
      <c r="J168" s="117"/>
      <c r="K168" s="118"/>
      <c r="L168" s="119"/>
      <c r="M168" s="120"/>
      <c r="N168" s="121"/>
      <c r="O168" s="121"/>
      <c r="P168" s="122"/>
      <c r="Q168" s="405"/>
      <c r="R168" s="365"/>
      <c r="S168" s="231"/>
      <c r="T168" s="447"/>
      <c r="U168" s="363"/>
      <c r="V168" s="232"/>
    </row>
    <row r="169" spans="2:22">
      <c r="B169" s="115"/>
      <c r="C169" s="150"/>
      <c r="D169" s="111"/>
      <c r="E169" s="111"/>
      <c r="F169" s="113"/>
      <c r="G169" s="114"/>
      <c r="H169" s="115"/>
      <c r="I169" s="116"/>
      <c r="J169" s="117"/>
      <c r="K169" s="118"/>
      <c r="L169" s="119"/>
      <c r="M169" s="120"/>
      <c r="N169" s="121"/>
      <c r="O169" s="121"/>
      <c r="P169" s="122"/>
      <c r="Q169" s="405"/>
      <c r="R169" s="365"/>
      <c r="S169" s="231"/>
      <c r="T169" s="447"/>
      <c r="U169" s="363"/>
      <c r="V169" s="232"/>
    </row>
    <row r="170" spans="2:22">
      <c r="B170" s="115"/>
      <c r="C170" s="150"/>
      <c r="D170" s="123"/>
      <c r="E170" s="111"/>
      <c r="F170" s="113"/>
      <c r="G170" s="114"/>
      <c r="H170" s="115"/>
      <c r="I170" s="116"/>
      <c r="J170" s="117"/>
      <c r="K170" s="118"/>
      <c r="L170" s="119"/>
      <c r="M170" s="120"/>
      <c r="N170" s="121"/>
      <c r="O170" s="121"/>
      <c r="P170" s="122"/>
      <c r="Q170" s="405"/>
      <c r="R170" s="365"/>
      <c r="S170" s="231"/>
      <c r="T170" s="447"/>
      <c r="U170" s="363"/>
      <c r="V170" s="232"/>
    </row>
    <row r="171" spans="2:22">
      <c r="B171" s="149"/>
      <c r="C171" s="153"/>
      <c r="D171" s="111"/>
      <c r="E171" s="146"/>
      <c r="F171" s="113"/>
      <c r="G171" s="148"/>
      <c r="H171" s="149"/>
      <c r="I171" s="151"/>
      <c r="J171" s="117"/>
      <c r="K171" s="118"/>
      <c r="L171" s="154"/>
      <c r="M171" s="120"/>
      <c r="N171" s="121"/>
      <c r="O171" s="121"/>
      <c r="P171" s="122"/>
      <c r="Q171" s="405"/>
      <c r="R171" s="365"/>
      <c r="S171" s="231"/>
      <c r="T171" s="447"/>
      <c r="U171" s="363"/>
      <c r="V171" s="232"/>
    </row>
    <row r="172" spans="2:22">
      <c r="B172" s="149"/>
      <c r="C172" s="150"/>
      <c r="D172" s="146"/>
      <c r="E172" s="146"/>
      <c r="F172" s="147"/>
      <c r="G172" s="148"/>
      <c r="H172" s="149"/>
      <c r="I172" s="151"/>
      <c r="J172" s="116"/>
      <c r="K172" s="118"/>
      <c r="L172" s="155"/>
      <c r="M172" s="120"/>
      <c r="N172" s="121"/>
      <c r="O172" s="121"/>
      <c r="P172" s="122"/>
      <c r="Q172" s="405"/>
      <c r="R172" s="365"/>
      <c r="S172" s="231"/>
      <c r="T172" s="447"/>
      <c r="U172" s="363"/>
      <c r="V172" s="232"/>
    </row>
    <row r="173" spans="2:22">
      <c r="B173" s="115"/>
      <c r="C173" s="150"/>
      <c r="D173" s="111"/>
      <c r="E173" s="112"/>
      <c r="F173" s="113"/>
      <c r="G173" s="114"/>
      <c r="H173" s="115"/>
      <c r="I173" s="116"/>
      <c r="J173" s="117"/>
      <c r="K173" s="118"/>
      <c r="L173" s="119"/>
      <c r="M173" s="120"/>
      <c r="N173" s="121"/>
      <c r="O173" s="121"/>
      <c r="P173" s="122"/>
      <c r="Q173" s="405"/>
      <c r="R173" s="365"/>
      <c r="S173" s="231"/>
      <c r="T173" s="447"/>
      <c r="U173" s="363"/>
      <c r="V173" s="232"/>
    </row>
    <row r="174" spans="2:22">
      <c r="B174" s="149"/>
      <c r="C174" s="153"/>
      <c r="D174" s="111"/>
      <c r="E174" s="156"/>
      <c r="F174" s="113"/>
      <c r="G174" s="148"/>
      <c r="H174" s="149"/>
      <c r="I174" s="151"/>
      <c r="J174" s="116"/>
      <c r="K174" s="157"/>
      <c r="L174" s="155"/>
      <c r="M174" s="158"/>
      <c r="N174" s="159"/>
      <c r="O174" s="159"/>
      <c r="P174" s="160"/>
      <c r="Q174" s="405"/>
      <c r="R174" s="365"/>
      <c r="S174" s="231"/>
      <c r="T174" s="447"/>
      <c r="U174" s="363"/>
      <c r="V174" s="232"/>
    </row>
    <row r="175" spans="2:22">
      <c r="B175" s="149"/>
      <c r="C175" s="150"/>
      <c r="D175" s="146"/>
      <c r="E175" s="156"/>
      <c r="F175" s="147"/>
      <c r="G175" s="148"/>
      <c r="H175" s="149"/>
      <c r="I175" s="151"/>
      <c r="J175" s="161"/>
      <c r="K175" s="162"/>
      <c r="M175" s="163"/>
      <c r="N175" s="164"/>
      <c r="O175" s="164"/>
      <c r="P175" s="165"/>
      <c r="Q175" s="394"/>
      <c r="R175" s="395"/>
      <c r="S175" s="236"/>
      <c r="T175" s="449"/>
      <c r="U175" s="397"/>
      <c r="V175" s="237"/>
    </row>
    <row r="176" spans="2:22" ht="15" thickBot="1">
      <c r="B176" s="129"/>
      <c r="C176" s="238"/>
      <c r="D176" s="126"/>
      <c r="E176" s="126"/>
      <c r="F176" s="127"/>
      <c r="G176" s="128"/>
      <c r="H176" s="129"/>
      <c r="I176" s="130"/>
      <c r="J176" s="130"/>
      <c r="K176" s="131"/>
      <c r="L176" s="132"/>
      <c r="M176" s="133"/>
      <c r="N176" s="134"/>
      <c r="O176" s="134"/>
      <c r="P176" s="135"/>
      <c r="Q176" s="398"/>
      <c r="R176" s="399"/>
      <c r="S176" s="197"/>
      <c r="T176" s="400"/>
      <c r="U176" s="401"/>
      <c r="V176" s="241"/>
    </row>
    <row r="177" spans="2:22">
      <c r="K177" s="136"/>
      <c r="N177" s="136"/>
      <c r="O177" s="136"/>
      <c r="P177" s="136" t="s">
        <v>37</v>
      </c>
      <c r="Q177" s="137">
        <f>SUM(Q158:Q176)</f>
        <v>160</v>
      </c>
      <c r="R177" s="137"/>
      <c r="S177" s="137">
        <f>SUM(S158:S176)</f>
        <v>160</v>
      </c>
      <c r="T177" s="137">
        <f>SUM(T158:T176)</f>
        <v>160</v>
      </c>
      <c r="U177" s="137">
        <f>SUM(U158:U176)</f>
        <v>0</v>
      </c>
    </row>
    <row r="179" spans="2:22" ht="15" thickBot="1">
      <c r="B179" s="220" t="s">
        <v>375</v>
      </c>
      <c r="P179" s="221"/>
      <c r="Q179" s="379"/>
      <c r="R179" s="87"/>
      <c r="S179" s="87"/>
      <c r="T179" s="380"/>
      <c r="U179" s="381"/>
    </row>
    <row r="180" spans="2:22" ht="52.5" thickBot="1">
      <c r="B180" s="91" t="s">
        <v>70</v>
      </c>
      <c r="C180" s="92" t="s">
        <v>71</v>
      </c>
      <c r="D180" s="92" t="s">
        <v>217</v>
      </c>
      <c r="E180" s="91" t="s">
        <v>73</v>
      </c>
      <c r="F180" s="91" t="s">
        <v>74</v>
      </c>
      <c r="G180" s="91" t="s">
        <v>75</v>
      </c>
      <c r="H180" s="557" t="s">
        <v>76</v>
      </c>
      <c r="I180" s="558"/>
      <c r="J180" s="558"/>
      <c r="K180" s="559"/>
      <c r="L180" s="93" t="s">
        <v>77</v>
      </c>
      <c r="M180" s="557" t="s">
        <v>78</v>
      </c>
      <c r="N180" s="558"/>
      <c r="O180" s="558"/>
      <c r="P180" s="559"/>
      <c r="Q180" s="382" t="s">
        <v>79</v>
      </c>
      <c r="R180" s="383" t="s">
        <v>115</v>
      </c>
      <c r="S180" s="91" t="s">
        <v>116</v>
      </c>
      <c r="T180" s="384" t="s">
        <v>117</v>
      </c>
      <c r="U180" s="385" t="s">
        <v>118</v>
      </c>
      <c r="V180" s="91" t="s">
        <v>176</v>
      </c>
    </row>
    <row r="181" spans="2:22" ht="15" thickBot="1">
      <c r="B181" s="223" t="s">
        <v>376</v>
      </c>
      <c r="C181" s="95"/>
      <c r="D181" s="95"/>
      <c r="E181" s="95"/>
      <c r="F181" s="95"/>
      <c r="G181" s="96"/>
      <c r="H181" s="97" t="s">
        <v>70</v>
      </c>
      <c r="I181" s="98" t="s">
        <v>83</v>
      </c>
      <c r="J181" s="98" t="s">
        <v>84</v>
      </c>
      <c r="K181" s="99" t="s">
        <v>85</v>
      </c>
      <c r="L181" s="100"/>
      <c r="M181" s="101" t="s">
        <v>70</v>
      </c>
      <c r="N181" s="98" t="s">
        <v>83</v>
      </c>
      <c r="O181" s="98" t="s">
        <v>84</v>
      </c>
      <c r="P181" s="99" t="s">
        <v>85</v>
      </c>
      <c r="Q181" s="386"/>
      <c r="R181" s="224"/>
      <c r="S181" s="102"/>
      <c r="T181" s="388"/>
      <c r="U181" s="389" t="s">
        <v>86</v>
      </c>
      <c r="V181" s="102"/>
    </row>
    <row r="182" spans="2:22">
      <c r="B182" s="103"/>
      <c r="C182" s="104"/>
      <c r="D182" s="104"/>
      <c r="E182" s="104"/>
      <c r="F182" s="105"/>
      <c r="G182" s="105"/>
      <c r="H182" s="103"/>
      <c r="I182" s="225"/>
      <c r="J182" s="225"/>
      <c r="K182" s="107"/>
      <c r="L182" s="108"/>
      <c r="M182" s="109"/>
      <c r="N182" s="104"/>
      <c r="O182" s="104"/>
      <c r="P182" s="107"/>
      <c r="Q182" s="390"/>
      <c r="R182" s="226"/>
      <c r="S182" s="227"/>
      <c r="T182" s="392"/>
      <c r="U182" s="393"/>
      <c r="V182" s="229"/>
    </row>
    <row r="183" spans="2:22">
      <c r="B183" s="178">
        <v>1</v>
      </c>
      <c r="C183" s="256" t="s">
        <v>377</v>
      </c>
      <c r="D183" s="257" t="s">
        <v>378</v>
      </c>
      <c r="E183" s="146" t="s">
        <v>379</v>
      </c>
      <c r="F183" s="146"/>
      <c r="G183" s="148"/>
      <c r="H183" s="149">
        <v>1</v>
      </c>
      <c r="I183" s="258">
        <v>16.899999999999999</v>
      </c>
      <c r="J183">
        <v>4</v>
      </c>
      <c r="K183" s="118">
        <f>H183*I183*J183</f>
        <v>67.599999999999994</v>
      </c>
      <c r="L183" s="119"/>
      <c r="M183" s="120">
        <v>0</v>
      </c>
      <c r="N183" s="121">
        <v>0</v>
      </c>
      <c r="O183" s="121">
        <v>0</v>
      </c>
      <c r="P183" s="122">
        <v>0</v>
      </c>
      <c r="Q183" s="444">
        <f>K183-P183</f>
        <v>67.599999999999994</v>
      </c>
      <c r="R183" s="230">
        <v>1</v>
      </c>
      <c r="S183" s="327">
        <f>(Q183)*R183</f>
        <v>67.599999999999994</v>
      </c>
      <c r="T183" s="447">
        <v>67.599999999999994</v>
      </c>
      <c r="U183" s="315">
        <f>S183-T183</f>
        <v>0</v>
      </c>
      <c r="V183" s="232"/>
    </row>
    <row r="184" spans="2:22">
      <c r="B184" s="115"/>
      <c r="C184" s="152" t="s">
        <v>532</v>
      </c>
      <c r="D184" s="111"/>
      <c r="E184" s="146"/>
      <c r="F184" s="147"/>
      <c r="G184" s="148"/>
      <c r="H184" s="149"/>
      <c r="I184" s="151"/>
      <c r="J184" s="116"/>
      <c r="K184" s="118"/>
      <c r="L184" s="119"/>
      <c r="M184" s="120"/>
      <c r="N184" s="121"/>
      <c r="O184" s="121"/>
      <c r="P184" s="122"/>
      <c r="Q184" s="406"/>
      <c r="R184" s="230"/>
      <c r="S184" s="231"/>
      <c r="T184" s="447"/>
      <c r="U184" s="363"/>
      <c r="V184" s="232"/>
    </row>
    <row r="185" spans="2:22">
      <c r="B185" s="115"/>
      <c r="C185" s="152"/>
      <c r="D185" s="123"/>
      <c r="E185" s="112"/>
      <c r="F185" s="113"/>
      <c r="G185" s="114"/>
      <c r="H185" s="115"/>
      <c r="I185" s="116"/>
      <c r="J185" s="117"/>
      <c r="K185" s="118"/>
      <c r="L185" s="119"/>
      <c r="M185" s="120"/>
      <c r="N185" s="117"/>
      <c r="O185" s="117"/>
      <c r="P185" s="122"/>
      <c r="Q185" s="405"/>
      <c r="R185" s="233"/>
      <c r="S185" s="231"/>
      <c r="T185" s="447"/>
      <c r="U185" s="363"/>
      <c r="V185" s="232"/>
    </row>
    <row r="186" spans="2:22">
      <c r="B186" s="115"/>
      <c r="C186" s="150"/>
      <c r="D186" s="111"/>
      <c r="E186" s="112"/>
      <c r="F186" s="234"/>
      <c r="G186" s="114"/>
      <c r="H186" s="115"/>
      <c r="I186" s="116"/>
      <c r="J186" s="117"/>
      <c r="K186" s="118"/>
      <c r="L186" s="119"/>
      <c r="M186" s="120"/>
      <c r="N186" s="117"/>
      <c r="O186" s="117"/>
      <c r="P186" s="209"/>
      <c r="Q186" s="405"/>
      <c r="R186" s="230"/>
      <c r="S186" s="231"/>
      <c r="T186" s="447"/>
      <c r="U186" s="363"/>
      <c r="V186" s="232"/>
    </row>
    <row r="187" spans="2:22">
      <c r="B187" s="115"/>
      <c r="C187" s="150"/>
      <c r="D187" s="111"/>
      <c r="E187" s="111"/>
      <c r="F187" s="113"/>
      <c r="G187" s="114"/>
      <c r="H187" s="115"/>
      <c r="I187" s="116"/>
      <c r="J187" s="117"/>
      <c r="K187" s="118"/>
      <c r="L187" s="119"/>
      <c r="M187" s="120"/>
      <c r="N187" s="121"/>
      <c r="O187" s="121"/>
      <c r="P187" s="122"/>
      <c r="Q187" s="405"/>
      <c r="R187" s="365"/>
      <c r="S187" s="231"/>
      <c r="T187" s="447"/>
      <c r="U187" s="363"/>
      <c r="V187" s="232"/>
    </row>
    <row r="188" spans="2:22">
      <c r="B188" s="115"/>
      <c r="C188" s="150"/>
      <c r="D188" s="111"/>
      <c r="E188" s="111"/>
      <c r="F188" s="113"/>
      <c r="G188" s="114"/>
      <c r="H188" s="115"/>
      <c r="I188" s="116"/>
      <c r="J188" s="117"/>
      <c r="K188" s="118"/>
      <c r="L188" s="119"/>
      <c r="M188" s="120"/>
      <c r="N188" s="121"/>
      <c r="O188" s="121"/>
      <c r="P188" s="122"/>
      <c r="Q188" s="405"/>
      <c r="R188" s="365"/>
      <c r="S188" s="231"/>
      <c r="T188" s="447"/>
      <c r="U188" s="363"/>
      <c r="V188" s="232"/>
    </row>
    <row r="189" spans="2:22">
      <c r="B189" s="115"/>
      <c r="C189" s="150"/>
      <c r="D189" s="111"/>
      <c r="E189" s="112"/>
      <c r="F189" s="113"/>
      <c r="G189" s="114"/>
      <c r="H189" s="115"/>
      <c r="I189" s="116"/>
      <c r="J189" s="117"/>
      <c r="K189" s="118"/>
      <c r="L189" s="119"/>
      <c r="M189" s="120"/>
      <c r="N189" s="121"/>
      <c r="O189" s="121"/>
      <c r="P189" s="122"/>
      <c r="Q189" s="405"/>
      <c r="R189" s="365"/>
      <c r="S189" s="231"/>
      <c r="T189" s="447"/>
      <c r="U189" s="363"/>
      <c r="V189" s="232"/>
    </row>
    <row r="190" spans="2:22">
      <c r="B190" s="115"/>
      <c r="C190" s="150"/>
      <c r="D190" s="111"/>
      <c r="E190" s="111"/>
      <c r="F190" s="113"/>
      <c r="G190" s="114"/>
      <c r="H190" s="115"/>
      <c r="I190" s="116"/>
      <c r="J190" s="117"/>
      <c r="K190" s="118"/>
      <c r="L190" s="119"/>
      <c r="M190" s="120"/>
      <c r="N190" s="121"/>
      <c r="O190" s="121"/>
      <c r="P190" s="122"/>
      <c r="Q190" s="405"/>
      <c r="R190" s="365"/>
      <c r="S190" s="231"/>
      <c r="T190" s="447"/>
      <c r="U190" s="363"/>
      <c r="V190" s="232"/>
    </row>
    <row r="191" spans="2:22">
      <c r="B191" s="115"/>
      <c r="C191" s="150"/>
      <c r="D191" s="123"/>
      <c r="E191" s="111"/>
      <c r="F191" s="113"/>
      <c r="G191" s="114"/>
      <c r="H191" s="115"/>
      <c r="I191" s="116"/>
      <c r="J191" s="117"/>
      <c r="K191" s="118"/>
      <c r="L191" s="119"/>
      <c r="M191" s="120"/>
      <c r="N191" s="121"/>
      <c r="O191" s="121"/>
      <c r="P191" s="122"/>
      <c r="Q191" s="405"/>
      <c r="R191" s="365"/>
      <c r="S191" s="231"/>
      <c r="T191" s="447"/>
      <c r="U191" s="363"/>
      <c r="V191" s="232"/>
    </row>
    <row r="192" spans="2:22">
      <c r="B192" s="149"/>
      <c r="C192" s="153"/>
      <c r="D192" s="111"/>
      <c r="E192" s="146"/>
      <c r="F192" s="113"/>
      <c r="G192" s="148"/>
      <c r="H192" s="149"/>
      <c r="I192" s="151"/>
      <c r="J192" s="117"/>
      <c r="K192" s="118"/>
      <c r="L192" s="154"/>
      <c r="M192" s="120"/>
      <c r="N192" s="121"/>
      <c r="O192" s="121"/>
      <c r="P192" s="122"/>
      <c r="Q192" s="405"/>
      <c r="R192" s="365"/>
      <c r="S192" s="231"/>
      <c r="T192" s="447"/>
      <c r="U192" s="363"/>
      <c r="V192" s="232"/>
    </row>
    <row r="193" spans="2:22">
      <c r="B193" s="149"/>
      <c r="C193" s="150"/>
      <c r="D193" s="146"/>
      <c r="E193" s="146"/>
      <c r="F193" s="147"/>
      <c r="G193" s="148"/>
      <c r="H193" s="149"/>
      <c r="I193" s="151"/>
      <c r="J193" s="116"/>
      <c r="K193" s="118"/>
      <c r="L193" s="155"/>
      <c r="M193" s="120"/>
      <c r="N193" s="121"/>
      <c r="O193" s="121"/>
      <c r="P193" s="122"/>
      <c r="Q193" s="405"/>
      <c r="R193" s="365"/>
      <c r="S193" s="231"/>
      <c r="T193" s="447"/>
      <c r="U193" s="363"/>
      <c r="V193" s="232"/>
    </row>
    <row r="194" spans="2:22">
      <c r="B194" s="115"/>
      <c r="C194" s="150"/>
      <c r="D194" s="111"/>
      <c r="E194" s="112"/>
      <c r="F194" s="113"/>
      <c r="G194" s="114"/>
      <c r="H194" s="115"/>
      <c r="I194" s="116"/>
      <c r="J194" s="117"/>
      <c r="K194" s="118"/>
      <c r="L194" s="119"/>
      <c r="M194" s="120"/>
      <c r="N194" s="121"/>
      <c r="O194" s="121"/>
      <c r="P194" s="122"/>
      <c r="Q194" s="405"/>
      <c r="R194" s="365"/>
      <c r="S194" s="231"/>
      <c r="T194" s="447"/>
      <c r="U194" s="363"/>
      <c r="V194" s="232"/>
    </row>
    <row r="195" spans="2:22">
      <c r="B195" s="149"/>
      <c r="C195" s="153"/>
      <c r="D195" s="111"/>
      <c r="E195" s="156"/>
      <c r="F195" s="113"/>
      <c r="G195" s="148"/>
      <c r="H195" s="149"/>
      <c r="I195" s="151"/>
      <c r="J195" s="116"/>
      <c r="K195" s="157"/>
      <c r="L195" s="155"/>
      <c r="M195" s="158"/>
      <c r="N195" s="159"/>
      <c r="O195" s="159"/>
      <c r="P195" s="160"/>
      <c r="Q195" s="405"/>
      <c r="R195" s="365"/>
      <c r="S195" s="231"/>
      <c r="T195" s="447"/>
      <c r="U195" s="363"/>
      <c r="V195" s="232"/>
    </row>
    <row r="196" spans="2:22">
      <c r="B196" s="149"/>
      <c r="C196" s="150"/>
      <c r="D196" s="146"/>
      <c r="E196" s="156"/>
      <c r="F196" s="147"/>
      <c r="G196" s="148"/>
      <c r="H196" s="149"/>
      <c r="I196" s="151"/>
      <c r="J196" s="161"/>
      <c r="K196" s="162"/>
      <c r="M196" s="163"/>
      <c r="N196" s="164"/>
      <c r="O196" s="164"/>
      <c r="P196" s="165"/>
      <c r="Q196" s="394"/>
      <c r="R196" s="395"/>
      <c r="S196" s="236"/>
      <c r="T196" s="449"/>
      <c r="U196" s="397"/>
      <c r="V196" s="237"/>
    </row>
    <row r="197" spans="2:22" ht="15" thickBot="1">
      <c r="B197" s="129"/>
      <c r="C197" s="238"/>
      <c r="D197" s="126"/>
      <c r="E197" s="126"/>
      <c r="F197" s="127"/>
      <c r="G197" s="128"/>
      <c r="H197" s="129"/>
      <c r="I197" s="130"/>
      <c r="J197" s="130"/>
      <c r="K197" s="131"/>
      <c r="L197" s="132"/>
      <c r="M197" s="133"/>
      <c r="N197" s="134"/>
      <c r="O197" s="134"/>
      <c r="P197" s="135"/>
      <c r="Q197" s="398"/>
      <c r="R197" s="399"/>
      <c r="S197" s="197"/>
      <c r="T197" s="400"/>
      <c r="U197" s="401"/>
      <c r="V197" s="241"/>
    </row>
    <row r="198" spans="2:22">
      <c r="K198" s="136"/>
      <c r="N198" s="136"/>
      <c r="O198" s="136"/>
      <c r="P198" s="136" t="s">
        <v>37</v>
      </c>
      <c r="Q198" s="137">
        <f>SUM(Q179:Q197)</f>
        <v>67.599999999999994</v>
      </c>
      <c r="R198" s="137"/>
      <c r="S198" s="137">
        <f>SUM(S179:S197)</f>
        <v>67.599999999999994</v>
      </c>
      <c r="T198" s="137">
        <f>SUM(T179:T197)</f>
        <v>67.599999999999994</v>
      </c>
      <c r="U198" s="137">
        <f>SUM(U179:U197)</f>
        <v>0</v>
      </c>
    </row>
    <row r="200" spans="2:22" ht="15" thickBot="1">
      <c r="B200" s="220" t="s">
        <v>383</v>
      </c>
      <c r="P200" s="221"/>
      <c r="Q200" s="379"/>
      <c r="R200" s="87"/>
      <c r="S200" s="87"/>
      <c r="T200" s="380"/>
      <c r="U200" s="381"/>
    </row>
    <row r="201" spans="2:22" ht="52.5" thickBot="1">
      <c r="B201" s="91" t="s">
        <v>70</v>
      </c>
      <c r="C201" s="92" t="s">
        <v>71</v>
      </c>
      <c r="D201" s="92" t="s">
        <v>217</v>
      </c>
      <c r="E201" s="91" t="s">
        <v>73</v>
      </c>
      <c r="F201" s="91" t="s">
        <v>74</v>
      </c>
      <c r="G201" s="91" t="s">
        <v>75</v>
      </c>
      <c r="H201" s="557" t="s">
        <v>76</v>
      </c>
      <c r="I201" s="558"/>
      <c r="J201" s="558"/>
      <c r="K201" s="559"/>
      <c r="L201" s="93" t="s">
        <v>77</v>
      </c>
      <c r="M201" s="557" t="s">
        <v>78</v>
      </c>
      <c r="N201" s="558"/>
      <c r="O201" s="558"/>
      <c r="P201" s="559"/>
      <c r="Q201" s="382" t="s">
        <v>79</v>
      </c>
      <c r="R201" s="383" t="s">
        <v>115</v>
      </c>
      <c r="S201" s="91" t="s">
        <v>116</v>
      </c>
      <c r="T201" s="384" t="s">
        <v>117</v>
      </c>
      <c r="U201" s="385" t="s">
        <v>118</v>
      </c>
      <c r="V201" s="91" t="s">
        <v>176</v>
      </c>
    </row>
    <row r="202" spans="2:22" ht="15" thickBot="1">
      <c r="B202" s="223" t="s">
        <v>380</v>
      </c>
      <c r="C202" s="95"/>
      <c r="D202" s="95"/>
      <c r="E202" s="95"/>
      <c r="F202" s="95"/>
      <c r="G202" s="96"/>
      <c r="H202" s="97" t="s">
        <v>70</v>
      </c>
      <c r="I202" s="98" t="s">
        <v>83</v>
      </c>
      <c r="J202" s="98" t="s">
        <v>84</v>
      </c>
      <c r="K202" s="99" t="s">
        <v>85</v>
      </c>
      <c r="L202" s="100"/>
      <c r="M202" s="101" t="s">
        <v>70</v>
      </c>
      <c r="N202" s="98" t="s">
        <v>83</v>
      </c>
      <c r="O202" s="98" t="s">
        <v>84</v>
      </c>
      <c r="P202" s="99" t="s">
        <v>85</v>
      </c>
      <c r="Q202" s="386"/>
      <c r="R202" s="387"/>
      <c r="S202" s="102"/>
      <c r="T202" s="388"/>
      <c r="U202" s="389" t="s">
        <v>86</v>
      </c>
      <c r="V202" s="102"/>
    </row>
    <row r="203" spans="2:22">
      <c r="B203" s="103"/>
      <c r="C203" s="104"/>
      <c r="D203" s="104"/>
      <c r="E203" s="104"/>
      <c r="F203" s="105"/>
      <c r="G203" s="105"/>
      <c r="H203" s="103"/>
      <c r="I203" s="225"/>
      <c r="J203" s="225"/>
      <c r="K203" s="107"/>
      <c r="L203" s="108"/>
      <c r="M203" s="109"/>
      <c r="N203" s="104"/>
      <c r="O203" s="104"/>
      <c r="P203" s="107"/>
      <c r="Q203" s="390"/>
      <c r="R203" s="226"/>
      <c r="S203" s="227"/>
      <c r="T203" s="392"/>
      <c r="U203" s="393"/>
      <c r="V203" s="229"/>
    </row>
    <row r="204" spans="2:22" ht="29">
      <c r="B204" s="178">
        <v>1</v>
      </c>
      <c r="C204" s="265" t="s">
        <v>384</v>
      </c>
      <c r="D204" s="257" t="s">
        <v>385</v>
      </c>
      <c r="E204" s="146" t="s">
        <v>386</v>
      </c>
      <c r="F204" s="146"/>
      <c r="G204" s="148"/>
      <c r="H204" s="149">
        <v>1</v>
      </c>
      <c r="I204" s="258">
        <v>5</v>
      </c>
      <c r="J204">
        <v>2</v>
      </c>
      <c r="K204" s="118">
        <f>H204*I204*J204</f>
        <v>10</v>
      </c>
      <c r="L204" s="119"/>
      <c r="M204" s="403">
        <v>0</v>
      </c>
      <c r="N204" s="404">
        <v>0</v>
      </c>
      <c r="O204" s="404">
        <v>0</v>
      </c>
      <c r="P204" s="122">
        <v>0</v>
      </c>
      <c r="Q204" s="444">
        <f>K204-P204</f>
        <v>10</v>
      </c>
      <c r="R204" s="230">
        <v>0.9</v>
      </c>
      <c r="S204" s="327">
        <f>(Q204)*R204</f>
        <v>9</v>
      </c>
      <c r="T204" s="447">
        <v>9</v>
      </c>
      <c r="U204" s="315">
        <f>S204-T204</f>
        <v>0</v>
      </c>
      <c r="V204" s="232"/>
    </row>
    <row r="205" spans="2:22">
      <c r="B205" s="115"/>
      <c r="C205" s="152" t="s">
        <v>387</v>
      </c>
      <c r="D205" s="111"/>
      <c r="E205" s="146"/>
      <c r="F205" s="147"/>
      <c r="G205" s="148"/>
      <c r="H205" s="149"/>
      <c r="I205" s="151"/>
      <c r="J205" s="116"/>
      <c r="K205" s="118"/>
      <c r="L205" s="119"/>
      <c r="M205" s="120"/>
      <c r="N205" s="121"/>
      <c r="O205" s="121"/>
      <c r="P205" s="122"/>
      <c r="Q205" s="406"/>
      <c r="R205" s="230"/>
      <c r="S205" s="231"/>
      <c r="T205" s="447"/>
      <c r="U205" s="363"/>
      <c r="V205" s="232"/>
    </row>
    <row r="206" spans="2:22">
      <c r="B206" s="115"/>
      <c r="C206" s="152"/>
      <c r="D206" s="123"/>
      <c r="E206" s="112"/>
      <c r="F206" s="113"/>
      <c r="G206" s="114"/>
      <c r="H206" s="115"/>
      <c r="I206" s="116"/>
      <c r="J206" s="117"/>
      <c r="K206" s="118"/>
      <c r="L206" s="119"/>
      <c r="M206" s="120"/>
      <c r="N206" s="117"/>
      <c r="O206" s="117"/>
      <c r="P206" s="122"/>
      <c r="Q206" s="405"/>
      <c r="R206" s="233"/>
      <c r="S206" s="231"/>
      <c r="T206" s="447"/>
      <c r="U206" s="363"/>
      <c r="V206" s="232"/>
    </row>
    <row r="207" spans="2:22">
      <c r="B207" s="115"/>
      <c r="C207" s="152"/>
      <c r="D207" s="111"/>
      <c r="E207" s="112"/>
      <c r="F207" s="234"/>
      <c r="G207" s="114"/>
      <c r="H207" s="115"/>
      <c r="I207" s="116"/>
      <c r="J207" s="117"/>
      <c r="K207" s="118"/>
      <c r="L207" s="119"/>
      <c r="M207" s="120"/>
      <c r="N207" s="117"/>
      <c r="O207" s="117"/>
      <c r="P207" s="209"/>
      <c r="Q207" s="405"/>
      <c r="R207" s="230"/>
      <c r="S207" s="231"/>
      <c r="T207" s="447"/>
      <c r="U207" s="363"/>
      <c r="V207" s="232"/>
    </row>
    <row r="208" spans="2:22">
      <c r="B208" s="115"/>
      <c r="C208" s="152"/>
      <c r="D208" s="111"/>
      <c r="E208" s="111"/>
      <c r="F208" s="113"/>
      <c r="G208" s="114"/>
      <c r="H208" s="115"/>
      <c r="I208" s="116"/>
      <c r="J208" s="117"/>
      <c r="K208" s="118"/>
      <c r="L208" s="119"/>
      <c r="M208" s="120"/>
      <c r="N208" s="121"/>
      <c r="O208" s="121"/>
      <c r="P208" s="122"/>
      <c r="Q208" s="405"/>
      <c r="R208" s="365"/>
      <c r="S208" s="231"/>
      <c r="T208" s="447"/>
      <c r="U208" s="363"/>
      <c r="V208" s="232"/>
    </row>
    <row r="209" spans="2:22">
      <c r="B209" s="115"/>
      <c r="C209" s="150"/>
      <c r="D209" s="111"/>
      <c r="E209" s="111"/>
      <c r="F209" s="113"/>
      <c r="G209" s="114"/>
      <c r="H209" s="115"/>
      <c r="I209" s="116"/>
      <c r="J209" s="117"/>
      <c r="K209" s="118"/>
      <c r="L209" s="119"/>
      <c r="M209" s="120"/>
      <c r="N209" s="121"/>
      <c r="O209" s="121"/>
      <c r="P209" s="122"/>
      <c r="Q209" s="405"/>
      <c r="R209" s="365"/>
      <c r="S209" s="231"/>
      <c r="T209" s="447"/>
      <c r="U209" s="363"/>
      <c r="V209" s="232"/>
    </row>
    <row r="210" spans="2:22">
      <c r="B210" s="115"/>
      <c r="C210" s="150"/>
      <c r="D210" s="111"/>
      <c r="E210" s="112"/>
      <c r="F210" s="113"/>
      <c r="G210" s="114"/>
      <c r="H210" s="115"/>
      <c r="I210" s="116"/>
      <c r="J210" s="117"/>
      <c r="K210" s="118"/>
      <c r="L210" s="119"/>
      <c r="M210" s="120"/>
      <c r="N210" s="121"/>
      <c r="O210" s="121"/>
      <c r="P210" s="122"/>
      <c r="Q210" s="405"/>
      <c r="R210" s="365"/>
      <c r="S210" s="231"/>
      <c r="T210" s="447"/>
      <c r="U210" s="363"/>
      <c r="V210" s="232"/>
    </row>
    <row r="211" spans="2:22">
      <c r="B211" s="115"/>
      <c r="C211" s="150"/>
      <c r="D211" s="111"/>
      <c r="E211" s="111"/>
      <c r="F211" s="113"/>
      <c r="G211" s="114"/>
      <c r="H211" s="115"/>
      <c r="I211" s="116"/>
      <c r="J211" s="117"/>
      <c r="K211" s="118"/>
      <c r="L211" s="119"/>
      <c r="M211" s="120"/>
      <c r="N211" s="121"/>
      <c r="O211" s="121"/>
      <c r="P211" s="122"/>
      <c r="Q211" s="405"/>
      <c r="R211" s="365"/>
      <c r="S211" s="231"/>
      <c r="T211" s="447"/>
      <c r="U211" s="363"/>
      <c r="V211" s="232"/>
    </row>
    <row r="212" spans="2:22">
      <c r="B212" s="115"/>
      <c r="C212" s="150"/>
      <c r="D212" s="123"/>
      <c r="E212" s="111"/>
      <c r="F212" s="113"/>
      <c r="G212" s="114"/>
      <c r="H212" s="115"/>
      <c r="I212" s="116"/>
      <c r="J212" s="117"/>
      <c r="K212" s="118"/>
      <c r="L212" s="119"/>
      <c r="M212" s="120"/>
      <c r="N212" s="121"/>
      <c r="O212" s="121"/>
      <c r="P212" s="122"/>
      <c r="Q212" s="405"/>
      <c r="R212" s="365"/>
      <c r="S212" s="231"/>
      <c r="T212" s="447"/>
      <c r="U212" s="363"/>
      <c r="V212" s="232"/>
    </row>
    <row r="213" spans="2:22">
      <c r="B213" s="149"/>
      <c r="C213" s="153"/>
      <c r="D213" s="111"/>
      <c r="E213" s="146"/>
      <c r="F213" s="113"/>
      <c r="G213" s="148"/>
      <c r="H213" s="149"/>
      <c r="I213" s="151"/>
      <c r="J213" s="117"/>
      <c r="K213" s="118"/>
      <c r="L213" s="154"/>
      <c r="M213" s="120"/>
      <c r="N213" s="121"/>
      <c r="O213" s="121"/>
      <c r="P213" s="122"/>
      <c r="Q213" s="405"/>
      <c r="R213" s="365"/>
      <c r="S213" s="231"/>
      <c r="T213" s="447"/>
      <c r="U213" s="363"/>
      <c r="V213" s="232"/>
    </row>
    <row r="214" spans="2:22">
      <c r="B214" s="149"/>
      <c r="C214" s="150"/>
      <c r="D214" s="146"/>
      <c r="E214" s="146"/>
      <c r="F214" s="147"/>
      <c r="G214" s="148"/>
      <c r="H214" s="149"/>
      <c r="I214" s="151"/>
      <c r="J214" s="116"/>
      <c r="K214" s="118"/>
      <c r="L214" s="155"/>
      <c r="M214" s="120"/>
      <c r="N214" s="121"/>
      <c r="O214" s="121"/>
      <c r="P214" s="122"/>
      <c r="Q214" s="405"/>
      <c r="R214" s="365"/>
      <c r="S214" s="231"/>
      <c r="T214" s="447"/>
      <c r="U214" s="363"/>
      <c r="V214" s="232"/>
    </row>
    <row r="215" spans="2:22">
      <c r="B215" s="115"/>
      <c r="C215" s="150"/>
      <c r="D215" s="111"/>
      <c r="E215" s="112"/>
      <c r="F215" s="113"/>
      <c r="G215" s="114"/>
      <c r="H215" s="115"/>
      <c r="I215" s="116"/>
      <c r="J215" s="117"/>
      <c r="K215" s="118"/>
      <c r="L215" s="119"/>
      <c r="M215" s="120"/>
      <c r="N215" s="121"/>
      <c r="O215" s="121"/>
      <c r="P215" s="122"/>
      <c r="Q215" s="405"/>
      <c r="R215" s="365"/>
      <c r="S215" s="231"/>
      <c r="T215" s="447"/>
      <c r="U215" s="363"/>
      <c r="V215" s="232"/>
    </row>
    <row r="216" spans="2:22">
      <c r="B216" s="149"/>
      <c r="C216" s="153"/>
      <c r="D216" s="111"/>
      <c r="E216" s="156"/>
      <c r="F216" s="113"/>
      <c r="G216" s="148"/>
      <c r="H216" s="149"/>
      <c r="I216" s="151"/>
      <c r="J216" s="116"/>
      <c r="K216" s="157"/>
      <c r="L216" s="155"/>
      <c r="M216" s="158"/>
      <c r="N216" s="159"/>
      <c r="O216" s="159"/>
      <c r="P216" s="160"/>
      <c r="Q216" s="405"/>
      <c r="R216" s="365"/>
      <c r="S216" s="231"/>
      <c r="T216" s="447"/>
      <c r="U216" s="363"/>
      <c r="V216" s="232"/>
    </row>
    <row r="217" spans="2:22">
      <c r="B217" s="149"/>
      <c r="C217" s="150"/>
      <c r="D217" s="146"/>
      <c r="E217" s="156"/>
      <c r="F217" s="147"/>
      <c r="G217" s="148"/>
      <c r="H217" s="149"/>
      <c r="I217" s="151"/>
      <c r="J217" s="161"/>
      <c r="K217" s="162"/>
      <c r="M217" s="163"/>
      <c r="N217" s="164"/>
      <c r="O217" s="164"/>
      <c r="P217" s="165"/>
      <c r="Q217" s="394"/>
      <c r="R217" s="395"/>
      <c r="S217" s="236"/>
      <c r="T217" s="449"/>
      <c r="U217" s="397"/>
      <c r="V217" s="237"/>
    </row>
    <row r="218" spans="2:22" ht="15" thickBot="1">
      <c r="B218" s="129"/>
      <c r="C218" s="238"/>
      <c r="D218" s="126"/>
      <c r="E218" s="126"/>
      <c r="F218" s="127"/>
      <c r="G218" s="128"/>
      <c r="H218" s="129"/>
      <c r="I218" s="130"/>
      <c r="J218" s="130"/>
      <c r="K218" s="131"/>
      <c r="L218" s="132"/>
      <c r="M218" s="133"/>
      <c r="N218" s="134"/>
      <c r="O218" s="134"/>
      <c r="P218" s="135"/>
      <c r="Q218" s="398"/>
      <c r="R218" s="399"/>
      <c r="S218" s="197"/>
      <c r="T218" s="400"/>
      <c r="U218" s="401"/>
      <c r="V218" s="241"/>
    </row>
    <row r="219" spans="2:22">
      <c r="K219" s="136"/>
      <c r="N219" s="136"/>
      <c r="O219" s="136"/>
      <c r="P219" s="136" t="s">
        <v>37</v>
      </c>
      <c r="Q219" s="137">
        <f>SUM(Q200:Q218)</f>
        <v>10</v>
      </c>
      <c r="R219" s="137"/>
      <c r="S219" s="137">
        <f>SUM(S200:S218)</f>
        <v>9</v>
      </c>
      <c r="T219" s="137">
        <f>SUM(T200:T218)</f>
        <v>9</v>
      </c>
      <c r="U219" s="137">
        <f>SUM(U200:U218)</f>
        <v>0</v>
      </c>
    </row>
    <row r="221" spans="2:22" ht="15" thickBot="1">
      <c r="B221" s="220" t="s">
        <v>507</v>
      </c>
      <c r="P221" s="221"/>
      <c r="Q221" s="379"/>
      <c r="R221" s="87"/>
      <c r="S221" s="87"/>
      <c r="T221" s="380" t="s">
        <v>482</v>
      </c>
      <c r="U221" s="381" t="s">
        <v>508</v>
      </c>
    </row>
    <row r="222" spans="2:22" ht="52.5" thickBot="1">
      <c r="B222" s="91" t="s">
        <v>70</v>
      </c>
      <c r="C222" s="92" t="s">
        <v>71</v>
      </c>
      <c r="D222" s="92" t="s">
        <v>217</v>
      </c>
      <c r="E222" s="91" t="s">
        <v>73</v>
      </c>
      <c r="F222" s="91" t="s">
        <v>74</v>
      </c>
      <c r="G222" s="91" t="s">
        <v>75</v>
      </c>
      <c r="H222" s="557" t="s">
        <v>76</v>
      </c>
      <c r="I222" s="558"/>
      <c r="J222" s="558"/>
      <c r="K222" s="559"/>
      <c r="L222" s="93" t="s">
        <v>77</v>
      </c>
      <c r="M222" s="557" t="s">
        <v>78</v>
      </c>
      <c r="N222" s="558"/>
      <c r="O222" s="558"/>
      <c r="P222" s="559"/>
      <c r="Q222" s="382" t="s">
        <v>79</v>
      </c>
      <c r="R222" s="383" t="s">
        <v>115</v>
      </c>
      <c r="S222" s="91" t="s">
        <v>116</v>
      </c>
      <c r="T222" s="384" t="s">
        <v>117</v>
      </c>
      <c r="U222" s="385" t="s">
        <v>118</v>
      </c>
      <c r="V222" s="91" t="s">
        <v>176</v>
      </c>
    </row>
    <row r="223" spans="2:22" ht="15" thickBot="1">
      <c r="B223" s="223" t="s">
        <v>380</v>
      </c>
      <c r="C223" s="95"/>
      <c r="D223" s="95"/>
      <c r="E223" s="95"/>
      <c r="F223" s="95"/>
      <c r="G223" s="96"/>
      <c r="H223" s="97" t="s">
        <v>70</v>
      </c>
      <c r="I223" s="98" t="s">
        <v>83</v>
      </c>
      <c r="J223" s="98" t="s">
        <v>84</v>
      </c>
      <c r="K223" s="99" t="s">
        <v>85</v>
      </c>
      <c r="L223" s="100"/>
      <c r="M223" s="101" t="s">
        <v>70</v>
      </c>
      <c r="N223" s="98" t="s">
        <v>83</v>
      </c>
      <c r="O223" s="98" t="s">
        <v>84</v>
      </c>
      <c r="P223" s="99" t="s">
        <v>85</v>
      </c>
      <c r="Q223" s="386"/>
      <c r="R223" s="387"/>
      <c r="S223" s="102"/>
      <c r="T223" s="388"/>
      <c r="U223" s="389" t="s">
        <v>86</v>
      </c>
      <c r="V223" s="102"/>
    </row>
    <row r="224" spans="2:22">
      <c r="B224" s="103"/>
      <c r="C224" s="104"/>
      <c r="D224" s="104"/>
      <c r="E224" s="104"/>
      <c r="F224" s="105"/>
      <c r="G224" s="105"/>
      <c r="H224" s="103"/>
      <c r="I224" s="225"/>
      <c r="J224" s="225"/>
      <c r="K224" s="107"/>
      <c r="L224" s="108"/>
      <c r="M224" s="109"/>
      <c r="N224" s="104"/>
      <c r="O224" s="104"/>
      <c r="P224" s="107"/>
      <c r="Q224" s="390"/>
      <c r="R224" s="391"/>
      <c r="S224" s="227"/>
      <c r="T224" s="392"/>
      <c r="U224" s="393"/>
      <c r="V224" s="229"/>
    </row>
    <row r="225" spans="2:22" ht="29">
      <c r="B225" s="178">
        <v>1</v>
      </c>
      <c r="C225" s="265" t="s">
        <v>509</v>
      </c>
      <c r="D225" s="257" t="s">
        <v>510</v>
      </c>
      <c r="E225" s="146" t="s">
        <v>511</v>
      </c>
      <c r="F225" s="146"/>
      <c r="G225" s="148"/>
      <c r="H225" s="149">
        <v>1</v>
      </c>
      <c r="I225" s="258">
        <v>9.1910000000000007</v>
      </c>
      <c r="J225">
        <v>1.4</v>
      </c>
      <c r="K225" s="118">
        <f>H225*I225*J225</f>
        <v>12.8674</v>
      </c>
      <c r="L225" s="119"/>
      <c r="M225" s="403">
        <v>0</v>
      </c>
      <c r="N225" s="404">
        <v>0</v>
      </c>
      <c r="O225" s="404">
        <v>0</v>
      </c>
      <c r="P225" s="122">
        <v>0</v>
      </c>
      <c r="Q225" s="324">
        <f>K225-P225</f>
        <v>12.8674</v>
      </c>
      <c r="R225" s="230">
        <v>1</v>
      </c>
      <c r="S225" s="327">
        <f>(Q225)*R225</f>
        <v>12.8674</v>
      </c>
      <c r="T225" s="447">
        <v>12.8674</v>
      </c>
      <c r="U225" s="448">
        <f>S225-T225</f>
        <v>0</v>
      </c>
      <c r="V225" s="232"/>
    </row>
    <row r="226" spans="2:22">
      <c r="B226" s="115"/>
      <c r="C226" s="150" t="s">
        <v>512</v>
      </c>
      <c r="D226" s="111"/>
      <c r="E226" s="146"/>
      <c r="F226" s="147"/>
      <c r="G226" s="148"/>
      <c r="H226" s="149"/>
      <c r="I226" s="151"/>
      <c r="J226" s="116"/>
      <c r="K226" s="118"/>
      <c r="L226" s="119"/>
      <c r="M226" s="120"/>
      <c r="N226" s="121"/>
      <c r="O226" s="121"/>
      <c r="P226" s="122"/>
      <c r="Q226" s="364"/>
      <c r="R226" s="361"/>
      <c r="S226" s="231"/>
      <c r="T226" s="362"/>
      <c r="U226" s="363"/>
      <c r="V226" s="232"/>
    </row>
    <row r="227" spans="2:22">
      <c r="B227" s="115"/>
      <c r="C227" s="152"/>
      <c r="D227" s="123"/>
      <c r="E227" s="112"/>
      <c r="F227" s="113"/>
      <c r="G227" s="114"/>
      <c r="H227" s="115"/>
      <c r="I227" s="116"/>
      <c r="J227" s="117"/>
      <c r="K227" s="118"/>
      <c r="L227" s="119"/>
      <c r="M227" s="120"/>
      <c r="N227" s="117"/>
      <c r="O227" s="117"/>
      <c r="P227" s="122"/>
      <c r="Q227" s="366"/>
      <c r="R227" s="365"/>
      <c r="S227" s="231"/>
      <c r="T227" s="362"/>
      <c r="U227" s="363"/>
      <c r="V227" s="232"/>
    </row>
    <row r="228" spans="2:22">
      <c r="B228" s="115"/>
      <c r="C228" s="150"/>
      <c r="D228" s="111"/>
      <c r="E228" s="112"/>
      <c r="F228" s="234"/>
      <c r="G228" s="114"/>
      <c r="H228" s="115"/>
      <c r="I228" s="116"/>
      <c r="J228" s="117"/>
      <c r="K228" s="118"/>
      <c r="L228" s="119"/>
      <c r="M228" s="120"/>
      <c r="N228" s="117"/>
      <c r="O228" s="117"/>
      <c r="P228" s="209"/>
      <c r="Q228" s="366"/>
      <c r="R228" s="361"/>
      <c r="S228" s="231"/>
      <c r="T228" s="362"/>
      <c r="U228" s="363"/>
      <c r="V228" s="232"/>
    </row>
    <row r="229" spans="2:22">
      <c r="B229" s="115"/>
      <c r="C229" s="150"/>
      <c r="D229" s="111"/>
      <c r="E229" s="111"/>
      <c r="F229" s="113"/>
      <c r="G229" s="114"/>
      <c r="H229" s="115"/>
      <c r="I229" s="116"/>
      <c r="J229" s="117"/>
      <c r="K229" s="118"/>
      <c r="L229" s="119"/>
      <c r="M229" s="120"/>
      <c r="N229" s="121"/>
      <c r="O229" s="121"/>
      <c r="P229" s="122"/>
      <c r="Q229" s="366"/>
      <c r="R229" s="365"/>
      <c r="S229" s="231"/>
      <c r="T229" s="362"/>
      <c r="U229" s="363"/>
      <c r="V229" s="232"/>
    </row>
    <row r="230" spans="2:22">
      <c r="B230" s="115"/>
      <c r="C230" s="150"/>
      <c r="D230" s="111"/>
      <c r="E230" s="111"/>
      <c r="F230" s="113"/>
      <c r="G230" s="114"/>
      <c r="H230" s="115"/>
      <c r="I230" s="116"/>
      <c r="J230" s="117"/>
      <c r="K230" s="118"/>
      <c r="L230" s="119"/>
      <c r="M230" s="120"/>
      <c r="N230" s="121"/>
      <c r="O230" s="121"/>
      <c r="P230" s="122"/>
      <c r="Q230" s="366"/>
      <c r="R230" s="365"/>
      <c r="S230" s="231"/>
      <c r="T230" s="362"/>
      <c r="U230" s="363"/>
      <c r="V230" s="232"/>
    </row>
    <row r="231" spans="2:22">
      <c r="B231" s="115"/>
      <c r="C231" s="150"/>
      <c r="D231" s="111"/>
      <c r="E231" s="112"/>
      <c r="F231" s="113"/>
      <c r="G231" s="114"/>
      <c r="H231" s="115"/>
      <c r="I231" s="116"/>
      <c r="J231" s="117"/>
      <c r="K231" s="118"/>
      <c r="L231" s="119"/>
      <c r="M231" s="120"/>
      <c r="N231" s="121"/>
      <c r="O231" s="121"/>
      <c r="P231" s="122"/>
      <c r="Q231" s="366"/>
      <c r="R231" s="365"/>
      <c r="S231" s="231"/>
      <c r="T231" s="362"/>
      <c r="U231" s="363"/>
      <c r="V231" s="232"/>
    </row>
    <row r="232" spans="2:22">
      <c r="B232" s="115"/>
      <c r="C232" s="150"/>
      <c r="D232" s="111"/>
      <c r="E232" s="111"/>
      <c r="F232" s="113"/>
      <c r="G232" s="114"/>
      <c r="H232" s="115"/>
      <c r="I232" s="116"/>
      <c r="J232" s="117"/>
      <c r="K232" s="118"/>
      <c r="L232" s="119"/>
      <c r="M232" s="120"/>
      <c r="N232" s="121"/>
      <c r="O232" s="121"/>
      <c r="P232" s="122"/>
      <c r="Q232" s="366"/>
      <c r="R232" s="365"/>
      <c r="S232" s="231"/>
      <c r="T232" s="362"/>
      <c r="U232" s="363"/>
      <c r="V232" s="232"/>
    </row>
    <row r="233" spans="2:22">
      <c r="B233" s="115"/>
      <c r="C233" s="150"/>
      <c r="D233" s="123"/>
      <c r="E233" s="111"/>
      <c r="F233" s="113"/>
      <c r="G233" s="114"/>
      <c r="H233" s="115"/>
      <c r="I233" s="116"/>
      <c r="J233" s="117"/>
      <c r="K233" s="118"/>
      <c r="L233" s="119"/>
      <c r="M233" s="120"/>
      <c r="N233" s="121"/>
      <c r="O233" s="121"/>
      <c r="P233" s="122"/>
      <c r="Q233" s="366"/>
      <c r="R233" s="365"/>
      <c r="S233" s="231"/>
      <c r="T233" s="362"/>
      <c r="U233" s="363"/>
      <c r="V233" s="232"/>
    </row>
    <row r="234" spans="2:22">
      <c r="B234" s="149"/>
      <c r="C234" s="153"/>
      <c r="D234" s="111"/>
      <c r="E234" s="146"/>
      <c r="F234" s="113"/>
      <c r="G234" s="148"/>
      <c r="H234" s="149"/>
      <c r="I234" s="151"/>
      <c r="J234" s="117"/>
      <c r="K234" s="118"/>
      <c r="L234" s="154"/>
      <c r="M234" s="120"/>
      <c r="N234" s="121"/>
      <c r="O234" s="121"/>
      <c r="P234" s="122"/>
      <c r="Q234" s="366"/>
      <c r="R234" s="365"/>
      <c r="S234" s="231"/>
      <c r="T234" s="362"/>
      <c r="U234" s="363"/>
      <c r="V234" s="232"/>
    </row>
    <row r="235" spans="2:22">
      <c r="B235" s="149"/>
      <c r="C235" s="150"/>
      <c r="D235" s="146"/>
      <c r="E235" s="146"/>
      <c r="F235" s="147"/>
      <c r="G235" s="148"/>
      <c r="H235" s="149"/>
      <c r="I235" s="151"/>
      <c r="J235" s="116"/>
      <c r="K235" s="118"/>
      <c r="L235" s="155"/>
      <c r="M235" s="120"/>
      <c r="N235" s="121"/>
      <c r="O235" s="121"/>
      <c r="P235" s="122"/>
      <c r="Q235" s="366"/>
      <c r="R235" s="365"/>
      <c r="S235" s="231"/>
      <c r="T235" s="362"/>
      <c r="U235" s="363"/>
      <c r="V235" s="232"/>
    </row>
    <row r="236" spans="2:22">
      <c r="B236" s="115"/>
      <c r="C236" s="150"/>
      <c r="D236" s="111"/>
      <c r="E236" s="112"/>
      <c r="F236" s="113"/>
      <c r="G236" s="114"/>
      <c r="H236" s="115"/>
      <c r="I236" s="116"/>
      <c r="J236" s="117"/>
      <c r="K236" s="118"/>
      <c r="L236" s="119"/>
      <c r="M236" s="120"/>
      <c r="N236" s="121"/>
      <c r="O236" s="121"/>
      <c r="P236" s="122"/>
      <c r="Q236" s="366"/>
      <c r="R236" s="365"/>
      <c r="S236" s="231"/>
      <c r="T236" s="362"/>
      <c r="U236" s="363"/>
      <c r="V236" s="232"/>
    </row>
    <row r="237" spans="2:22">
      <c r="B237" s="149"/>
      <c r="C237" s="153"/>
      <c r="D237" s="111"/>
      <c r="E237" s="156"/>
      <c r="F237" s="113"/>
      <c r="G237" s="148"/>
      <c r="H237" s="149"/>
      <c r="I237" s="151"/>
      <c r="J237" s="116"/>
      <c r="K237" s="157"/>
      <c r="L237" s="155"/>
      <c r="M237" s="158"/>
      <c r="N237" s="159"/>
      <c r="O237" s="159"/>
      <c r="P237" s="160"/>
      <c r="Q237" s="366"/>
      <c r="R237" s="365"/>
      <c r="S237" s="231"/>
      <c r="T237" s="362"/>
      <c r="U237" s="363"/>
      <c r="V237" s="232"/>
    </row>
    <row r="238" spans="2:22">
      <c r="B238" s="149"/>
      <c r="C238" s="150"/>
      <c r="D238" s="146"/>
      <c r="E238" s="156"/>
      <c r="F238" s="147"/>
      <c r="G238" s="148"/>
      <c r="H238" s="149"/>
      <c r="I238" s="151"/>
      <c r="J238" s="161"/>
      <c r="K238" s="162"/>
      <c r="M238" s="163"/>
      <c r="N238" s="164"/>
      <c r="O238" s="164"/>
      <c r="P238" s="165"/>
      <c r="Q238" s="394"/>
      <c r="R238" s="395"/>
      <c r="S238" s="236"/>
      <c r="T238" s="396"/>
      <c r="U238" s="397"/>
      <c r="V238" s="237"/>
    </row>
    <row r="239" spans="2:22" ht="15" thickBot="1">
      <c r="B239" s="129"/>
      <c r="C239" s="238"/>
      <c r="D239" s="126"/>
      <c r="E239" s="126"/>
      <c r="F239" s="127"/>
      <c r="G239" s="128"/>
      <c r="H239" s="129"/>
      <c r="I239" s="130"/>
      <c r="J239" s="130"/>
      <c r="K239" s="131"/>
      <c r="L239" s="132"/>
      <c r="M239" s="133"/>
      <c r="N239" s="134"/>
      <c r="O239" s="134"/>
      <c r="P239" s="135"/>
      <c r="Q239" s="398"/>
      <c r="R239" s="399"/>
      <c r="S239" s="197"/>
      <c r="T239" s="400"/>
      <c r="U239" s="401"/>
      <c r="V239" s="241"/>
    </row>
    <row r="240" spans="2:22">
      <c r="K240" s="136"/>
      <c r="N240" s="136"/>
      <c r="O240" s="136"/>
      <c r="P240" s="136" t="s">
        <v>37</v>
      </c>
      <c r="Q240" s="137">
        <f>SUM(Q221:Q239)</f>
        <v>12.8674</v>
      </c>
      <c r="R240" s="137"/>
      <c r="S240" s="137">
        <f>SUM(S221:S239)</f>
        <v>12.8674</v>
      </c>
      <c r="T240" s="137">
        <f>SUM(T221:T239)</f>
        <v>12.8674</v>
      </c>
      <c r="U240" s="137">
        <f>SUM(U221:U239)</f>
        <v>0</v>
      </c>
    </row>
    <row r="242" spans="2:22" ht="15" thickBot="1">
      <c r="B242" s="220" t="s">
        <v>513</v>
      </c>
      <c r="P242" s="221"/>
      <c r="Q242" s="379"/>
      <c r="R242" s="87"/>
      <c r="S242" s="87"/>
      <c r="T242" s="380" t="s">
        <v>482</v>
      </c>
      <c r="U242" s="381" t="s">
        <v>508</v>
      </c>
    </row>
    <row r="243" spans="2:22" ht="52.5" thickBot="1">
      <c r="B243" s="91" t="s">
        <v>70</v>
      </c>
      <c r="C243" s="92" t="s">
        <v>71</v>
      </c>
      <c r="D243" s="92" t="s">
        <v>217</v>
      </c>
      <c r="E243" s="91" t="s">
        <v>73</v>
      </c>
      <c r="F243" s="91" t="s">
        <v>74</v>
      </c>
      <c r="G243" s="91" t="s">
        <v>75</v>
      </c>
      <c r="H243" s="557" t="s">
        <v>76</v>
      </c>
      <c r="I243" s="558"/>
      <c r="J243" s="558"/>
      <c r="K243" s="559"/>
      <c r="L243" s="93" t="s">
        <v>77</v>
      </c>
      <c r="M243" s="557" t="s">
        <v>78</v>
      </c>
      <c r="N243" s="558"/>
      <c r="O243" s="558"/>
      <c r="P243" s="559"/>
      <c r="Q243" s="382" t="s">
        <v>79</v>
      </c>
      <c r="R243" s="383" t="s">
        <v>115</v>
      </c>
      <c r="S243" s="91" t="s">
        <v>116</v>
      </c>
      <c r="T243" s="384" t="s">
        <v>117</v>
      </c>
      <c r="U243" s="385" t="s">
        <v>118</v>
      </c>
      <c r="V243" s="91" t="s">
        <v>176</v>
      </c>
    </row>
    <row r="244" spans="2:22" ht="15" thickBot="1">
      <c r="B244" s="223" t="s">
        <v>380</v>
      </c>
      <c r="C244" s="95"/>
      <c r="D244" s="95"/>
      <c r="E244" s="95"/>
      <c r="F244" s="95"/>
      <c r="G244" s="96"/>
      <c r="H244" s="97" t="s">
        <v>70</v>
      </c>
      <c r="I244" s="98" t="s">
        <v>83</v>
      </c>
      <c r="J244" s="98" t="s">
        <v>84</v>
      </c>
      <c r="K244" s="99" t="s">
        <v>85</v>
      </c>
      <c r="L244" s="100"/>
      <c r="M244" s="101" t="s">
        <v>70</v>
      </c>
      <c r="N244" s="98" t="s">
        <v>83</v>
      </c>
      <c r="O244" s="98" t="s">
        <v>84</v>
      </c>
      <c r="P244" s="99" t="s">
        <v>85</v>
      </c>
      <c r="Q244" s="386"/>
      <c r="R244" s="387"/>
      <c r="S244" s="102"/>
      <c r="T244" s="388"/>
      <c r="U244" s="389" t="s">
        <v>86</v>
      </c>
      <c r="V244" s="102"/>
    </row>
    <row r="245" spans="2:22">
      <c r="B245" s="103"/>
      <c r="C245" s="104"/>
      <c r="D245" s="104"/>
      <c r="E245" s="104"/>
      <c r="F245" s="105"/>
      <c r="G245" s="105"/>
      <c r="H245" s="103"/>
      <c r="I245" s="225"/>
      <c r="J245" s="225"/>
      <c r="K245" s="107"/>
      <c r="L245" s="108"/>
      <c r="M245" s="109"/>
      <c r="N245" s="104"/>
      <c r="O245" s="104"/>
      <c r="P245" s="107"/>
      <c r="Q245" s="390"/>
      <c r="R245" s="391"/>
      <c r="S245" s="227"/>
      <c r="T245" s="392"/>
      <c r="U245" s="393"/>
      <c r="V245" s="229"/>
    </row>
    <row r="246" spans="2:22" ht="29">
      <c r="B246" s="178">
        <v>1</v>
      </c>
      <c r="C246" s="265" t="s">
        <v>514</v>
      </c>
      <c r="D246" s="257" t="s">
        <v>510</v>
      </c>
      <c r="E246" s="146" t="s">
        <v>515</v>
      </c>
      <c r="F246" s="146"/>
      <c r="G246" s="148"/>
      <c r="H246" s="149">
        <v>1</v>
      </c>
      <c r="I246" s="258">
        <v>17.173999999999999</v>
      </c>
      <c r="J246">
        <v>1.4</v>
      </c>
      <c r="K246" s="118">
        <f>H246*I246*J246</f>
        <v>24.043599999999998</v>
      </c>
      <c r="L246" s="119"/>
      <c r="M246" s="403">
        <v>0</v>
      </c>
      <c r="N246" s="404">
        <v>0</v>
      </c>
      <c r="O246" s="404">
        <v>0</v>
      </c>
      <c r="P246" s="122">
        <v>0</v>
      </c>
      <c r="Q246" s="324">
        <f>K246+K247-P246</f>
        <v>41.179000000000002</v>
      </c>
      <c r="R246" s="486">
        <v>1</v>
      </c>
      <c r="S246" s="327">
        <f>(Q246)*R246</f>
        <v>41.179000000000002</v>
      </c>
      <c r="T246" s="447">
        <v>39.120049999999999</v>
      </c>
      <c r="U246" s="448">
        <f>S246-T246</f>
        <v>2.0589500000000029</v>
      </c>
      <c r="V246" s="232"/>
    </row>
    <row r="247" spans="2:22">
      <c r="B247" s="115"/>
      <c r="C247" s="150" t="s">
        <v>554</v>
      </c>
      <c r="D247" s="111"/>
      <c r="E247" s="146"/>
      <c r="F247" s="147"/>
      <c r="G247" s="148"/>
      <c r="H247" s="149">
        <v>1</v>
      </c>
      <c r="I247" s="151">
        <v>85.677000000000007</v>
      </c>
      <c r="J247" s="116">
        <v>0.2</v>
      </c>
      <c r="K247" s="118">
        <f t="shared" ref="K247" si="9">H247*I247*J247</f>
        <v>17.135400000000001</v>
      </c>
      <c r="L247" s="119"/>
      <c r="M247" s="403"/>
      <c r="N247" s="404"/>
      <c r="O247" s="404"/>
      <c r="P247" s="122"/>
      <c r="Q247" s="364"/>
      <c r="R247" s="361"/>
      <c r="S247" s="231"/>
      <c r="T247" s="362"/>
      <c r="U247" s="363"/>
      <c r="V247" s="232"/>
    </row>
    <row r="248" spans="2:22">
      <c r="B248" s="115"/>
      <c r="C248" s="152"/>
      <c r="D248" s="123"/>
      <c r="E248" s="112"/>
      <c r="F248" s="113"/>
      <c r="G248" s="114"/>
      <c r="H248" s="115"/>
      <c r="I248" s="116"/>
      <c r="J248" s="117"/>
      <c r="K248" s="118"/>
      <c r="L248" s="119"/>
      <c r="M248" s="120"/>
      <c r="N248" s="117"/>
      <c r="O248" s="117"/>
      <c r="P248" s="122"/>
      <c r="Q248" s="366"/>
      <c r="R248" s="365"/>
      <c r="S248" s="231"/>
      <c r="T248" s="362"/>
      <c r="U248" s="363"/>
      <c r="V248" s="232"/>
    </row>
    <row r="249" spans="2:22">
      <c r="B249" s="115"/>
      <c r="C249" s="150"/>
      <c r="D249" s="111"/>
      <c r="E249" s="112"/>
      <c r="F249" s="234"/>
      <c r="G249" s="114"/>
      <c r="H249" s="115"/>
      <c r="I249" s="116"/>
      <c r="J249" s="117"/>
      <c r="K249" s="118"/>
      <c r="L249" s="119"/>
      <c r="M249" s="120"/>
      <c r="N249" s="117"/>
      <c r="O249" s="117"/>
      <c r="P249" s="209"/>
      <c r="Q249" s="366"/>
      <c r="R249" s="361"/>
      <c r="S249" s="231"/>
      <c r="T249" s="362"/>
      <c r="U249" s="363"/>
      <c r="V249" s="232"/>
    </row>
    <row r="250" spans="2:22">
      <c r="B250" s="115"/>
      <c r="C250" s="150"/>
      <c r="D250" s="111"/>
      <c r="E250" s="111"/>
      <c r="F250" s="113"/>
      <c r="G250" s="114"/>
      <c r="H250" s="115"/>
      <c r="I250" s="116"/>
      <c r="J250" s="117"/>
      <c r="K250" s="118"/>
      <c r="L250" s="119"/>
      <c r="M250" s="120"/>
      <c r="N250" s="121"/>
      <c r="O250" s="121"/>
      <c r="P250" s="122"/>
      <c r="Q250" s="366"/>
      <c r="R250" s="365"/>
      <c r="S250" s="231"/>
      <c r="T250" s="362"/>
      <c r="U250" s="363"/>
      <c r="V250" s="232"/>
    </row>
    <row r="251" spans="2:22">
      <c r="B251" s="115"/>
      <c r="C251" s="150"/>
      <c r="D251" s="111"/>
      <c r="E251" s="111"/>
      <c r="F251" s="113"/>
      <c r="G251" s="114"/>
      <c r="H251" s="115"/>
      <c r="I251" s="116"/>
      <c r="J251" s="117"/>
      <c r="K251" s="118"/>
      <c r="L251" s="119"/>
      <c r="M251" s="120"/>
      <c r="N251" s="121"/>
      <c r="O251" s="121"/>
      <c r="P251" s="122"/>
      <c r="Q251" s="366"/>
      <c r="R251" s="365"/>
      <c r="S251" s="231"/>
      <c r="T251" s="362"/>
      <c r="U251" s="363"/>
      <c r="V251" s="232"/>
    </row>
    <row r="252" spans="2:22">
      <c r="B252" s="115"/>
      <c r="C252" s="150"/>
      <c r="D252" s="111"/>
      <c r="E252" s="112"/>
      <c r="F252" s="113"/>
      <c r="G252" s="114"/>
      <c r="H252" s="115"/>
      <c r="I252" s="116"/>
      <c r="J252" s="117"/>
      <c r="K252" s="118"/>
      <c r="L252" s="119"/>
      <c r="M252" s="120"/>
      <c r="N252" s="121"/>
      <c r="O252" s="121"/>
      <c r="P252" s="122"/>
      <c r="Q252" s="366"/>
      <c r="R252" s="365"/>
      <c r="S252" s="231"/>
      <c r="T252" s="362"/>
      <c r="U252" s="363"/>
      <c r="V252" s="232"/>
    </row>
    <row r="253" spans="2:22">
      <c r="B253" s="115"/>
      <c r="C253" s="150"/>
      <c r="D253" s="111"/>
      <c r="E253" s="111"/>
      <c r="F253" s="113"/>
      <c r="G253" s="114"/>
      <c r="H253" s="115"/>
      <c r="I253" s="116"/>
      <c r="J253" s="117"/>
      <c r="K253" s="118"/>
      <c r="L253" s="119"/>
      <c r="M253" s="120"/>
      <c r="N253" s="121"/>
      <c r="O253" s="121"/>
      <c r="P253" s="122"/>
      <c r="Q253" s="366"/>
      <c r="R253" s="365"/>
      <c r="S253" s="231"/>
      <c r="T253" s="362"/>
      <c r="U253" s="363"/>
      <c r="V253" s="232"/>
    </row>
    <row r="254" spans="2:22">
      <c r="B254" s="115"/>
      <c r="C254" s="150"/>
      <c r="D254" s="123"/>
      <c r="E254" s="111"/>
      <c r="F254" s="113"/>
      <c r="G254" s="114"/>
      <c r="H254" s="115"/>
      <c r="I254" s="116"/>
      <c r="J254" s="117"/>
      <c r="K254" s="118"/>
      <c r="L254" s="119"/>
      <c r="M254" s="120"/>
      <c r="N254" s="121"/>
      <c r="O254" s="121"/>
      <c r="P254" s="122"/>
      <c r="Q254" s="366"/>
      <c r="R254" s="365"/>
      <c r="S254" s="231"/>
      <c r="T254" s="362"/>
      <c r="U254" s="363"/>
      <c r="V254" s="232"/>
    </row>
    <row r="255" spans="2:22">
      <c r="B255" s="149"/>
      <c r="C255" s="153"/>
      <c r="D255" s="111"/>
      <c r="E255" s="146"/>
      <c r="F255" s="113"/>
      <c r="G255" s="148"/>
      <c r="H255" s="149"/>
      <c r="I255" s="151"/>
      <c r="J255" s="117"/>
      <c r="K255" s="118"/>
      <c r="L255" s="154"/>
      <c r="M255" s="120"/>
      <c r="N255" s="121"/>
      <c r="O255" s="121"/>
      <c r="P255" s="122"/>
      <c r="Q255" s="366"/>
      <c r="R255" s="365"/>
      <c r="S255" s="231"/>
      <c r="T255" s="362"/>
      <c r="U255" s="363"/>
      <c r="V255" s="232"/>
    </row>
    <row r="256" spans="2:22">
      <c r="B256" s="149"/>
      <c r="C256" s="150"/>
      <c r="D256" s="146"/>
      <c r="E256" s="146"/>
      <c r="F256" s="147"/>
      <c r="G256" s="148"/>
      <c r="H256" s="149"/>
      <c r="I256" s="151"/>
      <c r="J256" s="116"/>
      <c r="K256" s="118"/>
      <c r="L256" s="155"/>
      <c r="M256" s="120"/>
      <c r="N256" s="121"/>
      <c r="O256" s="121"/>
      <c r="P256" s="122"/>
      <c r="Q256" s="366"/>
      <c r="R256" s="365"/>
      <c r="S256" s="231"/>
      <c r="T256" s="362"/>
      <c r="U256" s="363"/>
      <c r="V256" s="232"/>
    </row>
    <row r="257" spans="2:22">
      <c r="B257" s="115"/>
      <c r="C257" s="150"/>
      <c r="D257" s="111"/>
      <c r="E257" s="112"/>
      <c r="F257" s="113"/>
      <c r="G257" s="114"/>
      <c r="H257" s="115"/>
      <c r="I257" s="116"/>
      <c r="J257" s="117"/>
      <c r="K257" s="118"/>
      <c r="L257" s="119"/>
      <c r="M257" s="120"/>
      <c r="N257" s="121"/>
      <c r="O257" s="121"/>
      <c r="P257" s="122"/>
      <c r="Q257" s="366"/>
      <c r="R257" s="365"/>
      <c r="S257" s="231"/>
      <c r="T257" s="362"/>
      <c r="U257" s="363"/>
      <c r="V257" s="232"/>
    </row>
    <row r="258" spans="2:22">
      <c r="B258" s="149"/>
      <c r="C258" s="153"/>
      <c r="D258" s="111"/>
      <c r="E258" s="156"/>
      <c r="F258" s="113"/>
      <c r="G258" s="148"/>
      <c r="H258" s="149"/>
      <c r="I258" s="151"/>
      <c r="J258" s="116"/>
      <c r="K258" s="157"/>
      <c r="L258" s="155"/>
      <c r="M258" s="158"/>
      <c r="N258" s="159"/>
      <c r="O258" s="159"/>
      <c r="P258" s="160"/>
      <c r="Q258" s="366"/>
      <c r="R258" s="365"/>
      <c r="S258" s="231"/>
      <c r="T258" s="362"/>
      <c r="U258" s="363"/>
      <c r="V258" s="232"/>
    </row>
    <row r="259" spans="2:22">
      <c r="B259" s="149"/>
      <c r="C259" s="150"/>
      <c r="D259" s="146"/>
      <c r="E259" s="156"/>
      <c r="F259" s="147"/>
      <c r="G259" s="148"/>
      <c r="H259" s="149"/>
      <c r="I259" s="151"/>
      <c r="J259" s="161"/>
      <c r="K259" s="162"/>
      <c r="M259" s="163"/>
      <c r="N259" s="164"/>
      <c r="O259" s="164"/>
      <c r="P259" s="165"/>
      <c r="Q259" s="394"/>
      <c r="R259" s="395"/>
      <c r="S259" s="236"/>
      <c r="T259" s="396"/>
      <c r="U259" s="397"/>
      <c r="V259" s="237"/>
    </row>
    <row r="260" spans="2:22" ht="15" thickBot="1">
      <c r="B260" s="129"/>
      <c r="C260" s="238"/>
      <c r="D260" s="126"/>
      <c r="E260" s="126"/>
      <c r="F260" s="127"/>
      <c r="G260" s="128"/>
      <c r="H260" s="129"/>
      <c r="I260" s="130"/>
      <c r="J260" s="130"/>
      <c r="K260" s="131"/>
      <c r="L260" s="132"/>
      <c r="M260" s="133"/>
      <c r="N260" s="134"/>
      <c r="O260" s="134"/>
      <c r="P260" s="135"/>
      <c r="Q260" s="398"/>
      <c r="R260" s="399"/>
      <c r="S260" s="197"/>
      <c r="T260" s="400"/>
      <c r="U260" s="401"/>
      <c r="V260" s="241"/>
    </row>
    <row r="261" spans="2:22">
      <c r="K261" s="136"/>
      <c r="N261" s="136"/>
      <c r="O261" s="136"/>
      <c r="P261" s="136" t="s">
        <v>37</v>
      </c>
      <c r="Q261" s="137">
        <f>SUM(Q242:Q260)</f>
        <v>41.179000000000002</v>
      </c>
      <c r="R261" s="137"/>
      <c r="S261" s="137">
        <f>SUM(S242:S260)</f>
        <v>41.179000000000002</v>
      </c>
      <c r="T261" s="137">
        <f>SUM(T242:T260)</f>
        <v>39.120049999999999</v>
      </c>
      <c r="U261" s="137">
        <f>SUM(U242:U260)</f>
        <v>2.0589500000000029</v>
      </c>
    </row>
    <row r="262" spans="2:22" ht="15" thickBot="1">
      <c r="B262" s="220" t="s">
        <v>516</v>
      </c>
      <c r="P262" s="221"/>
      <c r="Q262" s="379"/>
      <c r="R262" s="87"/>
      <c r="S262" s="87"/>
      <c r="T262" s="380" t="s">
        <v>482</v>
      </c>
      <c r="U262" s="381" t="s">
        <v>508</v>
      </c>
    </row>
    <row r="263" spans="2:22" ht="52.5" thickBot="1">
      <c r="B263" s="91" t="s">
        <v>70</v>
      </c>
      <c r="C263" s="92" t="s">
        <v>71</v>
      </c>
      <c r="D263" s="92" t="s">
        <v>217</v>
      </c>
      <c r="E263" s="91" t="s">
        <v>73</v>
      </c>
      <c r="F263" s="91" t="s">
        <v>74</v>
      </c>
      <c r="G263" s="91" t="s">
        <v>75</v>
      </c>
      <c r="H263" s="557" t="s">
        <v>76</v>
      </c>
      <c r="I263" s="558"/>
      <c r="J263" s="558"/>
      <c r="K263" s="559"/>
      <c r="L263" s="93" t="s">
        <v>77</v>
      </c>
      <c r="M263" s="557" t="s">
        <v>78</v>
      </c>
      <c r="N263" s="558"/>
      <c r="O263" s="558"/>
      <c r="P263" s="559"/>
      <c r="Q263" s="382" t="s">
        <v>79</v>
      </c>
      <c r="R263" s="383" t="s">
        <v>115</v>
      </c>
      <c r="S263" s="91" t="s">
        <v>116</v>
      </c>
      <c r="T263" s="384" t="s">
        <v>117</v>
      </c>
      <c r="U263" s="385" t="s">
        <v>118</v>
      </c>
      <c r="V263" s="91" t="s">
        <v>176</v>
      </c>
    </row>
    <row r="264" spans="2:22" ht="15" thickBot="1">
      <c r="B264" s="223" t="s">
        <v>380</v>
      </c>
      <c r="C264" s="95"/>
      <c r="D264" s="95"/>
      <c r="E264" s="95"/>
      <c r="F264" s="95"/>
      <c r="G264" s="96"/>
      <c r="H264" s="97" t="s">
        <v>70</v>
      </c>
      <c r="I264" s="98" t="s">
        <v>83</v>
      </c>
      <c r="J264" s="98" t="s">
        <v>84</v>
      </c>
      <c r="K264" s="99" t="s">
        <v>85</v>
      </c>
      <c r="L264" s="100"/>
      <c r="M264" s="101" t="s">
        <v>70</v>
      </c>
      <c r="N264" s="98" t="s">
        <v>83</v>
      </c>
      <c r="O264" s="98" t="s">
        <v>84</v>
      </c>
      <c r="P264" s="99" t="s">
        <v>85</v>
      </c>
      <c r="Q264" s="386"/>
      <c r="R264" s="387"/>
      <c r="S264" s="102"/>
      <c r="T264" s="388"/>
      <c r="U264" s="389" t="s">
        <v>86</v>
      </c>
      <c r="V264" s="102"/>
    </row>
    <row r="265" spans="2:22">
      <c r="B265" s="103"/>
      <c r="C265" s="104"/>
      <c r="D265" s="104"/>
      <c r="E265" s="104"/>
      <c r="F265" s="105"/>
      <c r="G265" s="105"/>
      <c r="H265" s="103"/>
      <c r="I265" s="225"/>
      <c r="J265" s="225"/>
      <c r="K265" s="107"/>
      <c r="L265" s="108"/>
      <c r="M265" s="109"/>
      <c r="N265" s="104"/>
      <c r="O265" s="104"/>
      <c r="P265" s="107"/>
      <c r="Q265" s="390"/>
      <c r="R265" s="391"/>
      <c r="S265" s="227"/>
      <c r="T265" s="392"/>
      <c r="U265" s="393"/>
      <c r="V265" s="229"/>
    </row>
    <row r="266" spans="2:22" ht="29">
      <c r="B266" s="178">
        <v>1</v>
      </c>
      <c r="C266" s="265" t="s">
        <v>517</v>
      </c>
      <c r="D266" s="257" t="s">
        <v>518</v>
      </c>
      <c r="E266" s="146" t="s">
        <v>519</v>
      </c>
      <c r="F266" s="146"/>
      <c r="G266" s="148"/>
      <c r="H266" s="149">
        <v>1</v>
      </c>
      <c r="I266" s="258">
        <v>16.7</v>
      </c>
      <c r="J266">
        <v>0.92600000000000005</v>
      </c>
      <c r="K266" s="118">
        <f>H266*I266*J266</f>
        <v>15.4642</v>
      </c>
      <c r="L266" s="119"/>
      <c r="M266" s="403">
        <v>0</v>
      </c>
      <c r="N266" s="404">
        <v>0</v>
      </c>
      <c r="O266" s="404">
        <v>0</v>
      </c>
      <c r="P266" s="122">
        <v>0</v>
      </c>
      <c r="Q266" s="324">
        <f>K266-P266</f>
        <v>15.4642</v>
      </c>
      <c r="R266" s="230">
        <v>1</v>
      </c>
      <c r="S266" s="327">
        <f>(Q266)*R266</f>
        <v>15.4642</v>
      </c>
      <c r="T266" s="447">
        <v>15.4642</v>
      </c>
      <c r="U266" s="448">
        <f>S266-T266</f>
        <v>0</v>
      </c>
      <c r="V266" s="232"/>
    </row>
    <row r="267" spans="2:22">
      <c r="B267" s="115"/>
      <c r="C267" s="150" t="s">
        <v>520</v>
      </c>
      <c r="D267" s="111"/>
      <c r="E267" s="146"/>
      <c r="F267" s="147"/>
      <c r="G267" s="148"/>
      <c r="H267" s="149"/>
      <c r="I267" s="151"/>
      <c r="J267" s="116"/>
      <c r="K267" s="118"/>
      <c r="L267" s="119"/>
      <c r="M267" s="120"/>
      <c r="N267" s="121"/>
      <c r="O267" s="121"/>
      <c r="P267" s="122"/>
      <c r="Q267" s="364"/>
      <c r="R267" s="361"/>
      <c r="S267" s="231"/>
      <c r="T267" s="362"/>
      <c r="U267" s="363"/>
      <c r="V267" s="232"/>
    </row>
    <row r="268" spans="2:22">
      <c r="B268" s="115"/>
      <c r="C268" s="152"/>
      <c r="D268" s="123"/>
      <c r="E268" s="112"/>
      <c r="F268" s="113"/>
      <c r="G268" s="114"/>
      <c r="H268" s="115"/>
      <c r="I268" s="116"/>
      <c r="J268" s="117"/>
      <c r="K268" s="118"/>
      <c r="L268" s="119"/>
      <c r="M268" s="120"/>
      <c r="N268" s="117"/>
      <c r="O268" s="117"/>
      <c r="P268" s="122"/>
      <c r="Q268" s="366"/>
      <c r="R268" s="365"/>
      <c r="S268" s="231"/>
      <c r="T268" s="362"/>
      <c r="U268" s="363"/>
      <c r="V268" s="232"/>
    </row>
    <row r="269" spans="2:22">
      <c r="B269" s="115"/>
      <c r="C269" s="150"/>
      <c r="D269" s="111"/>
      <c r="E269" s="112"/>
      <c r="F269" s="234"/>
      <c r="G269" s="114"/>
      <c r="H269" s="115"/>
      <c r="I269" s="116"/>
      <c r="J269" s="117"/>
      <c r="K269" s="118"/>
      <c r="L269" s="119"/>
      <c r="M269" s="120"/>
      <c r="N269" s="117"/>
      <c r="O269" s="117"/>
      <c r="P269" s="209"/>
      <c r="Q269" s="366"/>
      <c r="R269" s="361"/>
      <c r="S269" s="231"/>
      <c r="T269" s="362"/>
      <c r="U269" s="363"/>
      <c r="V269" s="232"/>
    </row>
    <row r="270" spans="2:22">
      <c r="B270" s="115"/>
      <c r="C270" s="150"/>
      <c r="D270" s="111"/>
      <c r="E270" s="111"/>
      <c r="F270" s="113"/>
      <c r="G270" s="114"/>
      <c r="H270" s="115"/>
      <c r="I270" s="116"/>
      <c r="J270" s="117"/>
      <c r="K270" s="118"/>
      <c r="L270" s="119"/>
      <c r="M270" s="120"/>
      <c r="N270" s="121"/>
      <c r="O270" s="121"/>
      <c r="P270" s="122"/>
      <c r="Q270" s="366"/>
      <c r="R270" s="365"/>
      <c r="S270" s="231"/>
      <c r="T270" s="362"/>
      <c r="U270" s="363"/>
      <c r="V270" s="232"/>
    </row>
    <row r="271" spans="2:22">
      <c r="B271" s="115"/>
      <c r="C271" s="150"/>
      <c r="D271" s="111"/>
      <c r="E271" s="111"/>
      <c r="F271" s="113"/>
      <c r="G271" s="114"/>
      <c r="H271" s="115"/>
      <c r="I271" s="116"/>
      <c r="J271" s="117"/>
      <c r="K271" s="118"/>
      <c r="L271" s="119"/>
      <c r="M271" s="120"/>
      <c r="N271" s="121"/>
      <c r="O271" s="121"/>
      <c r="P271" s="122"/>
      <c r="Q271" s="366"/>
      <c r="R271" s="365"/>
      <c r="S271" s="231"/>
      <c r="T271" s="362"/>
      <c r="U271" s="363"/>
      <c r="V271" s="232"/>
    </row>
    <row r="272" spans="2:22">
      <c r="B272" s="115"/>
      <c r="C272" s="150"/>
      <c r="D272" s="111"/>
      <c r="E272" s="112"/>
      <c r="F272" s="113"/>
      <c r="G272" s="114"/>
      <c r="H272" s="115"/>
      <c r="I272" s="116"/>
      <c r="J272" s="117"/>
      <c r="K272" s="118"/>
      <c r="L272" s="119"/>
      <c r="M272" s="120"/>
      <c r="N272" s="121"/>
      <c r="O272" s="121"/>
      <c r="P272" s="122"/>
      <c r="Q272" s="366"/>
      <c r="R272" s="365"/>
      <c r="S272" s="231"/>
      <c r="T272" s="362"/>
      <c r="U272" s="363"/>
      <c r="V272" s="232"/>
    </row>
    <row r="273" spans="2:22">
      <c r="B273" s="115"/>
      <c r="C273" s="150"/>
      <c r="D273" s="111"/>
      <c r="E273" s="111"/>
      <c r="F273" s="113"/>
      <c r="G273" s="114"/>
      <c r="H273" s="115"/>
      <c r="I273" s="116"/>
      <c r="J273" s="117"/>
      <c r="K273" s="118"/>
      <c r="L273" s="119"/>
      <c r="M273" s="120"/>
      <c r="N273" s="121"/>
      <c r="O273" s="121"/>
      <c r="P273" s="122"/>
      <c r="Q273" s="366"/>
      <c r="R273" s="365"/>
      <c r="S273" s="231"/>
      <c r="T273" s="362"/>
      <c r="U273" s="363"/>
      <c r="V273" s="232"/>
    </row>
    <row r="274" spans="2:22">
      <c r="B274" s="115"/>
      <c r="C274" s="150"/>
      <c r="D274" s="123"/>
      <c r="E274" s="111"/>
      <c r="F274" s="113"/>
      <c r="G274" s="114"/>
      <c r="H274" s="115"/>
      <c r="I274" s="116"/>
      <c r="J274" s="117"/>
      <c r="K274" s="118"/>
      <c r="L274" s="119"/>
      <c r="M274" s="120"/>
      <c r="N274" s="121"/>
      <c r="O274" s="121"/>
      <c r="P274" s="122"/>
      <c r="Q274" s="366"/>
      <c r="R274" s="365"/>
      <c r="S274" s="231"/>
      <c r="T274" s="362"/>
      <c r="U274" s="363"/>
      <c r="V274" s="232"/>
    </row>
    <row r="275" spans="2:22">
      <c r="B275" s="149"/>
      <c r="C275" s="153"/>
      <c r="D275" s="111"/>
      <c r="E275" s="146"/>
      <c r="F275" s="113"/>
      <c r="G275" s="148"/>
      <c r="H275" s="149"/>
      <c r="I275" s="151"/>
      <c r="J275" s="117"/>
      <c r="K275" s="118"/>
      <c r="L275" s="154"/>
      <c r="M275" s="120"/>
      <c r="N275" s="121"/>
      <c r="O275" s="121"/>
      <c r="P275" s="122"/>
      <c r="Q275" s="366"/>
      <c r="R275" s="365"/>
      <c r="S275" s="231"/>
      <c r="T275" s="362"/>
      <c r="U275" s="363"/>
      <c r="V275" s="232"/>
    </row>
    <row r="276" spans="2:22">
      <c r="B276" s="149"/>
      <c r="C276" s="150"/>
      <c r="D276" s="146"/>
      <c r="E276" s="146"/>
      <c r="F276" s="147"/>
      <c r="G276" s="148"/>
      <c r="H276" s="149"/>
      <c r="I276" s="151"/>
      <c r="J276" s="116"/>
      <c r="K276" s="118"/>
      <c r="L276" s="155"/>
      <c r="M276" s="120"/>
      <c r="N276" s="121"/>
      <c r="O276" s="121"/>
      <c r="P276" s="122"/>
      <c r="Q276" s="366"/>
      <c r="R276" s="365"/>
      <c r="S276" s="231"/>
      <c r="T276" s="362"/>
      <c r="U276" s="363"/>
      <c r="V276" s="232"/>
    </row>
    <row r="277" spans="2:22">
      <c r="B277" s="115"/>
      <c r="C277" s="150"/>
      <c r="D277" s="111"/>
      <c r="E277" s="112"/>
      <c r="F277" s="113"/>
      <c r="G277" s="114"/>
      <c r="H277" s="115"/>
      <c r="I277" s="116"/>
      <c r="J277" s="117"/>
      <c r="K277" s="118"/>
      <c r="L277" s="119"/>
      <c r="M277" s="120"/>
      <c r="N277" s="121"/>
      <c r="O277" s="121"/>
      <c r="P277" s="122"/>
      <c r="Q277" s="366"/>
      <c r="R277" s="365"/>
      <c r="S277" s="231"/>
      <c r="T277" s="362"/>
      <c r="U277" s="363"/>
      <c r="V277" s="232"/>
    </row>
    <row r="278" spans="2:22">
      <c r="B278" s="149"/>
      <c r="C278" s="153"/>
      <c r="D278" s="111"/>
      <c r="E278" s="156"/>
      <c r="F278" s="113"/>
      <c r="G278" s="148"/>
      <c r="H278" s="149"/>
      <c r="I278" s="151"/>
      <c r="J278" s="116"/>
      <c r="K278" s="157"/>
      <c r="L278" s="155"/>
      <c r="M278" s="158"/>
      <c r="N278" s="159"/>
      <c r="O278" s="159"/>
      <c r="P278" s="160"/>
      <c r="Q278" s="366"/>
      <c r="R278" s="365"/>
      <c r="S278" s="231"/>
      <c r="T278" s="362"/>
      <c r="U278" s="363"/>
      <c r="V278" s="232"/>
    </row>
    <row r="279" spans="2:22">
      <c r="B279" s="149"/>
      <c r="C279" s="150"/>
      <c r="D279" s="146"/>
      <c r="E279" s="156"/>
      <c r="F279" s="147"/>
      <c r="G279" s="148"/>
      <c r="H279" s="149"/>
      <c r="I279" s="151"/>
      <c r="J279" s="161"/>
      <c r="K279" s="162"/>
      <c r="M279" s="163"/>
      <c r="N279" s="164"/>
      <c r="O279" s="164"/>
      <c r="P279" s="165"/>
      <c r="Q279" s="394"/>
      <c r="R279" s="395"/>
      <c r="S279" s="236"/>
      <c r="T279" s="396"/>
      <c r="U279" s="397"/>
      <c r="V279" s="237"/>
    </row>
    <row r="280" spans="2:22" ht="15" thickBot="1">
      <c r="B280" s="129"/>
      <c r="C280" s="238"/>
      <c r="D280" s="126"/>
      <c r="E280" s="126"/>
      <c r="F280" s="127"/>
      <c r="G280" s="128"/>
      <c r="H280" s="129"/>
      <c r="I280" s="130"/>
      <c r="J280" s="130"/>
      <c r="K280" s="131"/>
      <c r="L280" s="132"/>
      <c r="M280" s="133"/>
      <c r="N280" s="134"/>
      <c r="O280" s="134"/>
      <c r="P280" s="135"/>
      <c r="Q280" s="398"/>
      <c r="R280" s="399"/>
      <c r="S280" s="197"/>
      <c r="T280" s="400"/>
      <c r="U280" s="401"/>
      <c r="V280" s="241"/>
    </row>
    <row r="281" spans="2:22">
      <c r="K281" s="136"/>
      <c r="N281" s="136"/>
      <c r="O281" s="136"/>
      <c r="P281" s="136" t="s">
        <v>37</v>
      </c>
      <c r="Q281" s="137">
        <f>SUM(Q262:Q280)</f>
        <v>15.4642</v>
      </c>
      <c r="R281" s="137"/>
      <c r="S281" s="137">
        <f>SUM(S262:S280)</f>
        <v>15.4642</v>
      </c>
      <c r="T281" s="137">
        <f>SUM(T262:T280)</f>
        <v>15.4642</v>
      </c>
      <c r="U281" s="137">
        <f>SUM(U262:U280)</f>
        <v>0</v>
      </c>
    </row>
    <row r="282" spans="2:22" ht="15" thickBot="1">
      <c r="B282" s="220" t="s">
        <v>521</v>
      </c>
      <c r="P282" s="221"/>
      <c r="Q282" s="379"/>
      <c r="R282" s="87"/>
      <c r="S282" s="87"/>
      <c r="T282" s="380" t="s">
        <v>482</v>
      </c>
      <c r="U282" s="381" t="s">
        <v>508</v>
      </c>
    </row>
    <row r="283" spans="2:22" ht="52.5" thickBot="1">
      <c r="B283" s="91" t="s">
        <v>70</v>
      </c>
      <c r="C283" s="92" t="s">
        <v>71</v>
      </c>
      <c r="D283" s="92" t="s">
        <v>217</v>
      </c>
      <c r="E283" s="91" t="s">
        <v>73</v>
      </c>
      <c r="F283" s="91" t="s">
        <v>74</v>
      </c>
      <c r="G283" s="91" t="s">
        <v>75</v>
      </c>
      <c r="H283" s="557" t="s">
        <v>76</v>
      </c>
      <c r="I283" s="558"/>
      <c r="J283" s="558"/>
      <c r="K283" s="559"/>
      <c r="L283" s="93" t="s">
        <v>77</v>
      </c>
      <c r="M283" s="557" t="s">
        <v>78</v>
      </c>
      <c r="N283" s="558"/>
      <c r="O283" s="558"/>
      <c r="P283" s="559"/>
      <c r="Q283" s="382" t="s">
        <v>79</v>
      </c>
      <c r="R283" s="383" t="s">
        <v>115</v>
      </c>
      <c r="S283" s="91" t="s">
        <v>116</v>
      </c>
      <c r="T283" s="384" t="s">
        <v>117</v>
      </c>
      <c r="U283" s="385" t="s">
        <v>118</v>
      </c>
      <c r="V283" s="91" t="s">
        <v>176</v>
      </c>
    </row>
    <row r="284" spans="2:22" ht="15" thickBot="1">
      <c r="B284" s="223" t="s">
        <v>380</v>
      </c>
      <c r="C284" s="95"/>
      <c r="D284" s="95"/>
      <c r="E284" s="95"/>
      <c r="F284" s="95"/>
      <c r="G284" s="96"/>
      <c r="H284" s="97" t="s">
        <v>70</v>
      </c>
      <c r="I284" s="98" t="s">
        <v>83</v>
      </c>
      <c r="J284" s="98" t="s">
        <v>84</v>
      </c>
      <c r="K284" s="99" t="s">
        <v>85</v>
      </c>
      <c r="L284" s="100"/>
      <c r="M284" s="101" t="s">
        <v>70</v>
      </c>
      <c r="N284" s="98" t="s">
        <v>83</v>
      </c>
      <c r="O284" s="98" t="s">
        <v>84</v>
      </c>
      <c r="P284" s="99" t="s">
        <v>85</v>
      </c>
      <c r="Q284" s="386"/>
      <c r="R284" s="387"/>
      <c r="S284" s="102"/>
      <c r="T284" s="388"/>
      <c r="U284" s="389" t="s">
        <v>86</v>
      </c>
      <c r="V284" s="102"/>
    </row>
    <row r="285" spans="2:22">
      <c r="B285" s="103"/>
      <c r="C285" s="104"/>
      <c r="D285" s="104"/>
      <c r="E285" s="104"/>
      <c r="F285" s="105"/>
      <c r="G285" s="105"/>
      <c r="H285" s="103"/>
      <c r="I285" s="225"/>
      <c r="J285" s="225"/>
      <c r="K285" s="107"/>
      <c r="L285" s="108"/>
      <c r="M285" s="109"/>
      <c r="N285" s="104"/>
      <c r="O285" s="104"/>
      <c r="P285" s="107"/>
      <c r="Q285" s="390"/>
      <c r="R285" s="391"/>
      <c r="S285" s="227"/>
      <c r="T285" s="392"/>
      <c r="U285" s="393"/>
      <c r="V285" s="229"/>
    </row>
    <row r="286" spans="2:22" ht="43.5">
      <c r="B286" s="178">
        <v>1</v>
      </c>
      <c r="C286" s="265" t="s">
        <v>522</v>
      </c>
      <c r="D286" s="257" t="s">
        <v>518</v>
      </c>
      <c r="E286" s="146" t="s">
        <v>523</v>
      </c>
      <c r="F286" s="146"/>
      <c r="G286" s="148"/>
      <c r="H286" s="149">
        <v>1</v>
      </c>
      <c r="I286" s="258">
        <v>41.615000000000002</v>
      </c>
      <c r="J286">
        <v>0.7</v>
      </c>
      <c r="K286" s="118">
        <f>H286*I286*J286</f>
        <v>29.130499999999998</v>
      </c>
      <c r="L286" s="119"/>
      <c r="M286" s="403">
        <v>0</v>
      </c>
      <c r="N286" s="404">
        <v>0</v>
      </c>
      <c r="O286" s="404">
        <v>0</v>
      </c>
      <c r="P286" s="122">
        <v>0</v>
      </c>
      <c r="Q286" s="324">
        <f>K286-P286</f>
        <v>29.130499999999998</v>
      </c>
      <c r="R286" s="486">
        <v>0.95</v>
      </c>
      <c r="S286" s="327">
        <f>(Q286)*R286</f>
        <v>27.673974999999995</v>
      </c>
      <c r="T286" s="447">
        <v>27.673974999999995</v>
      </c>
      <c r="U286" s="448">
        <f>S286-T286</f>
        <v>0</v>
      </c>
      <c r="V286" s="232"/>
    </row>
    <row r="287" spans="2:22">
      <c r="B287" s="115"/>
      <c r="C287" s="150" t="s">
        <v>555</v>
      </c>
      <c r="D287" s="111"/>
      <c r="E287" s="146"/>
      <c r="F287" s="147"/>
      <c r="G287" s="148"/>
      <c r="H287" s="149"/>
      <c r="I287" s="151"/>
      <c r="J287" s="116"/>
      <c r="K287" s="118"/>
      <c r="L287" s="119"/>
      <c r="M287" s="120"/>
      <c r="N287" s="121"/>
      <c r="O287" s="121"/>
      <c r="P287" s="122"/>
      <c r="Q287" s="364"/>
      <c r="R287" s="361"/>
      <c r="S287" s="231"/>
      <c r="T287" s="362"/>
      <c r="U287" s="363"/>
      <c r="V287" s="232"/>
    </row>
    <row r="288" spans="2:22">
      <c r="B288" s="115"/>
      <c r="C288" s="152"/>
      <c r="D288" s="123"/>
      <c r="E288" s="112"/>
      <c r="F288" s="113"/>
      <c r="G288" s="114"/>
      <c r="H288" s="115"/>
      <c r="I288" s="116"/>
      <c r="J288" s="117"/>
      <c r="K288" s="118"/>
      <c r="L288" s="119"/>
      <c r="M288" s="120"/>
      <c r="N288" s="117"/>
      <c r="O288" s="117"/>
      <c r="P288" s="122"/>
      <c r="Q288" s="366"/>
      <c r="R288" s="365"/>
      <c r="S288" s="231"/>
      <c r="T288" s="362"/>
      <c r="U288" s="363"/>
      <c r="V288" s="232"/>
    </row>
    <row r="289" spans="2:22">
      <c r="B289" s="115"/>
      <c r="C289" s="150"/>
      <c r="D289" s="111"/>
      <c r="E289" s="112"/>
      <c r="F289" s="234"/>
      <c r="G289" s="114"/>
      <c r="H289" s="115"/>
      <c r="I289" s="116"/>
      <c r="J289" s="117"/>
      <c r="K289" s="118"/>
      <c r="L289" s="119"/>
      <c r="M289" s="120"/>
      <c r="N289" s="117"/>
      <c r="O289" s="117"/>
      <c r="P289" s="209"/>
      <c r="Q289" s="366"/>
      <c r="R289" s="361"/>
      <c r="S289" s="231"/>
      <c r="T289" s="362"/>
      <c r="U289" s="363"/>
      <c r="V289" s="232"/>
    </row>
    <row r="290" spans="2:22">
      <c r="B290" s="115"/>
      <c r="C290" s="150"/>
      <c r="D290" s="111"/>
      <c r="E290" s="111"/>
      <c r="F290" s="113"/>
      <c r="G290" s="114"/>
      <c r="H290" s="115"/>
      <c r="I290" s="116"/>
      <c r="J290" s="117"/>
      <c r="K290" s="118"/>
      <c r="L290" s="119"/>
      <c r="M290" s="120"/>
      <c r="N290" s="121"/>
      <c r="O290" s="121"/>
      <c r="P290" s="122"/>
      <c r="Q290" s="366"/>
      <c r="R290" s="365"/>
      <c r="S290" s="231"/>
      <c r="T290" s="362"/>
      <c r="U290" s="363"/>
      <c r="V290" s="232"/>
    </row>
    <row r="291" spans="2:22">
      <c r="B291" s="115"/>
      <c r="C291" s="150"/>
      <c r="D291" s="111"/>
      <c r="E291" s="111"/>
      <c r="F291" s="113"/>
      <c r="G291" s="114"/>
      <c r="H291" s="115"/>
      <c r="I291" s="116"/>
      <c r="J291" s="117"/>
      <c r="K291" s="118"/>
      <c r="L291" s="119"/>
      <c r="M291" s="120"/>
      <c r="N291" s="121"/>
      <c r="O291" s="121"/>
      <c r="P291" s="122"/>
      <c r="Q291" s="366"/>
      <c r="R291" s="365"/>
      <c r="S291" s="231"/>
      <c r="T291" s="362"/>
      <c r="U291" s="363"/>
      <c r="V291" s="232"/>
    </row>
    <row r="292" spans="2:22">
      <c r="B292" s="115"/>
      <c r="C292" s="150"/>
      <c r="D292" s="111"/>
      <c r="E292" s="112"/>
      <c r="F292" s="113"/>
      <c r="G292" s="114"/>
      <c r="H292" s="115"/>
      <c r="I292" s="116"/>
      <c r="J292" s="117"/>
      <c r="K292" s="118"/>
      <c r="L292" s="119"/>
      <c r="M292" s="120"/>
      <c r="N292" s="121"/>
      <c r="O292" s="121"/>
      <c r="P292" s="122"/>
      <c r="Q292" s="366"/>
      <c r="R292" s="365"/>
      <c r="S292" s="231"/>
      <c r="T292" s="362"/>
      <c r="U292" s="363"/>
      <c r="V292" s="232"/>
    </row>
    <row r="293" spans="2:22">
      <c r="B293" s="115"/>
      <c r="C293" s="150"/>
      <c r="D293" s="111"/>
      <c r="E293" s="111"/>
      <c r="F293" s="113"/>
      <c r="G293" s="114"/>
      <c r="H293" s="115"/>
      <c r="I293" s="116"/>
      <c r="J293" s="117"/>
      <c r="K293" s="118"/>
      <c r="L293" s="119"/>
      <c r="M293" s="120"/>
      <c r="N293" s="121"/>
      <c r="O293" s="121"/>
      <c r="P293" s="122"/>
      <c r="Q293" s="366"/>
      <c r="R293" s="365"/>
      <c r="S293" s="231"/>
      <c r="T293" s="362"/>
      <c r="U293" s="363"/>
      <c r="V293" s="232"/>
    </row>
    <row r="294" spans="2:22">
      <c r="B294" s="115"/>
      <c r="C294" s="150"/>
      <c r="D294" s="123"/>
      <c r="E294" s="111"/>
      <c r="F294" s="113"/>
      <c r="G294" s="114"/>
      <c r="H294" s="115"/>
      <c r="I294" s="116"/>
      <c r="J294" s="117"/>
      <c r="K294" s="118"/>
      <c r="L294" s="119"/>
      <c r="M294" s="120"/>
      <c r="N294" s="121"/>
      <c r="O294" s="121"/>
      <c r="P294" s="122"/>
      <c r="Q294" s="366"/>
      <c r="R294" s="365"/>
      <c r="S294" s="231"/>
      <c r="T294" s="362"/>
      <c r="U294" s="363"/>
      <c r="V294" s="232"/>
    </row>
    <row r="295" spans="2:22">
      <c r="B295" s="149"/>
      <c r="C295" s="153"/>
      <c r="D295" s="111"/>
      <c r="E295" s="146"/>
      <c r="F295" s="113"/>
      <c r="G295" s="148"/>
      <c r="H295" s="149"/>
      <c r="I295" s="151"/>
      <c r="J295" s="117"/>
      <c r="K295" s="118"/>
      <c r="L295" s="154"/>
      <c r="M295" s="120"/>
      <c r="N295" s="121"/>
      <c r="O295" s="121"/>
      <c r="P295" s="122"/>
      <c r="Q295" s="366"/>
      <c r="R295" s="365"/>
      <c r="S295" s="231"/>
      <c r="T295" s="362"/>
      <c r="U295" s="363"/>
      <c r="V295" s="232"/>
    </row>
    <row r="296" spans="2:22">
      <c r="B296" s="149"/>
      <c r="C296" s="150"/>
      <c r="D296" s="146"/>
      <c r="E296" s="146"/>
      <c r="F296" s="147"/>
      <c r="G296" s="148"/>
      <c r="H296" s="149"/>
      <c r="I296" s="151"/>
      <c r="J296" s="116"/>
      <c r="K296" s="118"/>
      <c r="L296" s="155"/>
      <c r="M296" s="120"/>
      <c r="N296" s="121"/>
      <c r="O296" s="121"/>
      <c r="P296" s="122"/>
      <c r="Q296" s="366"/>
      <c r="R296" s="365"/>
      <c r="S296" s="231"/>
      <c r="T296" s="362"/>
      <c r="U296" s="363"/>
      <c r="V296" s="232"/>
    </row>
    <row r="297" spans="2:22">
      <c r="B297" s="115"/>
      <c r="C297" s="150"/>
      <c r="D297" s="111"/>
      <c r="E297" s="112"/>
      <c r="F297" s="113"/>
      <c r="G297" s="114"/>
      <c r="H297" s="115"/>
      <c r="I297" s="116"/>
      <c r="J297" s="117"/>
      <c r="K297" s="118"/>
      <c r="L297" s="119"/>
      <c r="M297" s="120"/>
      <c r="N297" s="121"/>
      <c r="O297" s="121"/>
      <c r="P297" s="122"/>
      <c r="Q297" s="366"/>
      <c r="R297" s="365"/>
      <c r="S297" s="231"/>
      <c r="T297" s="362"/>
      <c r="U297" s="363"/>
      <c r="V297" s="232"/>
    </row>
    <row r="298" spans="2:22">
      <c r="B298" s="149"/>
      <c r="C298" s="153"/>
      <c r="D298" s="111"/>
      <c r="E298" s="156"/>
      <c r="F298" s="113"/>
      <c r="G298" s="148"/>
      <c r="H298" s="149"/>
      <c r="I298" s="151"/>
      <c r="J298" s="116"/>
      <c r="K298" s="157"/>
      <c r="L298" s="155"/>
      <c r="M298" s="158"/>
      <c r="N298" s="159"/>
      <c r="O298" s="159"/>
      <c r="P298" s="160"/>
      <c r="Q298" s="366"/>
      <c r="R298" s="365"/>
      <c r="S298" s="231"/>
      <c r="T298" s="362"/>
      <c r="U298" s="363"/>
      <c r="V298" s="232"/>
    </row>
    <row r="299" spans="2:22">
      <c r="B299" s="149"/>
      <c r="C299" s="150"/>
      <c r="D299" s="146"/>
      <c r="E299" s="156"/>
      <c r="F299" s="147"/>
      <c r="G299" s="148"/>
      <c r="H299" s="149"/>
      <c r="I299" s="151"/>
      <c r="J299" s="161"/>
      <c r="K299" s="162"/>
      <c r="M299" s="163"/>
      <c r="N299" s="164"/>
      <c r="O299" s="164"/>
      <c r="P299" s="165"/>
      <c r="Q299" s="394"/>
      <c r="R299" s="395"/>
      <c r="S299" s="236"/>
      <c r="T299" s="396"/>
      <c r="U299" s="397"/>
      <c r="V299" s="237"/>
    </row>
    <row r="300" spans="2:22" ht="15" thickBot="1">
      <c r="B300" s="129"/>
      <c r="C300" s="238"/>
      <c r="D300" s="126"/>
      <c r="E300" s="126"/>
      <c r="F300" s="127"/>
      <c r="G300" s="128"/>
      <c r="H300" s="129"/>
      <c r="I300" s="130"/>
      <c r="J300" s="130"/>
      <c r="K300" s="131"/>
      <c r="L300" s="132"/>
      <c r="M300" s="133"/>
      <c r="N300" s="134"/>
      <c r="O300" s="134"/>
      <c r="P300" s="135"/>
      <c r="Q300" s="398"/>
      <c r="R300" s="399"/>
      <c r="S300" s="197"/>
      <c r="T300" s="400"/>
      <c r="U300" s="401"/>
      <c r="V300" s="241"/>
    </row>
    <row r="301" spans="2:22">
      <c r="K301" s="136"/>
      <c r="N301" s="136"/>
      <c r="O301" s="136"/>
      <c r="P301" s="136" t="s">
        <v>37</v>
      </c>
      <c r="Q301" s="137">
        <f>SUM(Q282:Q300)</f>
        <v>29.130499999999998</v>
      </c>
      <c r="R301" s="137"/>
      <c r="S301" s="137">
        <f>SUM(S282:S300)</f>
        <v>27.673974999999995</v>
      </c>
      <c r="T301" s="137">
        <f>SUM(T282:T300)</f>
        <v>27.673974999999995</v>
      </c>
      <c r="U301" s="137">
        <f>SUM(U282:U300)</f>
        <v>0</v>
      </c>
    </row>
    <row r="302" spans="2:22" ht="15" thickBot="1">
      <c r="B302" s="220" t="s">
        <v>524</v>
      </c>
      <c r="P302" s="221"/>
      <c r="Q302" s="379"/>
      <c r="R302" s="87"/>
      <c r="S302" s="87"/>
      <c r="T302" s="380" t="s">
        <v>482</v>
      </c>
      <c r="U302" s="381" t="s">
        <v>508</v>
      </c>
    </row>
    <row r="303" spans="2:22" ht="52.5" thickBot="1">
      <c r="B303" s="91" t="s">
        <v>70</v>
      </c>
      <c r="C303" s="92" t="s">
        <v>71</v>
      </c>
      <c r="D303" s="92" t="s">
        <v>217</v>
      </c>
      <c r="E303" s="91" t="s">
        <v>73</v>
      </c>
      <c r="F303" s="91" t="s">
        <v>74</v>
      </c>
      <c r="G303" s="91" t="s">
        <v>75</v>
      </c>
      <c r="H303" s="557" t="s">
        <v>76</v>
      </c>
      <c r="I303" s="558"/>
      <c r="J303" s="558"/>
      <c r="K303" s="559"/>
      <c r="L303" s="93" t="s">
        <v>77</v>
      </c>
      <c r="M303" s="557" t="s">
        <v>78</v>
      </c>
      <c r="N303" s="558"/>
      <c r="O303" s="558"/>
      <c r="P303" s="559"/>
      <c r="Q303" s="382" t="s">
        <v>79</v>
      </c>
      <c r="R303" s="383" t="s">
        <v>115</v>
      </c>
      <c r="S303" s="91" t="s">
        <v>116</v>
      </c>
      <c r="T303" s="384" t="s">
        <v>117</v>
      </c>
      <c r="U303" s="385" t="s">
        <v>118</v>
      </c>
      <c r="V303" s="91" t="s">
        <v>176</v>
      </c>
    </row>
    <row r="304" spans="2:22" ht="15" thickBot="1">
      <c r="B304" s="223" t="s">
        <v>380</v>
      </c>
      <c r="C304" s="95"/>
      <c r="D304" s="95"/>
      <c r="E304" s="95"/>
      <c r="F304" s="95"/>
      <c r="G304" s="96"/>
      <c r="H304" s="97" t="s">
        <v>70</v>
      </c>
      <c r="I304" s="98" t="s">
        <v>83</v>
      </c>
      <c r="J304" s="98" t="s">
        <v>84</v>
      </c>
      <c r="K304" s="99" t="s">
        <v>85</v>
      </c>
      <c r="L304" s="100"/>
      <c r="M304" s="101" t="s">
        <v>70</v>
      </c>
      <c r="N304" s="98" t="s">
        <v>83</v>
      </c>
      <c r="O304" s="98" t="s">
        <v>84</v>
      </c>
      <c r="P304" s="99" t="s">
        <v>85</v>
      </c>
      <c r="Q304" s="386"/>
      <c r="R304" s="387"/>
      <c r="S304" s="102"/>
      <c r="T304" s="388"/>
      <c r="U304" s="389" t="s">
        <v>86</v>
      </c>
      <c r="V304" s="102"/>
    </row>
    <row r="305" spans="2:22">
      <c r="B305" s="103"/>
      <c r="C305" s="104"/>
      <c r="D305" s="104"/>
      <c r="E305" s="104"/>
      <c r="F305" s="105"/>
      <c r="G305" s="105"/>
      <c r="H305" s="103"/>
      <c r="I305" s="225"/>
      <c r="J305" s="225"/>
      <c r="K305" s="107"/>
      <c r="L305" s="108"/>
      <c r="M305" s="109"/>
      <c r="N305" s="104"/>
      <c r="O305" s="104"/>
      <c r="P305" s="107"/>
      <c r="Q305" s="390"/>
      <c r="R305" s="391"/>
      <c r="S305" s="227"/>
      <c r="T305" s="392"/>
      <c r="U305" s="393"/>
      <c r="V305" s="229"/>
    </row>
    <row r="306" spans="2:22">
      <c r="B306" s="178">
        <v>1</v>
      </c>
      <c r="C306" s="256" t="s">
        <v>525</v>
      </c>
      <c r="D306" s="257"/>
      <c r="E306" s="146" t="s">
        <v>526</v>
      </c>
      <c r="F306" s="146"/>
      <c r="G306" s="148"/>
      <c r="H306" s="149">
        <v>1</v>
      </c>
      <c r="I306" s="258">
        <v>11.4</v>
      </c>
      <c r="J306">
        <v>6.1</v>
      </c>
      <c r="K306" s="118">
        <f>H306*I306*J306</f>
        <v>69.539999999999992</v>
      </c>
      <c r="L306" s="119"/>
      <c r="M306" s="403">
        <v>0</v>
      </c>
      <c r="N306" s="404">
        <v>0</v>
      </c>
      <c r="O306" s="404">
        <v>0</v>
      </c>
      <c r="P306" s="122">
        <v>0</v>
      </c>
      <c r="Q306" s="324">
        <f>K306-P306</f>
        <v>69.539999999999992</v>
      </c>
      <c r="R306" s="486">
        <v>0.95</v>
      </c>
      <c r="S306" s="327">
        <f>(Q306)*R306</f>
        <v>66.062999999999988</v>
      </c>
      <c r="T306" s="447">
        <v>59.108999999999995</v>
      </c>
      <c r="U306" s="448">
        <f>S306-T306</f>
        <v>6.9539999999999935</v>
      </c>
      <c r="V306" s="232"/>
    </row>
    <row r="307" spans="2:22">
      <c r="B307" s="115"/>
      <c r="C307" s="150" t="s">
        <v>623</v>
      </c>
      <c r="D307" s="111"/>
      <c r="E307" s="146"/>
      <c r="F307" s="147"/>
      <c r="G307" s="148"/>
      <c r="H307" s="149"/>
      <c r="I307" s="151"/>
      <c r="J307" s="116"/>
      <c r="K307" s="118"/>
      <c r="L307" s="119"/>
      <c r="M307" s="120"/>
      <c r="N307" s="121"/>
      <c r="O307" s="121"/>
      <c r="P307" s="122"/>
      <c r="Q307" s="364"/>
      <c r="R307" s="361"/>
      <c r="S307" s="231"/>
      <c r="T307" s="362"/>
      <c r="U307" s="363"/>
      <c r="V307" s="232"/>
    </row>
    <row r="308" spans="2:22">
      <c r="B308" s="115"/>
      <c r="C308" s="152"/>
      <c r="D308" s="123"/>
      <c r="E308" s="112"/>
      <c r="F308" s="113"/>
      <c r="G308" s="114"/>
      <c r="H308" s="115"/>
      <c r="I308" s="116"/>
      <c r="J308" s="117"/>
      <c r="K308" s="118"/>
      <c r="L308" s="119"/>
      <c r="M308" s="120"/>
      <c r="N308" s="117"/>
      <c r="O308" s="117"/>
      <c r="P308" s="122"/>
      <c r="Q308" s="366"/>
      <c r="R308" s="365"/>
      <c r="S308" s="231"/>
      <c r="T308" s="362"/>
      <c r="U308" s="363"/>
      <c r="V308" s="232"/>
    </row>
    <row r="309" spans="2:22">
      <c r="B309" s="115"/>
      <c r="C309" s="150"/>
      <c r="D309" s="111"/>
      <c r="E309" s="112"/>
      <c r="F309" s="234"/>
      <c r="G309" s="114"/>
      <c r="H309" s="115"/>
      <c r="I309" s="116"/>
      <c r="J309" s="117"/>
      <c r="K309" s="118"/>
      <c r="L309" s="119"/>
      <c r="M309" s="120"/>
      <c r="N309" s="117"/>
      <c r="O309" s="117"/>
      <c r="P309" s="209"/>
      <c r="Q309" s="366"/>
      <c r="R309" s="361"/>
      <c r="S309" s="231"/>
      <c r="T309" s="362"/>
      <c r="U309" s="363"/>
      <c r="V309" s="232"/>
    </row>
    <row r="310" spans="2:22">
      <c r="B310" s="115"/>
      <c r="C310" s="150"/>
      <c r="D310" s="111"/>
      <c r="E310" s="111"/>
      <c r="F310" s="113"/>
      <c r="G310" s="114"/>
      <c r="H310" s="115"/>
      <c r="I310" s="116"/>
      <c r="J310" s="117"/>
      <c r="K310" s="118"/>
      <c r="L310" s="119"/>
      <c r="M310" s="120"/>
      <c r="N310" s="121"/>
      <c r="O310" s="121"/>
      <c r="P310" s="122"/>
      <c r="Q310" s="366"/>
      <c r="R310" s="365"/>
      <c r="S310" s="231"/>
      <c r="T310" s="362"/>
      <c r="U310" s="363"/>
      <c r="V310" s="232"/>
    </row>
    <row r="311" spans="2:22">
      <c r="B311" s="115"/>
      <c r="C311" s="150"/>
      <c r="D311" s="111"/>
      <c r="E311" s="111"/>
      <c r="F311" s="113"/>
      <c r="G311" s="114"/>
      <c r="H311" s="115"/>
      <c r="I311" s="116"/>
      <c r="J311" s="117"/>
      <c r="K311" s="118"/>
      <c r="L311" s="119"/>
      <c r="M311" s="120"/>
      <c r="N311" s="121"/>
      <c r="O311" s="121"/>
      <c r="P311" s="122"/>
      <c r="Q311" s="366"/>
      <c r="R311" s="365"/>
      <c r="S311" s="231"/>
      <c r="T311" s="362"/>
      <c r="U311" s="363"/>
      <c r="V311" s="232"/>
    </row>
    <row r="312" spans="2:22">
      <c r="B312" s="115"/>
      <c r="C312" s="150"/>
      <c r="D312" s="111"/>
      <c r="E312" s="112"/>
      <c r="F312" s="113"/>
      <c r="G312" s="114"/>
      <c r="H312" s="115"/>
      <c r="I312" s="116"/>
      <c r="J312" s="117"/>
      <c r="K312" s="118"/>
      <c r="L312" s="119"/>
      <c r="M312" s="120"/>
      <c r="N312" s="121"/>
      <c r="O312" s="121"/>
      <c r="P312" s="122"/>
      <c r="Q312" s="366"/>
      <c r="R312" s="365"/>
      <c r="S312" s="231"/>
      <c r="T312" s="362"/>
      <c r="U312" s="363"/>
      <c r="V312" s="232"/>
    </row>
    <row r="313" spans="2:22">
      <c r="B313" s="115"/>
      <c r="C313" s="150"/>
      <c r="D313" s="111"/>
      <c r="E313" s="111"/>
      <c r="F313" s="113"/>
      <c r="G313" s="114"/>
      <c r="H313" s="115"/>
      <c r="I313" s="116"/>
      <c r="J313" s="117"/>
      <c r="K313" s="118"/>
      <c r="L313" s="119"/>
      <c r="M313" s="120"/>
      <c r="N313" s="121"/>
      <c r="O313" s="121"/>
      <c r="P313" s="122"/>
      <c r="Q313" s="366"/>
      <c r="R313" s="365"/>
      <c r="S313" s="231"/>
      <c r="T313" s="362"/>
      <c r="U313" s="363"/>
      <c r="V313" s="232"/>
    </row>
    <row r="314" spans="2:22">
      <c r="B314" s="115"/>
      <c r="C314" s="150"/>
      <c r="D314" s="123"/>
      <c r="E314" s="111"/>
      <c r="F314" s="113"/>
      <c r="G314" s="114"/>
      <c r="H314" s="115"/>
      <c r="I314" s="116"/>
      <c r="J314" s="117"/>
      <c r="K314" s="118"/>
      <c r="L314" s="119"/>
      <c r="M314" s="120"/>
      <c r="N314" s="121"/>
      <c r="O314" s="121"/>
      <c r="P314" s="122"/>
      <c r="Q314" s="366"/>
      <c r="R314" s="365"/>
      <c r="S314" s="231"/>
      <c r="T314" s="362"/>
      <c r="U314" s="363"/>
      <c r="V314" s="232"/>
    </row>
    <row r="315" spans="2:22">
      <c r="B315" s="149"/>
      <c r="C315" s="153"/>
      <c r="D315" s="111"/>
      <c r="E315" s="146"/>
      <c r="F315" s="113"/>
      <c r="G315" s="148"/>
      <c r="H315" s="149"/>
      <c r="I315" s="151"/>
      <c r="J315" s="117"/>
      <c r="K315" s="118"/>
      <c r="L315" s="154"/>
      <c r="M315" s="120"/>
      <c r="N315" s="121"/>
      <c r="O315" s="121"/>
      <c r="P315" s="122"/>
      <c r="Q315" s="366"/>
      <c r="R315" s="365"/>
      <c r="S315" s="231"/>
      <c r="T315" s="362"/>
      <c r="U315" s="363"/>
      <c r="V315" s="232"/>
    </row>
    <row r="316" spans="2:22">
      <c r="B316" s="149"/>
      <c r="C316" s="150"/>
      <c r="D316" s="146"/>
      <c r="E316" s="146"/>
      <c r="F316" s="147"/>
      <c r="G316" s="148"/>
      <c r="H316" s="149"/>
      <c r="I316" s="151"/>
      <c r="J316" s="116"/>
      <c r="K316" s="118"/>
      <c r="L316" s="155"/>
      <c r="M316" s="120"/>
      <c r="N316" s="121"/>
      <c r="O316" s="121"/>
      <c r="P316" s="122"/>
      <c r="Q316" s="366"/>
      <c r="R316" s="365"/>
      <c r="S316" s="231"/>
      <c r="T316" s="362"/>
      <c r="U316" s="363"/>
      <c r="V316" s="232"/>
    </row>
    <row r="317" spans="2:22">
      <c r="B317" s="115"/>
      <c r="C317" s="150"/>
      <c r="D317" s="111"/>
      <c r="E317" s="112"/>
      <c r="F317" s="113"/>
      <c r="G317" s="114"/>
      <c r="H317" s="115"/>
      <c r="I317" s="116"/>
      <c r="J317" s="117"/>
      <c r="K317" s="118"/>
      <c r="L317" s="119"/>
      <c r="M317" s="120"/>
      <c r="N317" s="121"/>
      <c r="O317" s="121"/>
      <c r="P317" s="122"/>
      <c r="Q317" s="366"/>
      <c r="R317" s="365"/>
      <c r="S317" s="231"/>
      <c r="T317" s="362"/>
      <c r="U317" s="363"/>
      <c r="V317" s="232"/>
    </row>
    <row r="318" spans="2:22">
      <c r="B318" s="149"/>
      <c r="C318" s="153"/>
      <c r="D318" s="111"/>
      <c r="E318" s="156"/>
      <c r="F318" s="113"/>
      <c r="G318" s="148"/>
      <c r="H318" s="149"/>
      <c r="I318" s="151"/>
      <c r="J318" s="116"/>
      <c r="K318" s="157"/>
      <c r="L318" s="155"/>
      <c r="M318" s="158"/>
      <c r="N318" s="159"/>
      <c r="O318" s="159"/>
      <c r="P318" s="160"/>
      <c r="Q318" s="366"/>
      <c r="R318" s="365"/>
      <c r="S318" s="231"/>
      <c r="T318" s="362"/>
      <c r="U318" s="363"/>
      <c r="V318" s="232"/>
    </row>
    <row r="319" spans="2:22">
      <c r="B319" s="149"/>
      <c r="C319" s="150"/>
      <c r="D319" s="146"/>
      <c r="E319" s="156"/>
      <c r="F319" s="147"/>
      <c r="G319" s="148"/>
      <c r="H319" s="149"/>
      <c r="I319" s="151"/>
      <c r="J319" s="161"/>
      <c r="K319" s="162"/>
      <c r="M319" s="163"/>
      <c r="N319" s="164"/>
      <c r="O319" s="164"/>
      <c r="P319" s="165"/>
      <c r="Q319" s="394"/>
      <c r="R319" s="395"/>
      <c r="S319" s="236"/>
      <c r="T319" s="396"/>
      <c r="U319" s="397"/>
      <c r="V319" s="237"/>
    </row>
    <row r="320" spans="2:22" ht="15" thickBot="1">
      <c r="B320" s="129"/>
      <c r="C320" s="238"/>
      <c r="D320" s="126"/>
      <c r="E320" s="126"/>
      <c r="F320" s="127"/>
      <c r="G320" s="128"/>
      <c r="H320" s="129"/>
      <c r="I320" s="130"/>
      <c r="J320" s="130"/>
      <c r="K320" s="131"/>
      <c r="L320" s="132"/>
      <c r="M320" s="133"/>
      <c r="N320" s="134"/>
      <c r="O320" s="134"/>
      <c r="P320" s="135"/>
      <c r="Q320" s="398"/>
      <c r="R320" s="399"/>
      <c r="S320" s="197"/>
      <c r="T320" s="400"/>
      <c r="U320" s="401"/>
      <c r="V320" s="241"/>
    </row>
    <row r="321" spans="2:22">
      <c r="K321" s="136"/>
      <c r="N321" s="136"/>
      <c r="O321" s="136"/>
      <c r="P321" s="136" t="s">
        <v>37</v>
      </c>
      <c r="Q321" s="137">
        <f>SUM(Q302:Q320)</f>
        <v>69.539999999999992</v>
      </c>
      <c r="R321" s="137"/>
      <c r="S321" s="137">
        <f>SUM(S302:S320)</f>
        <v>66.062999999999988</v>
      </c>
      <c r="T321" s="137">
        <f>SUM(T302:T320)</f>
        <v>59.108999999999995</v>
      </c>
      <c r="U321" s="137">
        <f>SUM(U302:U320)</f>
        <v>6.9539999999999935</v>
      </c>
    </row>
    <row r="322" spans="2:22" ht="15" thickBot="1">
      <c r="B322" s="220" t="s">
        <v>556</v>
      </c>
      <c r="P322" s="221"/>
      <c r="Q322" s="379"/>
      <c r="R322" s="87"/>
      <c r="S322" s="87"/>
      <c r="T322" s="380" t="s">
        <v>482</v>
      </c>
      <c r="U322" s="381" t="s">
        <v>508</v>
      </c>
    </row>
    <row r="323" spans="2:22" ht="52.5" thickBot="1">
      <c r="B323" s="91" t="s">
        <v>70</v>
      </c>
      <c r="C323" s="92" t="s">
        <v>71</v>
      </c>
      <c r="D323" s="92" t="s">
        <v>217</v>
      </c>
      <c r="E323" s="91" t="s">
        <v>73</v>
      </c>
      <c r="F323" s="91" t="s">
        <v>74</v>
      </c>
      <c r="G323" s="91" t="s">
        <v>75</v>
      </c>
      <c r="H323" s="557" t="s">
        <v>76</v>
      </c>
      <c r="I323" s="558"/>
      <c r="J323" s="558"/>
      <c r="K323" s="559"/>
      <c r="L323" s="93" t="s">
        <v>77</v>
      </c>
      <c r="M323" s="557" t="s">
        <v>78</v>
      </c>
      <c r="N323" s="558"/>
      <c r="O323" s="558"/>
      <c r="P323" s="559"/>
      <c r="Q323" s="382" t="s">
        <v>79</v>
      </c>
      <c r="R323" s="383" t="s">
        <v>115</v>
      </c>
      <c r="S323" s="91" t="s">
        <v>116</v>
      </c>
      <c r="T323" s="384" t="s">
        <v>117</v>
      </c>
      <c r="U323" s="385" t="s">
        <v>118</v>
      </c>
      <c r="V323" s="91" t="s">
        <v>176</v>
      </c>
    </row>
    <row r="324" spans="2:22" ht="15" thickBot="1">
      <c r="B324" s="223" t="s">
        <v>380</v>
      </c>
      <c r="C324" s="95"/>
      <c r="D324" s="95"/>
      <c r="E324" s="95"/>
      <c r="F324" s="95"/>
      <c r="G324" s="96"/>
      <c r="H324" s="97" t="s">
        <v>70</v>
      </c>
      <c r="I324" s="98" t="s">
        <v>83</v>
      </c>
      <c r="J324" s="98" t="s">
        <v>84</v>
      </c>
      <c r="K324" s="99" t="s">
        <v>85</v>
      </c>
      <c r="L324" s="100"/>
      <c r="M324" s="101" t="s">
        <v>70</v>
      </c>
      <c r="N324" s="98" t="s">
        <v>83</v>
      </c>
      <c r="O324" s="98" t="s">
        <v>84</v>
      </c>
      <c r="P324" s="99" t="s">
        <v>85</v>
      </c>
      <c r="Q324" s="386"/>
      <c r="R324" s="387"/>
      <c r="S324" s="102"/>
      <c r="T324" s="388"/>
      <c r="U324" s="389" t="s">
        <v>86</v>
      </c>
      <c r="V324" s="102"/>
    </row>
    <row r="325" spans="2:22">
      <c r="B325" s="103"/>
      <c r="C325" s="104"/>
      <c r="D325" s="104"/>
      <c r="E325" s="104"/>
      <c r="F325" s="105"/>
      <c r="G325" s="105"/>
      <c r="H325" s="103"/>
      <c r="I325" s="225"/>
      <c r="J325" s="225"/>
      <c r="K325" s="107"/>
      <c r="L325" s="108"/>
      <c r="M325" s="109"/>
      <c r="N325" s="104"/>
      <c r="O325" s="104"/>
      <c r="P325" s="107"/>
      <c r="Q325" s="390"/>
      <c r="R325" s="391"/>
      <c r="S325" s="227"/>
      <c r="T325" s="392"/>
      <c r="U325" s="393"/>
      <c r="V325" s="229"/>
    </row>
    <row r="326" spans="2:22">
      <c r="B326" s="178">
        <v>1</v>
      </c>
      <c r="C326" s="515" t="s">
        <v>557</v>
      </c>
      <c r="D326" s="257"/>
      <c r="E326" s="146" t="s">
        <v>526</v>
      </c>
      <c r="F326" s="146"/>
      <c r="G326" s="148"/>
      <c r="H326" s="149">
        <v>1</v>
      </c>
      <c r="I326" s="258">
        <v>13.685</v>
      </c>
      <c r="J326">
        <v>5.4349999999999996</v>
      </c>
      <c r="K326" s="118">
        <f>H326*I326*J326</f>
        <v>74.377974999999992</v>
      </c>
      <c r="L326" s="119" t="s">
        <v>558</v>
      </c>
      <c r="M326" s="403">
        <v>1</v>
      </c>
      <c r="N326" s="404">
        <v>8.75</v>
      </c>
      <c r="O326" s="404">
        <v>2.15</v>
      </c>
      <c r="P326" s="122">
        <f>M326*N326*O326</f>
        <v>18.8125</v>
      </c>
      <c r="Q326" s="324">
        <f>SUM(K326:K335)-SUM(P326:P328)</f>
        <v>191.08430200000004</v>
      </c>
      <c r="R326" s="230">
        <v>0.95</v>
      </c>
      <c r="S326" s="327">
        <f>(Q326)*R326</f>
        <v>181.53008690000001</v>
      </c>
      <c r="T326" s="447">
        <v>181.53008690000001</v>
      </c>
      <c r="U326" s="448">
        <f>S326-T326</f>
        <v>0</v>
      </c>
      <c r="V326" s="232"/>
    </row>
    <row r="327" spans="2:22">
      <c r="B327" s="115"/>
      <c r="C327" s="493" t="s">
        <v>559</v>
      </c>
      <c r="D327" s="111"/>
      <c r="E327" s="146"/>
      <c r="F327" s="147"/>
      <c r="G327" s="148"/>
      <c r="H327" s="149">
        <v>1</v>
      </c>
      <c r="I327" s="151">
        <v>1.786</v>
      </c>
      <c r="J327" s="116">
        <v>4.4130000000000003</v>
      </c>
      <c r="K327" s="118">
        <f>H327*I327*J327</f>
        <v>7.8816180000000005</v>
      </c>
      <c r="L327" s="119" t="s">
        <v>324</v>
      </c>
      <c r="M327" s="120">
        <v>3</v>
      </c>
      <c r="N327" s="121">
        <v>3</v>
      </c>
      <c r="O327" s="121">
        <v>2.9</v>
      </c>
      <c r="P327" s="122">
        <f t="shared" ref="P327:P328" si="10">M327*N327*O327</f>
        <v>26.099999999999998</v>
      </c>
      <c r="Q327" s="324"/>
      <c r="R327" s="361"/>
      <c r="S327" s="327"/>
      <c r="T327" s="447"/>
      <c r="U327" s="448"/>
      <c r="V327" s="232"/>
    </row>
    <row r="328" spans="2:22">
      <c r="B328" s="115"/>
      <c r="C328" s="152"/>
      <c r="D328" s="123"/>
      <c r="E328" s="112"/>
      <c r="F328" s="113"/>
      <c r="G328" s="114"/>
      <c r="H328" s="115">
        <v>1</v>
      </c>
      <c r="I328" s="116">
        <v>1.786</v>
      </c>
      <c r="J328" s="117">
        <v>0.94199999999999995</v>
      </c>
      <c r="K328" s="118">
        <f t="shared" ref="K328:K335" si="11">H328*I328*J328</f>
        <v>1.682412</v>
      </c>
      <c r="L328" s="119" t="s">
        <v>560</v>
      </c>
      <c r="M328" s="120">
        <v>1</v>
      </c>
      <c r="N328" s="117">
        <v>2</v>
      </c>
      <c r="O328" s="117">
        <v>2.85</v>
      </c>
      <c r="P328" s="122">
        <f t="shared" si="10"/>
        <v>5.7</v>
      </c>
      <c r="Q328" s="338"/>
      <c r="R328" s="365"/>
      <c r="S328" s="327"/>
      <c r="T328" s="447"/>
      <c r="U328" s="448"/>
      <c r="V328" s="232"/>
    </row>
    <row r="329" spans="2:22">
      <c r="B329" s="115"/>
      <c r="C329" s="150"/>
      <c r="D329" s="111"/>
      <c r="E329" s="112"/>
      <c r="F329" s="234"/>
      <c r="G329" s="114"/>
      <c r="H329" s="115">
        <v>1</v>
      </c>
      <c r="I329" s="116">
        <v>11.263999999999999</v>
      </c>
      <c r="J329" s="117">
        <v>4.4130000000000003</v>
      </c>
      <c r="K329" s="118">
        <f t="shared" si="11"/>
        <v>49.708032000000003</v>
      </c>
      <c r="L329" s="119"/>
      <c r="M329" s="120"/>
      <c r="N329" s="117"/>
      <c r="O329" s="117"/>
      <c r="P329" s="209"/>
      <c r="Q329" s="338"/>
      <c r="R329" s="361"/>
      <c r="S329" s="327"/>
      <c r="T329" s="447"/>
      <c r="U329" s="448"/>
      <c r="V329" s="232"/>
    </row>
    <row r="330" spans="2:22">
      <c r="B330" s="115"/>
      <c r="C330" s="150"/>
      <c r="D330" s="111"/>
      <c r="E330" s="111"/>
      <c r="F330" s="113"/>
      <c r="G330" s="114"/>
      <c r="H330" s="115">
        <v>1</v>
      </c>
      <c r="I330" s="116">
        <v>4.1210000000000004</v>
      </c>
      <c r="J330" s="117">
        <v>4.1280000000000001</v>
      </c>
      <c r="K330" s="118">
        <f t="shared" si="11"/>
        <v>17.011488000000003</v>
      </c>
      <c r="L330" s="119"/>
      <c r="M330" s="120"/>
      <c r="N330" s="121"/>
      <c r="O330" s="121"/>
      <c r="P330" s="122"/>
      <c r="Q330" s="338"/>
      <c r="R330" s="365"/>
      <c r="S330" s="327"/>
      <c r="T330" s="447"/>
      <c r="U330" s="448"/>
      <c r="V330" s="232"/>
    </row>
    <row r="331" spans="2:22">
      <c r="B331" s="115"/>
      <c r="C331" s="150"/>
      <c r="D331" s="111"/>
      <c r="E331" s="111"/>
      <c r="F331" s="113"/>
      <c r="G331" s="114"/>
      <c r="H331" s="115">
        <v>1</v>
      </c>
      <c r="I331" s="116">
        <v>2.54</v>
      </c>
      <c r="J331" s="117">
        <v>4.8920000000000003</v>
      </c>
      <c r="K331" s="118">
        <f t="shared" si="11"/>
        <v>12.425680000000002</v>
      </c>
      <c r="L331" s="119"/>
      <c r="M331" s="120"/>
      <c r="N331" s="121"/>
      <c r="O331" s="121"/>
      <c r="P331" s="122"/>
      <c r="Q331" s="338"/>
      <c r="R331" s="365"/>
      <c r="S331" s="327"/>
      <c r="T331" s="447"/>
      <c r="U331" s="448"/>
      <c r="V331" s="232"/>
    </row>
    <row r="332" spans="2:22">
      <c r="B332" s="115"/>
      <c r="C332" s="150"/>
      <c r="D332" s="111"/>
      <c r="E332" s="112"/>
      <c r="F332" s="113"/>
      <c r="G332" s="114"/>
      <c r="H332" s="115">
        <v>1</v>
      </c>
      <c r="I332" s="116">
        <v>6.02</v>
      </c>
      <c r="J332" s="117">
        <v>4.7629999999999999</v>
      </c>
      <c r="K332" s="118">
        <f t="shared" si="11"/>
        <v>28.673259999999999</v>
      </c>
      <c r="L332" s="119"/>
      <c r="M332" s="120"/>
      <c r="N332" s="121"/>
      <c r="O332" s="121"/>
      <c r="P332" s="122"/>
      <c r="Q332" s="338"/>
      <c r="R332" s="365"/>
      <c r="S332" s="327"/>
      <c r="T332" s="447"/>
      <c r="U332" s="448"/>
      <c r="V332" s="232"/>
    </row>
    <row r="333" spans="2:22">
      <c r="B333" s="115"/>
      <c r="C333" s="150"/>
      <c r="D333" s="111"/>
      <c r="E333" s="111"/>
      <c r="F333" s="113"/>
      <c r="G333" s="114"/>
      <c r="H333" s="115">
        <v>1</v>
      </c>
      <c r="I333" s="116">
        <v>4.4400000000000004</v>
      </c>
      <c r="J333" s="117">
        <v>4.4550000000000001</v>
      </c>
      <c r="K333" s="118">
        <f t="shared" si="11"/>
        <v>19.780200000000001</v>
      </c>
      <c r="L333" s="119"/>
      <c r="M333" s="120"/>
      <c r="N333" s="121"/>
      <c r="O333" s="121"/>
      <c r="P333" s="122"/>
      <c r="Q333" s="338"/>
      <c r="R333" s="365"/>
      <c r="S333" s="327"/>
      <c r="T333" s="447"/>
      <c r="U333" s="448"/>
      <c r="V333" s="232"/>
    </row>
    <row r="334" spans="2:22">
      <c r="B334" s="115"/>
      <c r="C334" s="150"/>
      <c r="D334" s="123"/>
      <c r="E334" s="111"/>
      <c r="F334" s="113"/>
      <c r="G334" s="114"/>
      <c r="H334" s="115">
        <v>1</v>
      </c>
      <c r="I334" s="116">
        <v>6.02</v>
      </c>
      <c r="J334" s="117">
        <v>4.2240000000000002</v>
      </c>
      <c r="K334" s="118">
        <f t="shared" si="11"/>
        <v>25.42848</v>
      </c>
      <c r="L334" s="119"/>
      <c r="M334" s="120"/>
      <c r="N334" s="121"/>
      <c r="O334" s="121"/>
      <c r="P334" s="122"/>
      <c r="Q334" s="338"/>
      <c r="R334" s="365"/>
      <c r="S334" s="327"/>
      <c r="T334" s="447"/>
      <c r="U334" s="448"/>
      <c r="V334" s="232"/>
    </row>
    <row r="335" spans="2:22">
      <c r="B335" s="149"/>
      <c r="C335" s="153"/>
      <c r="D335" s="111"/>
      <c r="E335" s="146"/>
      <c r="F335" s="113"/>
      <c r="G335" s="148"/>
      <c r="H335" s="149">
        <v>1</v>
      </c>
      <c r="I335" s="151">
        <v>1.1990000000000001</v>
      </c>
      <c r="J335" s="117">
        <v>3.9430000000000001</v>
      </c>
      <c r="K335" s="118">
        <f t="shared" si="11"/>
        <v>4.7276570000000007</v>
      </c>
      <c r="L335" s="154"/>
      <c r="M335" s="120"/>
      <c r="N335" s="121"/>
      <c r="O335" s="121"/>
      <c r="P335" s="122"/>
      <c r="Q335" s="338"/>
      <c r="R335" s="365"/>
      <c r="S335" s="327"/>
      <c r="T335" s="447"/>
      <c r="U335" s="448"/>
      <c r="V335" s="232"/>
    </row>
    <row r="336" spans="2:22">
      <c r="B336" s="149"/>
      <c r="C336" s="150"/>
      <c r="D336" s="146"/>
      <c r="E336" s="146"/>
      <c r="F336" s="147"/>
      <c r="G336" s="148"/>
      <c r="H336" s="149"/>
      <c r="I336" s="151"/>
      <c r="J336" s="116"/>
      <c r="K336" s="118"/>
      <c r="L336" s="155"/>
      <c r="M336" s="120"/>
      <c r="N336" s="121"/>
      <c r="O336" s="121"/>
      <c r="P336" s="122"/>
      <c r="Q336" s="338"/>
      <c r="R336" s="365"/>
      <c r="S336" s="327"/>
      <c r="T336" s="447"/>
      <c r="U336" s="448"/>
      <c r="V336" s="232"/>
    </row>
    <row r="337" spans="2:22">
      <c r="B337" s="115"/>
      <c r="C337" s="150"/>
      <c r="D337" s="111"/>
      <c r="E337" s="112"/>
      <c r="F337" s="113"/>
      <c r="G337" s="114"/>
      <c r="H337" s="115"/>
      <c r="I337" s="116"/>
      <c r="J337" s="117"/>
      <c r="K337" s="118"/>
      <c r="L337" s="119"/>
      <c r="M337" s="120"/>
      <c r="N337" s="121"/>
      <c r="O337" s="121"/>
      <c r="P337" s="122"/>
      <c r="Q337" s="338"/>
      <c r="R337" s="365"/>
      <c r="S337" s="327"/>
      <c r="T337" s="447"/>
      <c r="U337" s="448"/>
      <c r="V337" s="232"/>
    </row>
    <row r="338" spans="2:22">
      <c r="B338" s="149"/>
      <c r="C338" s="153"/>
      <c r="D338" s="111"/>
      <c r="E338" s="156"/>
      <c r="F338" s="113"/>
      <c r="G338" s="148"/>
      <c r="H338" s="149"/>
      <c r="I338" s="151"/>
      <c r="J338" s="116"/>
      <c r="K338" s="157"/>
      <c r="L338" s="155"/>
      <c r="M338" s="158"/>
      <c r="N338" s="159"/>
      <c r="O338" s="159"/>
      <c r="P338" s="160"/>
      <c r="Q338" s="338"/>
      <c r="R338" s="365"/>
      <c r="S338" s="327"/>
      <c r="T338" s="447"/>
      <c r="U338" s="448"/>
      <c r="V338" s="232"/>
    </row>
    <row r="339" spans="2:22">
      <c r="B339" s="149"/>
      <c r="C339" s="150"/>
      <c r="D339" s="146"/>
      <c r="E339" s="156"/>
      <c r="F339" s="147"/>
      <c r="G339" s="148"/>
      <c r="H339" s="149"/>
      <c r="I339" s="151"/>
      <c r="J339" s="161"/>
      <c r="K339" s="162"/>
      <c r="M339" s="163"/>
      <c r="N339" s="164"/>
      <c r="O339" s="164"/>
      <c r="P339" s="165"/>
      <c r="Q339" s="355"/>
      <c r="R339" s="395"/>
      <c r="S339" s="328"/>
      <c r="T339" s="449"/>
      <c r="U339" s="516"/>
      <c r="V339" s="237"/>
    </row>
    <row r="340" spans="2:22" ht="15" thickBot="1">
      <c r="B340" s="129"/>
      <c r="C340" s="238"/>
      <c r="D340" s="126"/>
      <c r="E340" s="126"/>
      <c r="F340" s="127"/>
      <c r="G340" s="128"/>
      <c r="H340" s="129"/>
      <c r="I340" s="130"/>
      <c r="J340" s="130"/>
      <c r="K340" s="131"/>
      <c r="L340" s="132"/>
      <c r="M340" s="133"/>
      <c r="N340" s="134"/>
      <c r="O340" s="134"/>
      <c r="P340" s="135"/>
      <c r="Q340" s="398"/>
      <c r="R340" s="399"/>
      <c r="S340" s="197"/>
      <c r="T340" s="400"/>
      <c r="U340" s="401"/>
      <c r="V340" s="241"/>
    </row>
    <row r="341" spans="2:22">
      <c r="K341" s="136"/>
      <c r="N341" s="136"/>
      <c r="O341" s="136"/>
      <c r="P341" s="136" t="s">
        <v>37</v>
      </c>
      <c r="Q341" s="137">
        <f>SUM(Q322:Q340)</f>
        <v>191.08430200000004</v>
      </c>
      <c r="R341" s="137"/>
      <c r="S341" s="137">
        <f>SUM(S322:S340)</f>
        <v>181.53008690000001</v>
      </c>
      <c r="T341" s="137">
        <f>SUM(T322:T340)</f>
        <v>181.53008690000001</v>
      </c>
      <c r="U341" s="137">
        <f>SUM(U324:U340)</f>
        <v>0</v>
      </c>
    </row>
    <row r="342" spans="2:22" ht="15" thickBot="1">
      <c r="B342" s="540" t="s">
        <v>601</v>
      </c>
      <c r="P342" s="221"/>
      <c r="Q342" s="379"/>
      <c r="R342" s="87"/>
      <c r="S342" s="87"/>
      <c r="T342" s="380" t="s">
        <v>482</v>
      </c>
      <c r="U342" s="381" t="s">
        <v>581</v>
      </c>
    </row>
    <row r="343" spans="2:22" ht="52.5" thickBot="1">
      <c r="B343" s="91" t="s">
        <v>70</v>
      </c>
      <c r="C343" s="92" t="s">
        <v>71</v>
      </c>
      <c r="D343" s="92" t="s">
        <v>217</v>
      </c>
      <c r="E343" s="91" t="s">
        <v>73</v>
      </c>
      <c r="F343" s="91" t="s">
        <v>74</v>
      </c>
      <c r="G343" s="91" t="s">
        <v>75</v>
      </c>
      <c r="H343" s="557" t="s">
        <v>76</v>
      </c>
      <c r="I343" s="558"/>
      <c r="J343" s="558"/>
      <c r="K343" s="559"/>
      <c r="L343" s="93" t="s">
        <v>77</v>
      </c>
      <c r="M343" s="557" t="s">
        <v>78</v>
      </c>
      <c r="N343" s="558"/>
      <c r="O343" s="558"/>
      <c r="P343" s="559"/>
      <c r="Q343" s="382" t="s">
        <v>79</v>
      </c>
      <c r="R343" s="383" t="s">
        <v>115</v>
      </c>
      <c r="S343" s="91" t="s">
        <v>116</v>
      </c>
      <c r="T343" s="384" t="s">
        <v>117</v>
      </c>
      <c r="U343" s="385" t="s">
        <v>118</v>
      </c>
      <c r="V343" s="91" t="s">
        <v>176</v>
      </c>
    </row>
    <row r="344" spans="2:22" ht="15" thickBot="1">
      <c r="B344" s="223" t="s">
        <v>380</v>
      </c>
      <c r="C344" s="95"/>
      <c r="D344" s="95"/>
      <c r="E344" s="95"/>
      <c r="F344" s="95"/>
      <c r="G344" s="96"/>
      <c r="H344" s="97" t="s">
        <v>70</v>
      </c>
      <c r="I344" s="98" t="s">
        <v>83</v>
      </c>
      <c r="J344" s="98" t="s">
        <v>84</v>
      </c>
      <c r="K344" s="99" t="s">
        <v>85</v>
      </c>
      <c r="L344" s="100"/>
      <c r="M344" s="101" t="s">
        <v>70</v>
      </c>
      <c r="N344" s="98" t="s">
        <v>83</v>
      </c>
      <c r="O344" s="98" t="s">
        <v>84</v>
      </c>
      <c r="P344" s="99" t="s">
        <v>85</v>
      </c>
      <c r="Q344" s="386"/>
      <c r="R344" s="387"/>
      <c r="S344" s="102"/>
      <c r="T344" s="388"/>
      <c r="U344" s="389" t="s">
        <v>86</v>
      </c>
      <c r="V344" s="102"/>
    </row>
    <row r="345" spans="2:22" ht="15" thickBot="1">
      <c r="B345" s="103"/>
      <c r="C345" s="104"/>
      <c r="D345" s="104"/>
      <c r="E345" s="104"/>
      <c r="F345" s="105"/>
      <c r="G345" s="105"/>
      <c r="H345" s="103"/>
      <c r="I345" s="225"/>
      <c r="J345" s="225"/>
      <c r="K345" s="107"/>
      <c r="L345" s="108"/>
      <c r="M345" s="109"/>
      <c r="N345" s="104"/>
      <c r="O345" s="104"/>
      <c r="P345" s="107"/>
      <c r="Q345" s="390"/>
      <c r="R345" s="391"/>
      <c r="S345" s="227"/>
      <c r="T345" s="392"/>
      <c r="U345" s="393"/>
      <c r="V345" s="229"/>
    </row>
    <row r="346" spans="2:22">
      <c r="B346" s="178"/>
      <c r="C346" s="515"/>
      <c r="D346" s="257"/>
      <c r="E346" s="146"/>
      <c r="F346" s="146"/>
      <c r="G346" s="148"/>
      <c r="H346" s="149"/>
      <c r="I346" s="258"/>
      <c r="J346" s="225"/>
      <c r="K346" s="118"/>
      <c r="L346" s="119"/>
      <c r="M346" s="403"/>
      <c r="N346" s="404"/>
      <c r="O346" s="404"/>
      <c r="P346" s="122"/>
      <c r="Q346" s="364"/>
      <c r="R346" s="361"/>
      <c r="S346" s="231"/>
      <c r="T346" s="362"/>
      <c r="U346" s="363"/>
      <c r="V346" s="232"/>
    </row>
    <row r="347" spans="2:22">
      <c r="B347" s="115">
        <v>2</v>
      </c>
      <c r="C347" s="150" t="s">
        <v>602</v>
      </c>
      <c r="D347" s="111" t="s">
        <v>603</v>
      </c>
      <c r="E347" s="112" t="s">
        <v>604</v>
      </c>
      <c r="F347" s="113"/>
      <c r="G347" s="114"/>
      <c r="H347" s="115">
        <v>1</v>
      </c>
      <c r="I347" s="116">
        <v>13.493</v>
      </c>
      <c r="J347" s="117">
        <v>0.6</v>
      </c>
      <c r="K347" s="118">
        <f t="shared" ref="K347" si="12">H347*I347*J347</f>
        <v>8.0958000000000006</v>
      </c>
      <c r="L347" s="119"/>
      <c r="M347" s="120">
        <v>0</v>
      </c>
      <c r="N347" s="121">
        <v>0</v>
      </c>
      <c r="O347" s="121">
        <v>0</v>
      </c>
      <c r="P347" s="122">
        <f>M347*N347*O347</f>
        <v>0</v>
      </c>
      <c r="Q347" s="324">
        <f>SUM(K347:K356)-SUM(P347:P349)</f>
        <v>8.0958000000000006</v>
      </c>
      <c r="R347" s="230">
        <v>0.9</v>
      </c>
      <c r="S347" s="327">
        <f>(Q347)*R347</f>
        <v>7.286220000000001</v>
      </c>
      <c r="T347" s="447">
        <v>0</v>
      </c>
      <c r="U347" s="448">
        <f>S347-T347</f>
        <v>7.286220000000001</v>
      </c>
      <c r="V347" s="544" t="s">
        <v>624</v>
      </c>
    </row>
    <row r="348" spans="2:22">
      <c r="B348" s="115"/>
      <c r="C348" s="493" t="s">
        <v>605</v>
      </c>
      <c r="D348" s="123"/>
      <c r="E348" s="112"/>
      <c r="F348" s="113"/>
      <c r="G348" s="114"/>
      <c r="H348" s="115"/>
      <c r="I348" s="116"/>
      <c r="J348" s="117"/>
      <c r="K348" s="118"/>
      <c r="L348" s="119"/>
      <c r="M348" s="120"/>
      <c r="N348" s="117"/>
      <c r="O348" s="117"/>
      <c r="P348" s="122"/>
      <c r="Q348" s="366"/>
      <c r="R348" s="365"/>
      <c r="S348" s="231"/>
      <c r="T348" s="362"/>
      <c r="U348" s="363"/>
      <c r="V348" s="232"/>
    </row>
    <row r="349" spans="2:22">
      <c r="B349" s="115"/>
      <c r="C349" s="150"/>
      <c r="D349" s="111"/>
      <c r="E349" s="112"/>
      <c r="F349" s="234"/>
      <c r="G349" s="114"/>
      <c r="H349" s="115"/>
      <c r="I349" s="116"/>
      <c r="J349" s="117"/>
      <c r="K349" s="118"/>
      <c r="L349" s="119"/>
      <c r="M349" s="120"/>
      <c r="N349" s="117"/>
      <c r="O349" s="117"/>
      <c r="P349" s="209"/>
      <c r="Q349" s="366"/>
      <c r="R349" s="361"/>
      <c r="S349" s="231"/>
      <c r="T349" s="362"/>
      <c r="U349" s="363"/>
      <c r="V349" s="232"/>
    </row>
    <row r="350" spans="2:22">
      <c r="B350" s="115"/>
      <c r="C350" s="150"/>
      <c r="D350" s="111"/>
      <c r="E350" s="111"/>
      <c r="F350" s="113"/>
      <c r="G350" s="114"/>
      <c r="H350" s="115"/>
      <c r="I350" s="116"/>
      <c r="J350" s="117"/>
      <c r="K350" s="118"/>
      <c r="L350" s="119"/>
      <c r="M350" s="120"/>
      <c r="N350" s="121"/>
      <c r="O350" s="121"/>
      <c r="P350" s="122"/>
      <c r="Q350" s="366"/>
      <c r="R350" s="365"/>
      <c r="S350" s="231"/>
      <c r="T350" s="362"/>
      <c r="U350" s="363"/>
      <c r="V350" s="232"/>
    </row>
    <row r="351" spans="2:22">
      <c r="B351" s="115"/>
      <c r="C351" s="150"/>
      <c r="D351" s="111"/>
      <c r="E351" s="111"/>
      <c r="F351" s="113"/>
      <c r="G351" s="114"/>
      <c r="H351" s="115"/>
      <c r="I351" s="116"/>
      <c r="J351" s="117"/>
      <c r="K351" s="118"/>
      <c r="L351" s="119"/>
      <c r="M351" s="120"/>
      <c r="N351" s="121"/>
      <c r="O351" s="121"/>
      <c r="P351" s="122"/>
      <c r="Q351" s="366"/>
      <c r="R351" s="365"/>
      <c r="S351" s="231"/>
      <c r="T351" s="362"/>
      <c r="U351" s="363"/>
      <c r="V351" s="232"/>
    </row>
    <row r="352" spans="2:22">
      <c r="B352" s="115"/>
      <c r="C352" s="150"/>
      <c r="D352" s="111"/>
      <c r="E352" s="112"/>
      <c r="F352" s="113"/>
      <c r="G352" s="114"/>
      <c r="H352" s="115"/>
      <c r="I352" s="116"/>
      <c r="J352" s="117"/>
      <c r="K352" s="118"/>
      <c r="L352" s="119"/>
      <c r="M352" s="120"/>
      <c r="N352" s="121"/>
      <c r="O352" s="121"/>
      <c r="P352" s="122"/>
      <c r="Q352" s="366"/>
      <c r="R352" s="365"/>
      <c r="S352" s="231"/>
      <c r="T352" s="362"/>
      <c r="U352" s="363"/>
      <c r="V352" s="232"/>
    </row>
    <row r="353" spans="2:22">
      <c r="B353" s="115"/>
      <c r="C353" s="150"/>
      <c r="D353" s="111"/>
      <c r="E353" s="111"/>
      <c r="F353" s="113"/>
      <c r="G353" s="114"/>
      <c r="H353" s="115"/>
      <c r="I353" s="116"/>
      <c r="J353" s="117"/>
      <c r="K353" s="118"/>
      <c r="L353" s="119"/>
      <c r="M353" s="120"/>
      <c r="N353" s="121"/>
      <c r="O353" s="121"/>
      <c r="P353" s="122"/>
      <c r="Q353" s="366"/>
      <c r="R353" s="365"/>
      <c r="S353" s="231"/>
      <c r="T353" s="362"/>
      <c r="U353" s="363"/>
      <c r="V353" s="232"/>
    </row>
    <row r="354" spans="2:22">
      <c r="B354" s="115"/>
      <c r="C354" s="150"/>
      <c r="D354" s="123"/>
      <c r="E354" s="111"/>
      <c r="F354" s="113"/>
      <c r="G354" s="114"/>
      <c r="H354" s="115"/>
      <c r="I354" s="116"/>
      <c r="J354" s="117"/>
      <c r="K354" s="118"/>
      <c r="L354" s="119"/>
      <c r="M354" s="120"/>
      <c r="N354" s="121"/>
      <c r="O354" s="121"/>
      <c r="P354" s="122"/>
      <c r="Q354" s="366"/>
      <c r="R354" s="365"/>
      <c r="S354" s="231"/>
      <c r="T354" s="362"/>
      <c r="U354" s="363"/>
      <c r="V354" s="232"/>
    </row>
    <row r="355" spans="2:22">
      <c r="B355" s="149"/>
      <c r="C355" s="153"/>
      <c r="D355" s="111"/>
      <c r="E355" s="146"/>
      <c r="F355" s="113"/>
      <c r="G355" s="148"/>
      <c r="H355" s="149"/>
      <c r="I355" s="151"/>
      <c r="J355" s="117"/>
      <c r="K355" s="118"/>
      <c r="L355" s="154"/>
      <c r="M355" s="120"/>
      <c r="N355" s="121"/>
      <c r="O355" s="121"/>
      <c r="P355" s="122"/>
      <c r="Q355" s="366"/>
      <c r="R355" s="365"/>
      <c r="S355" s="231"/>
      <c r="T355" s="362"/>
      <c r="U355" s="363"/>
      <c r="V355" s="232"/>
    </row>
    <row r="356" spans="2:22">
      <c r="B356" s="149"/>
      <c r="C356" s="150"/>
      <c r="D356" s="146"/>
      <c r="E356" s="146"/>
      <c r="F356" s="147"/>
      <c r="G356" s="148"/>
      <c r="H356" s="149"/>
      <c r="I356" s="151"/>
      <c r="J356" s="116"/>
      <c r="K356" s="118"/>
      <c r="L356" s="155"/>
      <c r="M356" s="120"/>
      <c r="N356" s="121"/>
      <c r="O356" s="121"/>
      <c r="P356" s="122"/>
      <c r="Q356" s="366"/>
      <c r="R356" s="365"/>
      <c r="S356" s="231"/>
      <c r="T356" s="362"/>
      <c r="U356" s="363"/>
      <c r="V356" s="232"/>
    </row>
    <row r="357" spans="2:22">
      <c r="B357" s="115"/>
      <c r="C357" s="150"/>
      <c r="D357" s="111"/>
      <c r="E357" s="112"/>
      <c r="F357" s="113"/>
      <c r="G357" s="114"/>
      <c r="H357" s="115"/>
      <c r="I357" s="116"/>
      <c r="J357" s="117"/>
      <c r="K357" s="118"/>
      <c r="L357" s="119"/>
      <c r="M357" s="120"/>
      <c r="N357" s="121"/>
      <c r="O357" s="121"/>
      <c r="P357" s="122"/>
      <c r="Q357" s="366"/>
      <c r="R357" s="365"/>
      <c r="S357" s="231"/>
      <c r="T357" s="362"/>
      <c r="U357" s="363"/>
      <c r="V357" s="232"/>
    </row>
    <row r="358" spans="2:22">
      <c r="B358" s="149"/>
      <c r="C358" s="153"/>
      <c r="D358" s="111"/>
      <c r="E358" s="156"/>
      <c r="F358" s="113"/>
      <c r="G358" s="148"/>
      <c r="H358" s="149"/>
      <c r="I358" s="151"/>
      <c r="J358" s="116"/>
      <c r="K358" s="157"/>
      <c r="L358" s="155"/>
      <c r="M358" s="158"/>
      <c r="N358" s="159"/>
      <c r="O358" s="159"/>
      <c r="P358" s="160"/>
      <c r="Q358" s="366"/>
      <c r="R358" s="365"/>
      <c r="S358" s="231"/>
      <c r="T358" s="362"/>
      <c r="U358" s="363"/>
      <c r="V358" s="232"/>
    </row>
    <row r="359" spans="2:22">
      <c r="B359" s="149"/>
      <c r="C359" s="150"/>
      <c r="D359" s="146"/>
      <c r="E359" s="156"/>
      <c r="F359" s="147"/>
      <c r="G359" s="148"/>
      <c r="H359" s="149"/>
      <c r="I359" s="151"/>
      <c r="J359" s="161"/>
      <c r="K359" s="162"/>
      <c r="M359" s="163"/>
      <c r="N359" s="164"/>
      <c r="O359" s="164"/>
      <c r="P359" s="165"/>
      <c r="Q359" s="394"/>
      <c r="R359" s="395"/>
      <c r="S359" s="236"/>
      <c r="T359" s="396"/>
      <c r="U359" s="397"/>
      <c r="V359" s="237"/>
    </row>
    <row r="360" spans="2:22" ht="15" thickBot="1">
      <c r="B360" s="129"/>
      <c r="C360" s="238"/>
      <c r="D360" s="126"/>
      <c r="E360" s="126"/>
      <c r="F360" s="127"/>
      <c r="G360" s="128"/>
      <c r="H360" s="129"/>
      <c r="I360" s="130"/>
      <c r="J360" s="130"/>
      <c r="K360" s="131"/>
      <c r="L360" s="132"/>
      <c r="M360" s="133"/>
      <c r="N360" s="134"/>
      <c r="O360" s="134"/>
      <c r="P360" s="135"/>
      <c r="Q360" s="398"/>
      <c r="R360" s="399"/>
      <c r="S360" s="197"/>
      <c r="T360" s="400"/>
      <c r="U360" s="401"/>
      <c r="V360" s="241"/>
    </row>
    <row r="361" spans="2:22">
      <c r="K361" s="136"/>
      <c r="N361" s="136"/>
      <c r="O361" s="136"/>
      <c r="P361" s="136" t="s">
        <v>37</v>
      </c>
      <c r="Q361" s="137">
        <f>SUM(Q342:Q360)</f>
        <v>8.0958000000000006</v>
      </c>
      <c r="R361" s="137"/>
      <c r="S361" s="137">
        <f>SUM(S342:S360)</f>
        <v>7.286220000000001</v>
      </c>
      <c r="T361" s="137">
        <f>SUM(T342:T360)</f>
        <v>0</v>
      </c>
      <c r="U361" s="137">
        <f>SUM(U344:U360)</f>
        <v>7.286220000000001</v>
      </c>
    </row>
    <row r="362" spans="2:22" ht="15" thickBot="1">
      <c r="B362" s="220" t="s">
        <v>561</v>
      </c>
      <c r="P362" s="221"/>
      <c r="Q362" s="379"/>
      <c r="R362" s="87"/>
      <c r="S362" s="87"/>
      <c r="T362" s="380" t="s">
        <v>482</v>
      </c>
      <c r="U362" s="381" t="s">
        <v>508</v>
      </c>
    </row>
    <row r="363" spans="2:22" ht="52.5" thickBot="1">
      <c r="B363" s="91" t="s">
        <v>70</v>
      </c>
      <c r="C363" s="92" t="s">
        <v>71</v>
      </c>
      <c r="D363" s="92" t="s">
        <v>217</v>
      </c>
      <c r="E363" s="91" t="s">
        <v>73</v>
      </c>
      <c r="F363" s="91" t="s">
        <v>74</v>
      </c>
      <c r="G363" s="91" t="s">
        <v>75</v>
      </c>
      <c r="H363" s="557" t="s">
        <v>76</v>
      </c>
      <c r="I363" s="558"/>
      <c r="J363" s="558"/>
      <c r="K363" s="559"/>
      <c r="L363" s="93" t="s">
        <v>77</v>
      </c>
      <c r="M363" s="557" t="s">
        <v>78</v>
      </c>
      <c r="N363" s="558"/>
      <c r="O363" s="558"/>
      <c r="P363" s="559"/>
      <c r="Q363" s="382" t="s">
        <v>79</v>
      </c>
      <c r="R363" s="383" t="s">
        <v>115</v>
      </c>
      <c r="S363" s="91" t="s">
        <v>116</v>
      </c>
      <c r="T363" s="384" t="s">
        <v>117</v>
      </c>
      <c r="U363" s="385" t="s">
        <v>118</v>
      </c>
      <c r="V363" s="91" t="s">
        <v>176</v>
      </c>
    </row>
    <row r="364" spans="2:22" ht="15" thickBot="1">
      <c r="B364" s="223" t="s">
        <v>177</v>
      </c>
      <c r="C364" s="95"/>
      <c r="D364" s="95"/>
      <c r="E364" s="95"/>
      <c r="F364" s="95"/>
      <c r="G364" s="96"/>
      <c r="H364" s="97" t="s">
        <v>70</v>
      </c>
      <c r="I364" s="98" t="s">
        <v>83</v>
      </c>
      <c r="J364" s="98" t="s">
        <v>84</v>
      </c>
      <c r="K364" s="99" t="s">
        <v>85</v>
      </c>
      <c r="L364" s="100"/>
      <c r="M364" s="101" t="s">
        <v>70</v>
      </c>
      <c r="N364" s="98" t="s">
        <v>83</v>
      </c>
      <c r="O364" s="98" t="s">
        <v>84</v>
      </c>
      <c r="P364" s="99" t="s">
        <v>85</v>
      </c>
      <c r="Q364" s="386"/>
      <c r="R364" s="387"/>
      <c r="S364" s="102"/>
      <c r="T364" s="388"/>
      <c r="U364" s="389" t="s">
        <v>86</v>
      </c>
      <c r="V364" s="102"/>
    </row>
    <row r="365" spans="2:22">
      <c r="B365" s="103"/>
      <c r="C365" s="104"/>
      <c r="D365" s="104"/>
      <c r="E365" s="104"/>
      <c r="F365" s="105"/>
      <c r="G365" s="105"/>
      <c r="H365" s="103"/>
      <c r="I365" s="225"/>
      <c r="J365" s="225"/>
      <c r="K365" s="107"/>
      <c r="L365" s="108"/>
      <c r="M365" s="109"/>
      <c r="N365" s="104"/>
      <c r="O365" s="104"/>
      <c r="P365" s="107"/>
      <c r="Q365" s="390"/>
      <c r="R365" s="391"/>
      <c r="S365" s="227"/>
      <c r="T365" s="392"/>
      <c r="U365" s="393"/>
      <c r="V365" s="229"/>
    </row>
    <row r="366" spans="2:22" ht="29">
      <c r="B366" s="178">
        <v>1</v>
      </c>
      <c r="C366" s="515" t="s">
        <v>562</v>
      </c>
      <c r="D366" s="111" t="s">
        <v>563</v>
      </c>
      <c r="E366" s="146" t="s">
        <v>526</v>
      </c>
      <c r="F366" s="146"/>
      <c r="G366" s="148"/>
      <c r="H366" s="149">
        <v>1</v>
      </c>
      <c r="I366" s="258">
        <v>9.2690000000000001</v>
      </c>
      <c r="J366">
        <v>4.1479999999999997</v>
      </c>
      <c r="K366" s="118">
        <f>H366*I366*J366</f>
        <v>38.447811999999999</v>
      </c>
      <c r="L366" s="119"/>
      <c r="M366" s="403">
        <v>0</v>
      </c>
      <c r="N366" s="404">
        <v>0</v>
      </c>
      <c r="O366" s="404">
        <v>0</v>
      </c>
      <c r="P366" s="122">
        <f>M366*N366*O366</f>
        <v>0</v>
      </c>
      <c r="Q366" s="324">
        <f>SUM(K366:K374)-SUM(P366:P368)</f>
        <v>38.447811999999999</v>
      </c>
      <c r="R366" s="230">
        <v>0.7</v>
      </c>
      <c r="S366" s="327">
        <f>(Q366)*R366</f>
        <v>26.913468399999999</v>
      </c>
      <c r="T366" s="447">
        <v>26.913468399999999</v>
      </c>
      <c r="U366" s="448">
        <f>S366-T366</f>
        <v>0</v>
      </c>
      <c r="V366" s="232"/>
    </row>
    <row r="367" spans="2:22">
      <c r="B367" s="115"/>
      <c r="C367" s="150" t="s">
        <v>564</v>
      </c>
      <c r="D367" s="111"/>
      <c r="E367" s="146"/>
      <c r="F367" s="147"/>
      <c r="G367" s="148"/>
      <c r="H367" s="149"/>
      <c r="I367" s="151"/>
      <c r="J367" s="116"/>
      <c r="K367" s="118"/>
      <c r="L367" s="119"/>
      <c r="M367" s="120"/>
      <c r="N367" s="121"/>
      <c r="O367" s="121"/>
      <c r="P367" s="122"/>
      <c r="Q367" s="324"/>
      <c r="R367" s="361"/>
      <c r="S367" s="327"/>
      <c r="T367" s="447"/>
      <c r="U367" s="448"/>
      <c r="V367" s="232"/>
    </row>
    <row r="368" spans="2:22">
      <c r="B368" s="115"/>
      <c r="C368" s="152"/>
      <c r="D368" s="123"/>
      <c r="E368" s="112"/>
      <c r="F368" s="113"/>
      <c r="G368" s="114"/>
      <c r="H368" s="115"/>
      <c r="I368" s="116"/>
      <c r="J368" s="117"/>
      <c r="K368" s="118"/>
      <c r="L368" s="119"/>
      <c r="M368" s="120"/>
      <c r="N368" s="117"/>
      <c r="O368" s="117"/>
      <c r="P368" s="122"/>
      <c r="Q368" s="324"/>
      <c r="R368" s="365"/>
      <c r="S368" s="327"/>
      <c r="T368" s="447"/>
      <c r="U368" s="448"/>
      <c r="V368" s="232"/>
    </row>
    <row r="369" spans="2:22">
      <c r="B369" s="115"/>
      <c r="C369" s="150"/>
      <c r="D369" s="111"/>
      <c r="E369" s="111"/>
      <c r="F369" s="113"/>
      <c r="G369" s="114"/>
      <c r="H369" s="115"/>
      <c r="I369" s="116"/>
      <c r="J369" s="117"/>
      <c r="K369" s="118"/>
      <c r="L369" s="119"/>
      <c r="M369" s="120"/>
      <c r="N369" s="121"/>
      <c r="O369" s="121"/>
      <c r="P369" s="122"/>
      <c r="Q369" s="338"/>
      <c r="R369" s="365"/>
      <c r="S369" s="327"/>
      <c r="T369" s="447"/>
      <c r="U369" s="448"/>
      <c r="V369" s="232"/>
    </row>
    <row r="370" spans="2:22">
      <c r="B370" s="115"/>
      <c r="C370" s="150"/>
      <c r="D370" s="111"/>
      <c r="E370" s="111"/>
      <c r="F370" s="113"/>
      <c r="G370" s="114"/>
      <c r="H370" s="115"/>
      <c r="I370" s="116"/>
      <c r="J370" s="117"/>
      <c r="K370" s="118"/>
      <c r="L370" s="119"/>
      <c r="M370" s="120"/>
      <c r="N370" s="121"/>
      <c r="O370" s="121"/>
      <c r="P370" s="122"/>
      <c r="Q370" s="338"/>
      <c r="R370" s="365"/>
      <c r="S370" s="327"/>
      <c r="T370" s="447"/>
      <c r="U370" s="448"/>
      <c r="V370" s="232"/>
    </row>
    <row r="371" spans="2:22">
      <c r="B371" s="115"/>
      <c r="C371" s="150"/>
      <c r="D371" s="111"/>
      <c r="E371" s="112"/>
      <c r="F371" s="113"/>
      <c r="G371" s="114"/>
      <c r="H371" s="115"/>
      <c r="I371" s="116"/>
      <c r="J371" s="117"/>
      <c r="K371" s="118"/>
      <c r="L371" s="119"/>
      <c r="M371" s="120"/>
      <c r="N371" s="121"/>
      <c r="O371" s="121"/>
      <c r="P371" s="122"/>
      <c r="Q371" s="338"/>
      <c r="R371" s="365"/>
      <c r="S371" s="327"/>
      <c r="T371" s="447"/>
      <c r="U371" s="448"/>
      <c r="V371" s="232"/>
    </row>
    <row r="372" spans="2:22">
      <c r="B372" s="115"/>
      <c r="C372" s="150"/>
      <c r="D372" s="111"/>
      <c r="E372" s="111"/>
      <c r="F372" s="113"/>
      <c r="G372" s="114"/>
      <c r="H372" s="115"/>
      <c r="I372" s="116"/>
      <c r="J372" s="117"/>
      <c r="K372" s="118"/>
      <c r="L372" s="119"/>
      <c r="M372" s="120"/>
      <c r="N372" s="121"/>
      <c r="O372" s="121"/>
      <c r="P372" s="122"/>
      <c r="Q372" s="338"/>
      <c r="R372" s="365"/>
      <c r="S372" s="327"/>
      <c r="T372" s="447"/>
      <c r="U372" s="448"/>
      <c r="V372" s="232"/>
    </row>
    <row r="373" spans="2:22">
      <c r="B373" s="115"/>
      <c r="C373" s="150"/>
      <c r="D373" s="123"/>
      <c r="E373" s="111"/>
      <c r="F373" s="113"/>
      <c r="G373" s="114"/>
      <c r="H373" s="115"/>
      <c r="I373" s="116"/>
      <c r="J373" s="117"/>
      <c r="K373" s="118"/>
      <c r="L373" s="119"/>
      <c r="M373" s="120"/>
      <c r="N373" s="121"/>
      <c r="O373" s="121"/>
      <c r="P373" s="122"/>
      <c r="Q373" s="338"/>
      <c r="R373" s="365"/>
      <c r="S373" s="327"/>
      <c r="T373" s="447"/>
      <c r="U373" s="448"/>
      <c r="V373" s="232"/>
    </row>
    <row r="374" spans="2:22">
      <c r="B374" s="149"/>
      <c r="C374" s="153"/>
      <c r="D374" s="111"/>
      <c r="E374" s="146"/>
      <c r="F374" s="113"/>
      <c r="G374" s="148"/>
      <c r="H374" s="149"/>
      <c r="I374" s="151"/>
      <c r="J374" s="117"/>
      <c r="K374" s="118"/>
      <c r="L374" s="154"/>
      <c r="M374" s="120"/>
      <c r="N374" s="121"/>
      <c r="O374" s="121"/>
      <c r="P374" s="122"/>
      <c r="Q374" s="338"/>
      <c r="R374" s="365"/>
      <c r="S374" s="327"/>
      <c r="T374" s="447"/>
      <c r="U374" s="448"/>
      <c r="V374" s="232"/>
    </row>
    <row r="375" spans="2:22">
      <c r="B375" s="149"/>
      <c r="C375" s="150"/>
      <c r="D375" s="146"/>
      <c r="E375" s="146"/>
      <c r="F375" s="147"/>
      <c r="G375" s="148"/>
      <c r="H375" s="149"/>
      <c r="I375" s="151"/>
      <c r="J375" s="116"/>
      <c r="K375" s="118"/>
      <c r="L375" s="155"/>
      <c r="M375" s="120"/>
      <c r="N375" s="121"/>
      <c r="O375" s="121"/>
      <c r="P375" s="122"/>
      <c r="Q375" s="338"/>
      <c r="R375" s="365"/>
      <c r="S375" s="327"/>
      <c r="T375" s="447"/>
      <c r="U375" s="448"/>
      <c r="V375" s="232"/>
    </row>
    <row r="376" spans="2:22">
      <c r="B376" s="115"/>
      <c r="C376" s="150"/>
      <c r="D376" s="111"/>
      <c r="E376" s="112"/>
      <c r="F376" s="113"/>
      <c r="G376" s="114"/>
      <c r="H376" s="115"/>
      <c r="I376" s="116"/>
      <c r="J376" s="117"/>
      <c r="K376" s="118"/>
      <c r="L376" s="119"/>
      <c r="M376" s="120"/>
      <c r="N376" s="121"/>
      <c r="O376" s="121"/>
      <c r="P376" s="122"/>
      <c r="Q376" s="338"/>
      <c r="R376" s="365"/>
      <c r="S376" s="327"/>
      <c r="T376" s="447"/>
      <c r="U376" s="448"/>
      <c r="V376" s="232"/>
    </row>
    <row r="377" spans="2:22">
      <c r="B377" s="149"/>
      <c r="C377" s="153"/>
      <c r="D377" s="111"/>
      <c r="E377" s="156"/>
      <c r="F377" s="113"/>
      <c r="G377" s="148"/>
      <c r="H377" s="149"/>
      <c r="I377" s="151"/>
      <c r="J377" s="116"/>
      <c r="K377" s="157"/>
      <c r="L377" s="155"/>
      <c r="M377" s="158"/>
      <c r="N377" s="159"/>
      <c r="O377" s="159"/>
      <c r="P377" s="160"/>
      <c r="Q377" s="338"/>
      <c r="R377" s="365"/>
      <c r="S377" s="327"/>
      <c r="T377" s="447"/>
      <c r="U377" s="448"/>
      <c r="V377" s="232"/>
    </row>
    <row r="378" spans="2:22">
      <c r="B378" s="149"/>
      <c r="C378" s="150"/>
      <c r="D378" s="146"/>
      <c r="E378" s="156"/>
      <c r="F378" s="147"/>
      <c r="G378" s="148"/>
      <c r="H378" s="149"/>
      <c r="I378" s="151"/>
      <c r="J378" s="161"/>
      <c r="K378" s="162"/>
      <c r="M378" s="163"/>
      <c r="N378" s="164"/>
      <c r="O378" s="164"/>
      <c r="P378" s="165"/>
      <c r="Q378" s="355"/>
      <c r="R378" s="395"/>
      <c r="S378" s="328"/>
      <c r="T378" s="449"/>
      <c r="U378" s="516"/>
      <c r="V378" s="237"/>
    </row>
    <row r="379" spans="2:22" ht="15" thickBot="1">
      <c r="B379" s="129"/>
      <c r="C379" s="238"/>
      <c r="D379" s="126"/>
      <c r="E379" s="126"/>
      <c r="F379" s="127"/>
      <c r="G379" s="128"/>
      <c r="H379" s="129"/>
      <c r="I379" s="130"/>
      <c r="J379" s="130"/>
      <c r="K379" s="131"/>
      <c r="L379" s="132"/>
      <c r="M379" s="133"/>
      <c r="N379" s="134"/>
      <c r="O379" s="134"/>
      <c r="P379" s="135"/>
      <c r="Q379" s="398"/>
      <c r="R379" s="399"/>
      <c r="S379" s="197"/>
      <c r="T379" s="400"/>
      <c r="U379" s="401"/>
      <c r="V379" s="241"/>
    </row>
    <row r="380" spans="2:22">
      <c r="K380" s="136"/>
      <c r="N380" s="136"/>
      <c r="O380" s="136"/>
      <c r="P380" s="136" t="s">
        <v>37</v>
      </c>
      <c r="Q380" s="137">
        <f>SUM(Q362:Q379)</f>
        <v>38.447811999999999</v>
      </c>
      <c r="R380" s="137"/>
      <c r="S380" s="137">
        <f>SUM(S362:S379)</f>
        <v>26.913468399999999</v>
      </c>
      <c r="T380" s="137">
        <f>SUM(T362:T379)</f>
        <v>26.913468399999999</v>
      </c>
      <c r="U380" s="137">
        <f>SUM(U362:U379)</f>
        <v>0</v>
      </c>
    </row>
    <row r="381" spans="2:22" ht="15" thickBot="1">
      <c r="B381" s="220" t="s">
        <v>565</v>
      </c>
      <c r="P381" s="221"/>
      <c r="Q381" s="379"/>
      <c r="R381" s="87"/>
      <c r="S381" s="87"/>
      <c r="T381" s="380" t="s">
        <v>482</v>
      </c>
      <c r="U381" s="381" t="s">
        <v>508</v>
      </c>
    </row>
    <row r="382" spans="2:22" ht="52.5" thickBot="1">
      <c r="B382" s="91" t="s">
        <v>70</v>
      </c>
      <c r="C382" s="92" t="s">
        <v>71</v>
      </c>
      <c r="D382" s="92" t="s">
        <v>217</v>
      </c>
      <c r="E382" s="91" t="s">
        <v>73</v>
      </c>
      <c r="F382" s="91" t="s">
        <v>74</v>
      </c>
      <c r="G382" s="91" t="s">
        <v>75</v>
      </c>
      <c r="H382" s="557" t="s">
        <v>76</v>
      </c>
      <c r="I382" s="558"/>
      <c r="J382" s="558"/>
      <c r="K382" s="559"/>
      <c r="L382" s="93" t="s">
        <v>77</v>
      </c>
      <c r="M382" s="557" t="s">
        <v>78</v>
      </c>
      <c r="N382" s="558"/>
      <c r="O382" s="558"/>
      <c r="P382" s="559"/>
      <c r="Q382" s="382" t="s">
        <v>79</v>
      </c>
      <c r="R382" s="383" t="s">
        <v>115</v>
      </c>
      <c r="S382" s="91" t="s">
        <v>116</v>
      </c>
      <c r="T382" s="384" t="s">
        <v>117</v>
      </c>
      <c r="U382" s="385" t="s">
        <v>118</v>
      </c>
      <c r="V382" s="91" t="s">
        <v>176</v>
      </c>
    </row>
    <row r="383" spans="2:22" ht="15" thickBot="1">
      <c r="B383" s="223" t="s">
        <v>177</v>
      </c>
      <c r="C383" s="95"/>
      <c r="D383" s="95"/>
      <c r="E383" s="95"/>
      <c r="F383" s="95"/>
      <c r="G383" s="96"/>
      <c r="H383" s="97" t="s">
        <v>70</v>
      </c>
      <c r="I383" s="98" t="s">
        <v>83</v>
      </c>
      <c r="J383" s="98" t="s">
        <v>84</v>
      </c>
      <c r="K383" s="99" t="s">
        <v>85</v>
      </c>
      <c r="L383" s="100"/>
      <c r="M383" s="101" t="s">
        <v>70</v>
      </c>
      <c r="N383" s="98" t="s">
        <v>83</v>
      </c>
      <c r="O383" s="98" t="s">
        <v>84</v>
      </c>
      <c r="P383" s="99" t="s">
        <v>85</v>
      </c>
      <c r="Q383" s="386"/>
      <c r="R383" s="387"/>
      <c r="S383" s="102"/>
      <c r="T383" s="388"/>
      <c r="U383" s="389" t="s">
        <v>86</v>
      </c>
      <c r="V383" s="102"/>
    </row>
    <row r="384" spans="2:22">
      <c r="B384" s="103"/>
      <c r="C384" s="104"/>
      <c r="D384" s="104"/>
      <c r="E384" s="104"/>
      <c r="F384" s="105"/>
      <c r="G384" s="105"/>
      <c r="H384" s="103"/>
      <c r="I384" s="225"/>
      <c r="J384" s="225"/>
      <c r="K384" s="107"/>
      <c r="L384" s="108"/>
      <c r="M384" s="109"/>
      <c r="N384" s="104"/>
      <c r="O384" s="104"/>
      <c r="P384" s="107"/>
      <c r="Q384" s="390"/>
      <c r="R384" s="391"/>
      <c r="S384" s="227"/>
      <c r="T384" s="392"/>
      <c r="U384" s="393"/>
      <c r="V384" s="229"/>
    </row>
    <row r="385" spans="2:22" ht="29">
      <c r="B385" s="115">
        <v>2</v>
      </c>
      <c r="C385" s="515" t="s">
        <v>562</v>
      </c>
      <c r="D385" s="111" t="s">
        <v>563</v>
      </c>
      <c r="E385" s="112" t="s">
        <v>566</v>
      </c>
      <c r="F385" s="234"/>
      <c r="G385" s="114"/>
      <c r="H385" s="115">
        <v>1</v>
      </c>
      <c r="I385" s="116">
        <v>8.6989999999999998</v>
      </c>
      <c r="J385" s="117">
        <v>1.268</v>
      </c>
      <c r="K385" s="118">
        <f t="shared" ref="K385" si="13">H385*I385*J385</f>
        <v>11.030332</v>
      </c>
      <c r="L385" s="119"/>
      <c r="M385" s="120">
        <v>0</v>
      </c>
      <c r="N385" s="117">
        <v>0</v>
      </c>
      <c r="O385" s="117">
        <v>0</v>
      </c>
      <c r="P385" s="209">
        <v>0</v>
      </c>
      <c r="Q385" s="324">
        <f t="shared" ref="Q385" si="14">SUM(K385:K394)-SUM(P385:P387)</f>
        <v>11.030332</v>
      </c>
      <c r="R385" s="230">
        <v>0.7</v>
      </c>
      <c r="S385" s="327">
        <f t="shared" ref="S385" si="15">(Q385)*R385</f>
        <v>7.721232399999999</v>
      </c>
      <c r="T385" s="447">
        <v>7.721232399999999</v>
      </c>
      <c r="U385" s="448">
        <f t="shared" ref="U385" si="16">S385-T385</f>
        <v>0</v>
      </c>
      <c r="V385" s="232"/>
    </row>
    <row r="386" spans="2:22">
      <c r="B386" s="115"/>
      <c r="C386" s="150" t="s">
        <v>567</v>
      </c>
      <c r="D386" s="111"/>
      <c r="E386" s="111"/>
      <c r="F386" s="113"/>
      <c r="G386" s="114"/>
      <c r="H386" s="115"/>
      <c r="I386" s="116"/>
      <c r="J386" s="117"/>
      <c r="K386" s="118"/>
      <c r="L386" s="119"/>
      <c r="M386" s="120"/>
      <c r="N386" s="121"/>
      <c r="O386" s="121"/>
      <c r="P386" s="122"/>
      <c r="Q386" s="338"/>
      <c r="R386" s="365"/>
      <c r="S386" s="327"/>
      <c r="T386" s="447"/>
      <c r="U386" s="448"/>
      <c r="V386" s="232"/>
    </row>
    <row r="387" spans="2:22">
      <c r="B387" s="115"/>
      <c r="C387" s="150"/>
      <c r="D387" s="111"/>
      <c r="E387" s="111"/>
      <c r="F387" s="113"/>
      <c r="G387" s="114"/>
      <c r="H387" s="115"/>
      <c r="I387" s="116"/>
      <c r="J387" s="117"/>
      <c r="K387" s="118"/>
      <c r="L387" s="119"/>
      <c r="M387" s="120"/>
      <c r="N387" s="121"/>
      <c r="O387" s="121"/>
      <c r="P387" s="122"/>
      <c r="Q387" s="338"/>
      <c r="R387" s="365"/>
      <c r="S387" s="327"/>
      <c r="T387" s="447"/>
      <c r="U387" s="448"/>
      <c r="V387" s="232"/>
    </row>
    <row r="388" spans="2:22">
      <c r="B388" s="115"/>
      <c r="C388" s="150"/>
      <c r="D388" s="111"/>
      <c r="E388" s="112"/>
      <c r="F388" s="113"/>
      <c r="G388" s="114"/>
      <c r="H388" s="115"/>
      <c r="I388" s="116"/>
      <c r="J388" s="117"/>
      <c r="K388" s="118"/>
      <c r="L388" s="119"/>
      <c r="M388" s="120"/>
      <c r="N388" s="121"/>
      <c r="O388" s="121"/>
      <c r="P388" s="122"/>
      <c r="Q388" s="338"/>
      <c r="R388" s="365"/>
      <c r="S388" s="327"/>
      <c r="T388" s="447"/>
      <c r="U388" s="448"/>
      <c r="V388" s="232"/>
    </row>
    <row r="389" spans="2:22">
      <c r="B389" s="115"/>
      <c r="C389" s="150"/>
      <c r="D389" s="111"/>
      <c r="E389" s="111"/>
      <c r="F389" s="113"/>
      <c r="G389" s="114"/>
      <c r="H389" s="115"/>
      <c r="I389" s="116"/>
      <c r="J389" s="117"/>
      <c r="K389" s="118"/>
      <c r="L389" s="119"/>
      <c r="M389" s="120"/>
      <c r="N389" s="121"/>
      <c r="O389" s="121"/>
      <c r="P389" s="122"/>
      <c r="Q389" s="338"/>
      <c r="R389" s="365"/>
      <c r="S389" s="327"/>
      <c r="T389" s="447"/>
      <c r="U389" s="448"/>
      <c r="V389" s="232"/>
    </row>
    <row r="390" spans="2:22">
      <c r="B390" s="115"/>
      <c r="C390" s="150"/>
      <c r="D390" s="123"/>
      <c r="E390" s="111"/>
      <c r="F390" s="113"/>
      <c r="G390" s="114"/>
      <c r="H390" s="115"/>
      <c r="I390" s="116"/>
      <c r="J390" s="117"/>
      <c r="K390" s="118"/>
      <c r="L390" s="119"/>
      <c r="M390" s="120"/>
      <c r="N390" s="121"/>
      <c r="O390" s="121"/>
      <c r="P390" s="122"/>
      <c r="Q390" s="338"/>
      <c r="R390" s="365"/>
      <c r="S390" s="327"/>
      <c r="T390" s="447"/>
      <c r="U390" s="448"/>
      <c r="V390" s="232"/>
    </row>
    <row r="391" spans="2:22">
      <c r="B391" s="149"/>
      <c r="C391" s="153"/>
      <c r="D391" s="111"/>
      <c r="E391" s="146"/>
      <c r="F391" s="113"/>
      <c r="G391" s="148"/>
      <c r="H391" s="149"/>
      <c r="I391" s="151"/>
      <c r="J391" s="117"/>
      <c r="K391" s="118"/>
      <c r="L391" s="154"/>
      <c r="M391" s="120"/>
      <c r="N391" s="121"/>
      <c r="O391" s="121"/>
      <c r="P391" s="122"/>
      <c r="Q391" s="338"/>
      <c r="R391" s="365"/>
      <c r="S391" s="327"/>
      <c r="T391" s="447"/>
      <c r="U391" s="448"/>
      <c r="V391" s="232"/>
    </row>
    <row r="392" spans="2:22">
      <c r="B392" s="149"/>
      <c r="C392" s="150"/>
      <c r="D392" s="146"/>
      <c r="E392" s="146"/>
      <c r="F392" s="147"/>
      <c r="G392" s="148"/>
      <c r="H392" s="149"/>
      <c r="I392" s="151"/>
      <c r="J392" s="116"/>
      <c r="K392" s="118"/>
      <c r="L392" s="155"/>
      <c r="M392" s="120"/>
      <c r="N392" s="121"/>
      <c r="O392" s="121"/>
      <c r="P392" s="122"/>
      <c r="Q392" s="338"/>
      <c r="R392" s="365"/>
      <c r="S392" s="327"/>
      <c r="T392" s="447"/>
      <c r="U392" s="448"/>
      <c r="V392" s="232"/>
    </row>
    <row r="393" spans="2:22">
      <c r="B393" s="115"/>
      <c r="C393" s="150"/>
      <c r="D393" s="111"/>
      <c r="E393" s="112"/>
      <c r="F393" s="113"/>
      <c r="G393" s="114"/>
      <c r="H393" s="115"/>
      <c r="I393" s="116"/>
      <c r="J393" s="117"/>
      <c r="K393" s="118"/>
      <c r="L393" s="119"/>
      <c r="M393" s="120"/>
      <c r="N393" s="121"/>
      <c r="O393" s="121"/>
      <c r="P393" s="122"/>
      <c r="Q393" s="338"/>
      <c r="R393" s="365"/>
      <c r="S393" s="327"/>
      <c r="T393" s="447"/>
      <c r="U393" s="448"/>
      <c r="V393" s="232"/>
    </row>
    <row r="394" spans="2:22">
      <c r="B394" s="149"/>
      <c r="C394" s="153"/>
      <c r="D394" s="111"/>
      <c r="E394" s="156"/>
      <c r="F394" s="113"/>
      <c r="G394" s="148"/>
      <c r="H394" s="149"/>
      <c r="I394" s="151"/>
      <c r="J394" s="116"/>
      <c r="K394" s="157"/>
      <c r="L394" s="155"/>
      <c r="M394" s="158"/>
      <c r="N394" s="159"/>
      <c r="O394" s="159"/>
      <c r="P394" s="160"/>
      <c r="Q394" s="338"/>
      <c r="R394" s="365"/>
      <c r="S394" s="327"/>
      <c r="T394" s="447"/>
      <c r="U394" s="448"/>
      <c r="V394" s="232"/>
    </row>
    <row r="395" spans="2:22">
      <c r="B395" s="149"/>
      <c r="C395" s="150"/>
      <c r="D395" s="146"/>
      <c r="E395" s="156"/>
      <c r="F395" s="147"/>
      <c r="G395" s="148"/>
      <c r="H395" s="149"/>
      <c r="I395" s="151"/>
      <c r="J395" s="161"/>
      <c r="K395" s="162"/>
      <c r="M395" s="163"/>
      <c r="N395" s="164"/>
      <c r="O395" s="164"/>
      <c r="P395" s="165"/>
      <c r="Q395" s="355"/>
      <c r="R395" s="395"/>
      <c r="S395" s="328"/>
      <c r="T395" s="449"/>
      <c r="U395" s="516"/>
      <c r="V395" s="237"/>
    </row>
    <row r="396" spans="2:22" ht="15" thickBot="1">
      <c r="B396" s="129"/>
      <c r="C396" s="238"/>
      <c r="D396" s="126"/>
      <c r="E396" s="126"/>
      <c r="F396" s="127"/>
      <c r="G396" s="128"/>
      <c r="H396" s="129"/>
      <c r="I396" s="130"/>
      <c r="J396" s="130"/>
      <c r="K396" s="131"/>
      <c r="L396" s="132"/>
      <c r="M396" s="133"/>
      <c r="N396" s="134"/>
      <c r="O396" s="134"/>
      <c r="P396" s="135"/>
      <c r="Q396" s="398"/>
      <c r="R396" s="399"/>
      <c r="S396" s="197"/>
      <c r="T396" s="400"/>
      <c r="U396" s="401"/>
      <c r="V396" s="241"/>
    </row>
    <row r="397" spans="2:22">
      <c r="K397" s="136"/>
      <c r="N397" s="136"/>
      <c r="O397" s="136"/>
      <c r="P397" s="136" t="s">
        <v>37</v>
      </c>
      <c r="Q397" s="137">
        <f>SUM(Q381:Q396)</f>
        <v>11.030332</v>
      </c>
      <c r="R397" s="137"/>
      <c r="S397" s="137">
        <f>SUM(S381:S396)</f>
        <v>7.721232399999999</v>
      </c>
      <c r="T397" s="137">
        <f>SUM(T381:T396)</f>
        <v>7.721232399999999</v>
      </c>
      <c r="U397" s="137">
        <f>SUM(U381:U396)</f>
        <v>0</v>
      </c>
    </row>
    <row r="399" spans="2:22" ht="15" thickBot="1">
      <c r="B399" s="540" t="s">
        <v>580</v>
      </c>
      <c r="P399" s="221"/>
      <c r="Q399" s="379"/>
      <c r="R399" s="87"/>
      <c r="S399" s="87"/>
      <c r="T399" s="380" t="s">
        <v>482</v>
      </c>
      <c r="U399" s="381" t="s">
        <v>581</v>
      </c>
    </row>
    <row r="400" spans="2:22" ht="52.5" thickBot="1">
      <c r="B400" s="91" t="s">
        <v>70</v>
      </c>
      <c r="C400" s="92" t="s">
        <v>71</v>
      </c>
      <c r="D400" s="92" t="s">
        <v>217</v>
      </c>
      <c r="E400" s="91" t="s">
        <v>73</v>
      </c>
      <c r="F400" s="91" t="s">
        <v>74</v>
      </c>
      <c r="G400" s="91" t="s">
        <v>75</v>
      </c>
      <c r="H400" s="557" t="s">
        <v>76</v>
      </c>
      <c r="I400" s="558"/>
      <c r="J400" s="558"/>
      <c r="K400" s="559"/>
      <c r="L400" s="93" t="s">
        <v>77</v>
      </c>
      <c r="M400" s="557" t="s">
        <v>78</v>
      </c>
      <c r="N400" s="558"/>
      <c r="O400" s="558"/>
      <c r="P400" s="559"/>
      <c r="Q400" s="382" t="s">
        <v>79</v>
      </c>
      <c r="R400" s="383" t="s">
        <v>115</v>
      </c>
      <c r="S400" s="91" t="s">
        <v>116</v>
      </c>
      <c r="T400" s="384" t="s">
        <v>117</v>
      </c>
      <c r="U400" s="385" t="s">
        <v>118</v>
      </c>
      <c r="V400" s="91" t="s">
        <v>176</v>
      </c>
    </row>
    <row r="401" spans="2:22" ht="15" thickBot="1">
      <c r="B401" s="223" t="s">
        <v>380</v>
      </c>
      <c r="C401" s="95"/>
      <c r="D401" s="95"/>
      <c r="E401" s="95"/>
      <c r="F401" s="95"/>
      <c r="G401" s="96"/>
      <c r="H401" s="97" t="s">
        <v>70</v>
      </c>
      <c r="I401" s="98" t="s">
        <v>83</v>
      </c>
      <c r="J401" s="98" t="s">
        <v>84</v>
      </c>
      <c r="K401" s="99" t="s">
        <v>85</v>
      </c>
      <c r="L401" s="100"/>
      <c r="M401" s="101" t="s">
        <v>70</v>
      </c>
      <c r="N401" s="98" t="s">
        <v>83</v>
      </c>
      <c r="O401" s="98" t="s">
        <v>84</v>
      </c>
      <c r="P401" s="99" t="s">
        <v>85</v>
      </c>
      <c r="Q401" s="386"/>
      <c r="R401" s="387"/>
      <c r="S401" s="102"/>
      <c r="T401" s="388"/>
      <c r="U401" s="389" t="s">
        <v>86</v>
      </c>
      <c r="V401" s="102"/>
    </row>
    <row r="402" spans="2:22">
      <c r="B402" s="103"/>
      <c r="C402" s="104"/>
      <c r="D402" s="104"/>
      <c r="E402" s="104"/>
      <c r="F402" s="105"/>
      <c r="G402" s="105"/>
      <c r="H402" s="103"/>
      <c r="I402" s="225"/>
      <c r="J402" s="225"/>
      <c r="K402" s="107"/>
      <c r="L402" s="108"/>
      <c r="M402" s="109"/>
      <c r="N402" s="104"/>
      <c r="O402" s="104"/>
      <c r="P402" s="107"/>
      <c r="Q402" s="390"/>
      <c r="R402" s="391"/>
      <c r="S402" s="227"/>
      <c r="T402" s="392"/>
      <c r="U402" s="393"/>
      <c r="V402" s="229"/>
    </row>
    <row r="403" spans="2:22">
      <c r="B403" s="178">
        <v>1</v>
      </c>
      <c r="C403" s="515" t="s">
        <v>582</v>
      </c>
      <c r="D403" s="257" t="s">
        <v>583</v>
      </c>
      <c r="E403" s="146" t="s">
        <v>584</v>
      </c>
      <c r="F403" s="146"/>
      <c r="G403" s="148"/>
      <c r="H403" s="149">
        <v>1</v>
      </c>
      <c r="I403" s="258">
        <v>21.78</v>
      </c>
      <c r="J403">
        <v>4.4000000000000004</v>
      </c>
      <c r="K403" s="118">
        <f>H403*I403*J403</f>
        <v>95.832000000000008</v>
      </c>
      <c r="L403" s="119"/>
      <c r="M403" s="403">
        <v>0</v>
      </c>
      <c r="N403" s="404">
        <v>0</v>
      </c>
      <c r="O403" s="404">
        <v>0</v>
      </c>
      <c r="P403" s="122">
        <v>0</v>
      </c>
      <c r="Q403" s="324">
        <f>SUM(K403:K412)-SUM(P403:P405)</f>
        <v>95.832000000000008</v>
      </c>
      <c r="R403" s="230">
        <v>1</v>
      </c>
      <c r="S403" s="327">
        <f>(Q403)*R403</f>
        <v>95.832000000000008</v>
      </c>
      <c r="T403" s="447">
        <v>0</v>
      </c>
      <c r="U403" s="448">
        <f>S403-T403</f>
        <v>95.832000000000008</v>
      </c>
      <c r="V403" s="544" t="s">
        <v>624</v>
      </c>
    </row>
    <row r="404" spans="2:22">
      <c r="B404" s="115"/>
      <c r="C404" s="493" t="s">
        <v>585</v>
      </c>
      <c r="D404" s="111"/>
      <c r="E404" s="146"/>
      <c r="F404" s="147"/>
      <c r="G404" s="148"/>
      <c r="H404" s="149"/>
      <c r="I404" s="151"/>
      <c r="J404" s="116"/>
      <c r="K404" s="118"/>
      <c r="L404" s="119"/>
      <c r="M404" s="120"/>
      <c r="N404" s="121"/>
      <c r="O404" s="121"/>
      <c r="P404" s="122"/>
      <c r="Q404" s="364"/>
      <c r="R404" s="361"/>
      <c r="S404" s="231"/>
      <c r="T404" s="362"/>
      <c r="U404" s="363"/>
      <c r="V404" s="232"/>
    </row>
    <row r="405" spans="2:22">
      <c r="B405" s="115"/>
      <c r="C405" s="152"/>
      <c r="D405" s="123"/>
      <c r="E405" s="112"/>
      <c r="F405" s="113"/>
      <c r="G405" s="114"/>
      <c r="H405" s="115"/>
      <c r="I405" s="116"/>
      <c r="J405" s="117"/>
      <c r="K405" s="118"/>
      <c r="L405" s="119"/>
      <c r="M405" s="120"/>
      <c r="N405" s="117"/>
      <c r="O405" s="117"/>
      <c r="P405" s="122"/>
      <c r="Q405" s="366"/>
      <c r="R405" s="365"/>
      <c r="S405" s="231"/>
      <c r="T405" s="362"/>
      <c r="U405" s="363"/>
      <c r="V405" s="232"/>
    </row>
    <row r="406" spans="2:22">
      <c r="B406" s="115"/>
      <c r="C406" s="150"/>
      <c r="D406" s="111"/>
      <c r="E406" s="112"/>
      <c r="F406" s="234"/>
      <c r="G406" s="114"/>
      <c r="H406" s="115"/>
      <c r="I406" s="116"/>
      <c r="J406" s="117"/>
      <c r="K406" s="118"/>
      <c r="L406" s="119"/>
      <c r="M406" s="120"/>
      <c r="N406" s="117"/>
      <c r="O406" s="117"/>
      <c r="P406" s="209"/>
      <c r="Q406" s="366"/>
      <c r="R406" s="361"/>
      <c r="S406" s="231"/>
      <c r="T406" s="362"/>
      <c r="U406" s="363"/>
      <c r="V406" s="232"/>
    </row>
    <row r="407" spans="2:22">
      <c r="B407" s="115"/>
      <c r="C407" s="150"/>
      <c r="D407" s="111"/>
      <c r="E407" s="111"/>
      <c r="F407" s="113"/>
      <c r="G407" s="114"/>
      <c r="H407" s="115"/>
      <c r="I407" s="116"/>
      <c r="J407" s="117"/>
      <c r="K407" s="118"/>
      <c r="L407" s="119"/>
      <c r="M407" s="120"/>
      <c r="N407" s="121"/>
      <c r="O407" s="121"/>
      <c r="P407" s="122"/>
      <c r="Q407" s="366"/>
      <c r="R407" s="365"/>
      <c r="S407" s="231"/>
      <c r="T407" s="362"/>
      <c r="U407" s="363"/>
      <c r="V407" s="232"/>
    </row>
    <row r="408" spans="2:22">
      <c r="B408" s="115"/>
      <c r="C408" s="150"/>
      <c r="D408" s="111"/>
      <c r="E408" s="111"/>
      <c r="F408" s="113"/>
      <c r="G408" s="114"/>
      <c r="H408" s="115"/>
      <c r="I408" s="116"/>
      <c r="J408" s="117"/>
      <c r="K408" s="118"/>
      <c r="L408" s="119"/>
      <c r="M408" s="120"/>
      <c r="N408" s="121"/>
      <c r="O408" s="121"/>
      <c r="P408" s="122"/>
      <c r="Q408" s="366"/>
      <c r="R408" s="365"/>
      <c r="S408" s="231"/>
      <c r="T408" s="362"/>
      <c r="U408" s="363"/>
      <c r="V408" s="232"/>
    </row>
    <row r="409" spans="2:22">
      <c r="B409" s="115"/>
      <c r="C409" s="150"/>
      <c r="D409" s="111"/>
      <c r="E409" s="112"/>
      <c r="F409" s="113"/>
      <c r="G409" s="114"/>
      <c r="H409" s="115"/>
      <c r="I409" s="116"/>
      <c r="J409" s="117"/>
      <c r="K409" s="118"/>
      <c r="L409" s="119"/>
      <c r="M409" s="120"/>
      <c r="N409" s="121"/>
      <c r="O409" s="121"/>
      <c r="P409" s="122"/>
      <c r="Q409" s="366"/>
      <c r="R409" s="365"/>
      <c r="S409" s="231"/>
      <c r="T409" s="362"/>
      <c r="U409" s="363"/>
      <c r="V409" s="232"/>
    </row>
    <row r="410" spans="2:22">
      <c r="B410" s="115"/>
      <c r="C410" s="150"/>
      <c r="D410" s="111"/>
      <c r="E410" s="111"/>
      <c r="F410" s="113"/>
      <c r="G410" s="114"/>
      <c r="H410" s="115"/>
      <c r="I410" s="116"/>
      <c r="J410" s="117"/>
      <c r="K410" s="118"/>
      <c r="L410" s="119"/>
      <c r="M410" s="120"/>
      <c r="N410" s="121"/>
      <c r="O410" s="121"/>
      <c r="P410" s="122"/>
      <c r="Q410" s="366"/>
      <c r="R410" s="365"/>
      <c r="S410" s="231"/>
      <c r="T410" s="362"/>
      <c r="U410" s="363"/>
      <c r="V410" s="232"/>
    </row>
    <row r="411" spans="2:22">
      <c r="B411" s="115"/>
      <c r="C411" s="150"/>
      <c r="D411" s="123"/>
      <c r="E411" s="111"/>
      <c r="F411" s="113"/>
      <c r="G411" s="114"/>
      <c r="H411" s="115"/>
      <c r="I411" s="116"/>
      <c r="J411" s="117"/>
      <c r="K411" s="118"/>
      <c r="L411" s="119"/>
      <c r="M411" s="120"/>
      <c r="N411" s="121"/>
      <c r="O411" s="121"/>
      <c r="P411" s="122"/>
      <c r="Q411" s="366"/>
      <c r="R411" s="365"/>
      <c r="S411" s="231"/>
      <c r="T411" s="362"/>
      <c r="U411" s="363"/>
      <c r="V411" s="232"/>
    </row>
    <row r="412" spans="2:22">
      <c r="B412" s="149"/>
      <c r="C412" s="153"/>
      <c r="D412" s="111"/>
      <c r="E412" s="146"/>
      <c r="F412" s="113"/>
      <c r="G412" s="148"/>
      <c r="H412" s="149"/>
      <c r="I412" s="151"/>
      <c r="J412" s="117"/>
      <c r="K412" s="118"/>
      <c r="L412" s="154"/>
      <c r="M412" s="120"/>
      <c r="N412" s="121"/>
      <c r="O412" s="121"/>
      <c r="P412" s="122"/>
      <c r="Q412" s="366"/>
      <c r="R412" s="365"/>
      <c r="S412" s="231"/>
      <c r="T412" s="362"/>
      <c r="U412" s="363"/>
      <c r="V412" s="232"/>
    </row>
    <row r="413" spans="2:22">
      <c r="B413" s="149"/>
      <c r="C413" s="150"/>
      <c r="D413" s="146"/>
      <c r="E413" s="146"/>
      <c r="F413" s="147"/>
      <c r="G413" s="148"/>
      <c r="H413" s="149"/>
      <c r="I413" s="151"/>
      <c r="J413" s="116"/>
      <c r="K413" s="118"/>
      <c r="L413" s="155"/>
      <c r="M413" s="120"/>
      <c r="N413" s="121"/>
      <c r="O413" s="121"/>
      <c r="P413" s="122"/>
      <c r="Q413" s="366"/>
      <c r="R413" s="365"/>
      <c r="S413" s="231"/>
      <c r="T413" s="362"/>
      <c r="U413" s="363"/>
      <c r="V413" s="232"/>
    </row>
    <row r="414" spans="2:22" ht="15" thickBot="1">
      <c r="B414" s="129"/>
      <c r="C414" s="238"/>
      <c r="D414" s="126"/>
      <c r="E414" s="126"/>
      <c r="F414" s="127"/>
      <c r="G414" s="128"/>
      <c r="H414" s="129"/>
      <c r="I414" s="130"/>
      <c r="J414" s="130"/>
      <c r="K414" s="131"/>
      <c r="L414" s="132"/>
      <c r="M414" s="133"/>
      <c r="N414" s="134"/>
      <c r="O414" s="134"/>
      <c r="P414" s="135"/>
      <c r="Q414" s="398"/>
      <c r="R414" s="399"/>
      <c r="S414" s="197"/>
      <c r="T414" s="400"/>
      <c r="U414" s="401"/>
      <c r="V414" s="241"/>
    </row>
    <row r="415" spans="2:22">
      <c r="K415" s="136"/>
      <c r="N415" s="136"/>
      <c r="O415" s="136"/>
      <c r="P415" s="136" t="s">
        <v>37</v>
      </c>
      <c r="Q415" s="137">
        <f>SUM(Q399:Q414)</f>
        <v>95.832000000000008</v>
      </c>
      <c r="R415" s="137"/>
      <c r="S415" s="137">
        <f>SUM(S399:S414)</f>
        <v>95.832000000000008</v>
      </c>
      <c r="T415" s="137">
        <f>SUM(T399:T414)</f>
        <v>0</v>
      </c>
      <c r="U415" s="137">
        <f>SUM(U401:U414)</f>
        <v>95.832000000000008</v>
      </c>
    </row>
    <row r="416" spans="2:22">
      <c r="Q416" s="496"/>
      <c r="S416" s="89"/>
      <c r="T416" s="89"/>
      <c r="U416" s="89"/>
    </row>
    <row r="417" spans="2:22">
      <c r="Q417" s="496"/>
      <c r="S417" s="89"/>
      <c r="T417" s="89"/>
      <c r="U417" s="89"/>
    </row>
    <row r="418" spans="2:22" ht="15" thickBot="1">
      <c r="B418" s="540" t="s">
        <v>580</v>
      </c>
      <c r="P418" s="221"/>
      <c r="Q418" s="379"/>
      <c r="R418" s="87"/>
      <c r="S418" s="87"/>
      <c r="T418" s="380" t="s">
        <v>482</v>
      </c>
      <c r="U418" s="381" t="s">
        <v>581</v>
      </c>
    </row>
    <row r="419" spans="2:22" ht="52.5" thickBot="1">
      <c r="B419" s="91" t="s">
        <v>70</v>
      </c>
      <c r="C419" s="92" t="s">
        <v>71</v>
      </c>
      <c r="D419" s="92" t="s">
        <v>217</v>
      </c>
      <c r="E419" s="91" t="s">
        <v>73</v>
      </c>
      <c r="F419" s="91" t="s">
        <v>74</v>
      </c>
      <c r="G419" s="91" t="s">
        <v>75</v>
      </c>
      <c r="H419" s="557" t="s">
        <v>76</v>
      </c>
      <c r="I419" s="558"/>
      <c r="J419" s="558"/>
      <c r="K419" s="559"/>
      <c r="L419" s="93" t="s">
        <v>77</v>
      </c>
      <c r="M419" s="557" t="s">
        <v>78</v>
      </c>
      <c r="N419" s="558"/>
      <c r="O419" s="558"/>
      <c r="P419" s="559"/>
      <c r="Q419" s="382" t="s">
        <v>79</v>
      </c>
      <c r="R419" s="383" t="s">
        <v>115</v>
      </c>
      <c r="S419" s="91" t="s">
        <v>116</v>
      </c>
      <c r="T419" s="384" t="s">
        <v>117</v>
      </c>
      <c r="U419" s="385" t="s">
        <v>118</v>
      </c>
      <c r="V419" s="91" t="s">
        <v>176</v>
      </c>
    </row>
    <row r="420" spans="2:22" ht="15" thickBot="1">
      <c r="B420" s="223" t="s">
        <v>380</v>
      </c>
      <c r="C420" s="95"/>
      <c r="D420" s="95"/>
      <c r="E420" s="95"/>
      <c r="F420" s="95"/>
      <c r="G420" s="96"/>
      <c r="H420" s="97" t="s">
        <v>70</v>
      </c>
      <c r="I420" s="98" t="s">
        <v>83</v>
      </c>
      <c r="J420" s="98" t="s">
        <v>84</v>
      </c>
      <c r="K420" s="99" t="s">
        <v>85</v>
      </c>
      <c r="L420" s="100"/>
      <c r="M420" s="101" t="s">
        <v>70</v>
      </c>
      <c r="N420" s="98" t="s">
        <v>83</v>
      </c>
      <c r="O420" s="98" t="s">
        <v>84</v>
      </c>
      <c r="P420" s="99" t="s">
        <v>85</v>
      </c>
      <c r="Q420" s="386"/>
      <c r="R420" s="387"/>
      <c r="S420" s="102"/>
      <c r="T420" s="388"/>
      <c r="U420" s="389" t="s">
        <v>86</v>
      </c>
      <c r="V420" s="102"/>
    </row>
    <row r="421" spans="2:22" ht="15" thickBot="1">
      <c r="B421" s="103"/>
      <c r="C421" s="104"/>
      <c r="D421" s="104"/>
      <c r="E421" s="104"/>
      <c r="F421" s="105"/>
      <c r="G421" s="105"/>
      <c r="H421" s="103"/>
      <c r="I421" s="225"/>
      <c r="J421" s="225"/>
      <c r="K421" s="107"/>
      <c r="L421" s="108"/>
      <c r="M421" s="109"/>
      <c r="N421" s="104"/>
      <c r="O421" s="104"/>
      <c r="P421" s="107"/>
      <c r="Q421" s="390"/>
      <c r="R421" s="391"/>
      <c r="S421" s="227"/>
      <c r="T421" s="392"/>
      <c r="U421" s="393"/>
      <c r="V421" s="229"/>
    </row>
    <row r="422" spans="2:22">
      <c r="B422" s="178"/>
      <c r="C422" s="515"/>
      <c r="D422" s="257"/>
      <c r="E422" s="146"/>
      <c r="F422" s="146"/>
      <c r="G422" s="148"/>
      <c r="H422" s="149"/>
      <c r="I422" s="258"/>
      <c r="J422" s="225"/>
      <c r="K422" s="118"/>
      <c r="L422" s="119"/>
      <c r="M422" s="403"/>
      <c r="N422" s="404"/>
      <c r="O422" s="404"/>
      <c r="P422" s="122"/>
      <c r="Q422" s="364"/>
      <c r="R422" s="361"/>
      <c r="S422" s="231"/>
      <c r="T422" s="362"/>
      <c r="U422" s="363"/>
      <c r="V422" s="232"/>
    </row>
    <row r="423" spans="2:22">
      <c r="B423" s="115">
        <v>2</v>
      </c>
      <c r="C423" s="150" t="s">
        <v>586</v>
      </c>
      <c r="D423" s="111" t="s">
        <v>587</v>
      </c>
      <c r="E423" s="146" t="s">
        <v>584</v>
      </c>
      <c r="F423" s="113"/>
      <c r="G423" s="114"/>
      <c r="H423" s="115">
        <v>1</v>
      </c>
      <c r="I423" s="116">
        <v>19.379000000000001</v>
      </c>
      <c r="J423" s="117">
        <v>1.2849999999999999</v>
      </c>
      <c r="K423" s="118">
        <f t="shared" ref="K423" si="17">H423*I423*J423</f>
        <v>24.902014999999999</v>
      </c>
      <c r="L423" s="119"/>
      <c r="M423" s="120">
        <v>0</v>
      </c>
      <c r="N423" s="121">
        <v>0</v>
      </c>
      <c r="O423" s="121">
        <v>0</v>
      </c>
      <c r="P423" s="122">
        <f>M423*N423*O423</f>
        <v>0</v>
      </c>
      <c r="Q423" s="324">
        <f>SUM(K423:K432)-SUM(P423:P425)</f>
        <v>24.902014999999999</v>
      </c>
      <c r="R423" s="230">
        <v>1</v>
      </c>
      <c r="S423" s="327">
        <f>(Q423)*R423</f>
        <v>24.902014999999999</v>
      </c>
      <c r="T423" s="447">
        <v>0</v>
      </c>
      <c r="U423" s="448">
        <f>S423-T423</f>
        <v>24.902014999999999</v>
      </c>
      <c r="V423" s="544" t="s">
        <v>624</v>
      </c>
    </row>
    <row r="424" spans="2:22">
      <c r="B424" s="115"/>
      <c r="C424" s="493" t="s">
        <v>588</v>
      </c>
      <c r="D424" s="123"/>
      <c r="E424" s="112"/>
      <c r="F424" s="113"/>
      <c r="G424" s="114"/>
      <c r="H424" s="115"/>
      <c r="I424" s="116"/>
      <c r="J424" s="117"/>
      <c r="K424" s="118"/>
      <c r="L424" s="119"/>
      <c r="M424" s="120"/>
      <c r="N424" s="117"/>
      <c r="O424" s="117"/>
      <c r="P424" s="122"/>
      <c r="Q424" s="366"/>
      <c r="R424" s="365"/>
      <c r="S424" s="231"/>
      <c r="T424" s="362"/>
      <c r="U424" s="363"/>
      <c r="V424" s="232"/>
    </row>
    <row r="425" spans="2:22">
      <c r="B425" s="115"/>
      <c r="C425" s="150"/>
      <c r="D425" s="111"/>
      <c r="E425" s="112"/>
      <c r="F425" s="234"/>
      <c r="G425" s="114"/>
      <c r="H425" s="115"/>
      <c r="I425" s="116"/>
      <c r="J425" s="117"/>
      <c r="K425" s="118"/>
      <c r="L425" s="119"/>
      <c r="M425" s="120"/>
      <c r="N425" s="117"/>
      <c r="O425" s="117"/>
      <c r="P425" s="209"/>
      <c r="Q425" s="366"/>
      <c r="R425" s="361"/>
      <c r="S425" s="231"/>
      <c r="T425" s="362"/>
      <c r="U425" s="363"/>
      <c r="V425" s="232"/>
    </row>
    <row r="426" spans="2:22">
      <c r="B426" s="115"/>
      <c r="C426" s="150"/>
      <c r="D426" s="111"/>
      <c r="E426" s="111"/>
      <c r="F426" s="113"/>
      <c r="G426" s="114"/>
      <c r="H426" s="115"/>
      <c r="I426" s="116"/>
      <c r="J426" s="117"/>
      <c r="K426" s="118"/>
      <c r="L426" s="119"/>
      <c r="M426" s="120"/>
      <c r="N426" s="121"/>
      <c r="O426" s="121"/>
      <c r="P426" s="122"/>
      <c r="Q426" s="366"/>
      <c r="R426" s="365"/>
      <c r="S426" s="231"/>
      <c r="T426" s="362"/>
      <c r="U426" s="363"/>
      <c r="V426" s="232"/>
    </row>
    <row r="427" spans="2:22">
      <c r="B427" s="115"/>
      <c r="C427" s="150"/>
      <c r="D427" s="111"/>
      <c r="E427" s="111"/>
      <c r="F427" s="113"/>
      <c r="G427" s="114"/>
      <c r="H427" s="115"/>
      <c r="I427" s="116"/>
      <c r="J427" s="117"/>
      <c r="K427" s="118"/>
      <c r="L427" s="119"/>
      <c r="M427" s="120"/>
      <c r="N427" s="121"/>
      <c r="O427" s="121"/>
      <c r="P427" s="122"/>
      <c r="Q427" s="366"/>
      <c r="R427" s="365"/>
      <c r="S427" s="231"/>
      <c r="T427" s="362"/>
      <c r="U427" s="363"/>
      <c r="V427" s="232"/>
    </row>
    <row r="428" spans="2:22">
      <c r="B428" s="115"/>
      <c r="C428" s="150"/>
      <c r="D428" s="111"/>
      <c r="E428" s="112"/>
      <c r="F428" s="113"/>
      <c r="G428" s="114"/>
      <c r="H428" s="115"/>
      <c r="I428" s="116"/>
      <c r="J428" s="117"/>
      <c r="K428" s="118"/>
      <c r="L428" s="119"/>
      <c r="M428" s="120"/>
      <c r="N428" s="121"/>
      <c r="O428" s="121"/>
      <c r="P428" s="122"/>
      <c r="Q428" s="366"/>
      <c r="R428" s="365"/>
      <c r="S428" s="231"/>
      <c r="T428" s="362"/>
      <c r="U428" s="363"/>
      <c r="V428" s="232"/>
    </row>
    <row r="429" spans="2:22">
      <c r="B429" s="115"/>
      <c r="C429" s="150"/>
      <c r="D429" s="111"/>
      <c r="E429" s="111"/>
      <c r="F429" s="113"/>
      <c r="G429" s="114"/>
      <c r="H429" s="115"/>
      <c r="I429" s="116"/>
      <c r="J429" s="117"/>
      <c r="K429" s="118"/>
      <c r="L429" s="119"/>
      <c r="M429" s="120"/>
      <c r="N429" s="121"/>
      <c r="O429" s="121"/>
      <c r="P429" s="122"/>
      <c r="Q429" s="366"/>
      <c r="R429" s="365"/>
      <c r="S429" s="231"/>
      <c r="T429" s="362"/>
      <c r="U429" s="363"/>
      <c r="V429" s="232"/>
    </row>
    <row r="430" spans="2:22">
      <c r="B430" s="115"/>
      <c r="C430" s="150"/>
      <c r="D430" s="123"/>
      <c r="E430" s="111"/>
      <c r="F430" s="113"/>
      <c r="G430" s="114"/>
      <c r="H430" s="115"/>
      <c r="I430" s="116"/>
      <c r="J430" s="117"/>
      <c r="K430" s="118"/>
      <c r="L430" s="119"/>
      <c r="M430" s="120"/>
      <c r="N430" s="121"/>
      <c r="O430" s="121"/>
      <c r="P430" s="122"/>
      <c r="Q430" s="366"/>
      <c r="R430" s="365"/>
      <c r="S430" s="231"/>
      <c r="T430" s="362"/>
      <c r="U430" s="363"/>
      <c r="V430" s="232"/>
    </row>
    <row r="431" spans="2:22">
      <c r="B431" s="149"/>
      <c r="C431" s="153"/>
      <c r="D431" s="111"/>
      <c r="E431" s="146"/>
      <c r="F431" s="113"/>
      <c r="G431" s="148"/>
      <c r="H431" s="149"/>
      <c r="I431" s="151"/>
      <c r="J431" s="117"/>
      <c r="K431" s="118"/>
      <c r="L431" s="154"/>
      <c r="M431" s="120"/>
      <c r="N431" s="121"/>
      <c r="O431" s="121"/>
      <c r="P431" s="122"/>
      <c r="Q431" s="366"/>
      <c r="R431" s="365"/>
      <c r="S431" s="231"/>
      <c r="T431" s="362"/>
      <c r="U431" s="363"/>
      <c r="V431" s="232"/>
    </row>
    <row r="432" spans="2:22">
      <c r="B432" s="149"/>
      <c r="C432" s="150"/>
      <c r="D432" s="146"/>
      <c r="E432" s="146"/>
      <c r="F432" s="147"/>
      <c r="G432" s="148"/>
      <c r="H432" s="149"/>
      <c r="I432" s="151"/>
      <c r="J432" s="116"/>
      <c r="K432" s="118"/>
      <c r="L432" s="155"/>
      <c r="M432" s="120"/>
      <c r="N432" s="121"/>
      <c r="O432" s="121"/>
      <c r="P432" s="122"/>
      <c r="Q432" s="366"/>
      <c r="R432" s="365"/>
      <c r="S432" s="231"/>
      <c r="T432" s="362"/>
      <c r="U432" s="363"/>
      <c r="V432" s="232"/>
    </row>
    <row r="433" spans="2:22">
      <c r="B433" s="115"/>
      <c r="C433" s="150"/>
      <c r="D433" s="111"/>
      <c r="E433" s="112"/>
      <c r="F433" s="113"/>
      <c r="G433" s="114"/>
      <c r="H433" s="115"/>
      <c r="I433" s="116"/>
      <c r="J433" s="117"/>
      <c r="K433" s="118"/>
      <c r="L433" s="119"/>
      <c r="M433" s="120"/>
      <c r="N433" s="121"/>
      <c r="O433" s="121"/>
      <c r="P433" s="122"/>
      <c r="Q433" s="366"/>
      <c r="R433" s="365"/>
      <c r="S433" s="231"/>
      <c r="T433" s="362"/>
      <c r="U433" s="363"/>
      <c r="V433" s="232"/>
    </row>
    <row r="434" spans="2:22">
      <c r="B434" s="149"/>
      <c r="C434" s="153"/>
      <c r="D434" s="111"/>
      <c r="E434" s="156"/>
      <c r="F434" s="113"/>
      <c r="G434" s="148"/>
      <c r="H434" s="149"/>
      <c r="I434" s="151"/>
      <c r="J434" s="116"/>
      <c r="K434" s="157"/>
      <c r="L434" s="155"/>
      <c r="M434" s="158"/>
      <c r="N434" s="159"/>
      <c r="O434" s="159"/>
      <c r="P434" s="160"/>
      <c r="Q434" s="366"/>
      <c r="R434" s="365"/>
      <c r="S434" s="231"/>
      <c r="T434" s="362"/>
      <c r="U434" s="363"/>
      <c r="V434" s="232"/>
    </row>
    <row r="435" spans="2:22">
      <c r="B435" s="149"/>
      <c r="C435" s="150"/>
      <c r="D435" s="146"/>
      <c r="E435" s="156"/>
      <c r="F435" s="147"/>
      <c r="G435" s="148"/>
      <c r="H435" s="149"/>
      <c r="I435" s="151"/>
      <c r="J435" s="161"/>
      <c r="K435" s="162"/>
      <c r="M435" s="163"/>
      <c r="N435" s="164"/>
      <c r="O435" s="164"/>
      <c r="P435" s="165"/>
      <c r="Q435" s="394"/>
      <c r="R435" s="395"/>
      <c r="S435" s="236"/>
      <c r="T435" s="396"/>
      <c r="U435" s="397"/>
      <c r="V435" s="237"/>
    </row>
    <row r="436" spans="2:22" ht="15" thickBot="1">
      <c r="B436" s="129"/>
      <c r="C436" s="238"/>
      <c r="D436" s="126"/>
      <c r="E436" s="126"/>
      <c r="F436" s="127"/>
      <c r="G436" s="128"/>
      <c r="H436" s="129"/>
      <c r="I436" s="130"/>
      <c r="J436" s="130"/>
      <c r="K436" s="131"/>
      <c r="L436" s="132"/>
      <c r="M436" s="133"/>
      <c r="N436" s="134"/>
      <c r="O436" s="134"/>
      <c r="P436" s="135"/>
      <c r="Q436" s="398"/>
      <c r="R436" s="399"/>
      <c r="S436" s="197"/>
      <c r="T436" s="400"/>
      <c r="U436" s="401"/>
      <c r="V436" s="241"/>
    </row>
    <row r="437" spans="2:22">
      <c r="K437" s="136"/>
      <c r="N437" s="136"/>
      <c r="O437" s="136"/>
      <c r="P437" s="136" t="s">
        <v>37</v>
      </c>
      <c r="Q437" s="137">
        <f>SUM(Q418:Q436)</f>
        <v>24.902014999999999</v>
      </c>
      <c r="R437" s="137"/>
      <c r="S437" s="137">
        <f>SUM(S418:S436)</f>
        <v>24.902014999999999</v>
      </c>
      <c r="T437" s="137">
        <f>SUM(T418:T436)</f>
        <v>0</v>
      </c>
      <c r="U437" s="137">
        <f>SUM(U420:U436)</f>
        <v>24.902014999999999</v>
      </c>
    </row>
    <row r="439" spans="2:22" ht="15" thickBot="1">
      <c r="B439" s="540" t="s">
        <v>589</v>
      </c>
      <c r="P439" s="221"/>
      <c r="Q439" s="379"/>
      <c r="R439" s="87"/>
      <c r="S439" s="87"/>
      <c r="T439" s="380" t="s">
        <v>482</v>
      </c>
      <c r="U439" s="381" t="s">
        <v>581</v>
      </c>
    </row>
    <row r="440" spans="2:22" ht="52.5" thickBot="1">
      <c r="B440" s="91" t="s">
        <v>70</v>
      </c>
      <c r="C440" s="92" t="s">
        <v>71</v>
      </c>
      <c r="D440" s="92" t="s">
        <v>217</v>
      </c>
      <c r="E440" s="91" t="s">
        <v>73</v>
      </c>
      <c r="F440" s="91" t="s">
        <v>74</v>
      </c>
      <c r="G440" s="91" t="s">
        <v>75</v>
      </c>
      <c r="H440" s="557" t="s">
        <v>76</v>
      </c>
      <c r="I440" s="558"/>
      <c r="J440" s="558"/>
      <c r="K440" s="559"/>
      <c r="L440" s="93" t="s">
        <v>77</v>
      </c>
      <c r="M440" s="557" t="s">
        <v>78</v>
      </c>
      <c r="N440" s="558"/>
      <c r="O440" s="558"/>
      <c r="P440" s="559"/>
      <c r="Q440" s="382" t="s">
        <v>79</v>
      </c>
      <c r="R440" s="383" t="s">
        <v>115</v>
      </c>
      <c r="S440" s="91" t="s">
        <v>116</v>
      </c>
      <c r="T440" s="384" t="s">
        <v>117</v>
      </c>
      <c r="U440" s="385" t="s">
        <v>118</v>
      </c>
      <c r="V440" s="91" t="s">
        <v>176</v>
      </c>
    </row>
    <row r="441" spans="2:22" ht="15" thickBot="1">
      <c r="B441" s="223" t="s">
        <v>380</v>
      </c>
      <c r="C441" s="95"/>
      <c r="D441" s="95"/>
      <c r="E441" s="95"/>
      <c r="F441" s="95"/>
      <c r="G441" s="96"/>
      <c r="H441" s="97" t="s">
        <v>70</v>
      </c>
      <c r="I441" s="98" t="s">
        <v>83</v>
      </c>
      <c r="J441" s="98" t="s">
        <v>84</v>
      </c>
      <c r="K441" s="99" t="s">
        <v>85</v>
      </c>
      <c r="L441" s="100"/>
      <c r="M441" s="101" t="s">
        <v>70</v>
      </c>
      <c r="N441" s="98" t="s">
        <v>83</v>
      </c>
      <c r="O441" s="98" t="s">
        <v>84</v>
      </c>
      <c r="P441" s="99" t="s">
        <v>85</v>
      </c>
      <c r="Q441" s="386"/>
      <c r="R441" s="387"/>
      <c r="S441" s="102"/>
      <c r="T441" s="388"/>
      <c r="U441" s="389" t="s">
        <v>86</v>
      </c>
      <c r="V441" s="102"/>
    </row>
    <row r="442" spans="2:22">
      <c r="B442" s="103"/>
      <c r="C442" s="104"/>
      <c r="D442" s="104"/>
      <c r="E442" s="104"/>
      <c r="F442" s="105"/>
      <c r="G442" s="105"/>
      <c r="H442" s="103"/>
      <c r="I442" s="225"/>
      <c r="J442" s="225"/>
      <c r="K442" s="107"/>
      <c r="L442" s="108"/>
      <c r="M442" s="109"/>
      <c r="N442" s="104"/>
      <c r="O442" s="104"/>
      <c r="P442" s="107"/>
      <c r="Q442" s="390"/>
      <c r="R442" s="391"/>
      <c r="S442" s="227"/>
      <c r="T442" s="392"/>
      <c r="U442" s="393"/>
      <c r="V442" s="229"/>
    </row>
    <row r="443" spans="2:22" ht="43.5">
      <c r="B443" s="178">
        <v>1</v>
      </c>
      <c r="C443" s="515" t="s">
        <v>590</v>
      </c>
      <c r="D443" s="257" t="s">
        <v>591</v>
      </c>
      <c r="E443" s="539" t="s">
        <v>592</v>
      </c>
      <c r="F443" s="146"/>
      <c r="G443" s="148"/>
      <c r="H443" s="149">
        <v>1</v>
      </c>
      <c r="I443" s="258">
        <v>21.78</v>
      </c>
      <c r="J443">
        <v>4.4000000000000004</v>
      </c>
      <c r="K443" s="118">
        <f>H443*I443*J443</f>
        <v>95.832000000000008</v>
      </c>
      <c r="L443" s="119"/>
      <c r="M443" s="403">
        <v>0</v>
      </c>
      <c r="N443" s="404">
        <v>0</v>
      </c>
      <c r="O443" s="404">
        <v>0</v>
      </c>
      <c r="P443" s="122">
        <v>0</v>
      </c>
      <c r="Q443" s="324">
        <f>SUM(K443:K452)-SUM(P443:P445)</f>
        <v>95.832000000000008</v>
      </c>
      <c r="R443" s="230">
        <v>1</v>
      </c>
      <c r="S443" s="327">
        <f>(Q443)*R443</f>
        <v>95.832000000000008</v>
      </c>
      <c r="T443" s="447">
        <v>0</v>
      </c>
      <c r="U443" s="448">
        <f>S443-T443</f>
        <v>95.832000000000008</v>
      </c>
      <c r="V443" s="544" t="s">
        <v>624</v>
      </c>
    </row>
    <row r="444" spans="2:22">
      <c r="B444" s="115"/>
      <c r="C444" s="493" t="s">
        <v>593</v>
      </c>
      <c r="D444" s="111"/>
      <c r="E444" s="146"/>
      <c r="F444" s="147"/>
      <c r="G444" s="148"/>
      <c r="H444" s="149"/>
      <c r="I444" s="151"/>
      <c r="J444" s="116"/>
      <c r="K444" s="118"/>
      <c r="L444" s="119"/>
      <c r="M444" s="120"/>
      <c r="N444" s="121"/>
      <c r="O444" s="121"/>
      <c r="P444" s="122"/>
      <c r="Q444" s="364"/>
      <c r="R444" s="361"/>
      <c r="S444" s="231"/>
      <c r="T444" s="362"/>
      <c r="U444" s="363"/>
      <c r="V444" s="232"/>
    </row>
    <row r="445" spans="2:22">
      <c r="B445" s="115"/>
      <c r="C445" s="152"/>
      <c r="D445" s="123"/>
      <c r="E445" s="112"/>
      <c r="F445" s="113"/>
      <c r="G445" s="114"/>
      <c r="H445" s="115"/>
      <c r="I445" s="116"/>
      <c r="J445" s="117"/>
      <c r="K445" s="118"/>
      <c r="L445" s="119"/>
      <c r="M445" s="120"/>
      <c r="N445" s="117"/>
      <c r="O445" s="117"/>
      <c r="P445" s="122"/>
      <c r="Q445" s="366"/>
      <c r="R445" s="365"/>
      <c r="S445" s="231"/>
      <c r="T445" s="362"/>
      <c r="U445" s="363"/>
      <c r="V445" s="232"/>
    </row>
    <row r="446" spans="2:22">
      <c r="B446" s="115"/>
      <c r="C446" s="150"/>
      <c r="D446" s="111"/>
      <c r="E446" s="112"/>
      <c r="F446" s="234"/>
      <c r="G446" s="114"/>
      <c r="H446" s="115"/>
      <c r="I446" s="116"/>
      <c r="J446" s="117"/>
      <c r="K446" s="118"/>
      <c r="L446" s="119"/>
      <c r="M446" s="120"/>
      <c r="N446" s="117"/>
      <c r="O446" s="117"/>
      <c r="P446" s="209"/>
      <c r="Q446" s="366"/>
      <c r="R446" s="361"/>
      <c r="S446" s="231"/>
      <c r="T446" s="362"/>
      <c r="U446" s="363"/>
      <c r="V446" s="232"/>
    </row>
    <row r="447" spans="2:22">
      <c r="B447" s="115"/>
      <c r="C447" s="150"/>
      <c r="D447" s="111"/>
      <c r="E447" s="111"/>
      <c r="F447" s="113"/>
      <c r="G447" s="114"/>
      <c r="H447" s="115"/>
      <c r="I447" s="116"/>
      <c r="J447" s="117"/>
      <c r="K447" s="118"/>
      <c r="L447" s="119"/>
      <c r="M447" s="120"/>
      <c r="N447" s="121"/>
      <c r="O447" s="121"/>
      <c r="P447" s="122"/>
      <c r="Q447" s="366"/>
      <c r="R447" s="365"/>
      <c r="S447" s="231"/>
      <c r="T447" s="362"/>
      <c r="U447" s="363"/>
      <c r="V447" s="232"/>
    </row>
    <row r="448" spans="2:22">
      <c r="B448" s="115"/>
      <c r="C448" s="150"/>
      <c r="D448" s="111"/>
      <c r="E448" s="111"/>
      <c r="F448" s="113"/>
      <c r="G448" s="114"/>
      <c r="H448" s="115"/>
      <c r="I448" s="116"/>
      <c r="J448" s="117"/>
      <c r="K448" s="118"/>
      <c r="L448" s="119"/>
      <c r="M448" s="120"/>
      <c r="N448" s="121"/>
      <c r="O448" s="121"/>
      <c r="P448" s="122"/>
      <c r="Q448" s="366"/>
      <c r="R448" s="365"/>
      <c r="S448" s="231"/>
      <c r="T448" s="362"/>
      <c r="U448" s="363"/>
      <c r="V448" s="232"/>
    </row>
    <row r="449" spans="2:22">
      <c r="B449" s="115"/>
      <c r="C449" s="150"/>
      <c r="D449" s="111"/>
      <c r="E449" s="112"/>
      <c r="F449" s="113"/>
      <c r="G449" s="114"/>
      <c r="H449" s="115"/>
      <c r="I449" s="116"/>
      <c r="J449" s="117"/>
      <c r="K449" s="118"/>
      <c r="L449" s="119"/>
      <c r="M449" s="120"/>
      <c r="N449" s="121"/>
      <c r="O449" s="121"/>
      <c r="P449" s="122"/>
      <c r="Q449" s="366"/>
      <c r="R449" s="365"/>
      <c r="S449" s="231"/>
      <c r="T449" s="362"/>
      <c r="U449" s="363"/>
      <c r="V449" s="232"/>
    </row>
    <row r="450" spans="2:22">
      <c r="B450" s="115"/>
      <c r="C450" s="150"/>
      <c r="D450" s="111"/>
      <c r="E450" s="111"/>
      <c r="F450" s="113"/>
      <c r="G450" s="114"/>
      <c r="H450" s="115"/>
      <c r="I450" s="116"/>
      <c r="J450" s="117"/>
      <c r="K450" s="118"/>
      <c r="L450" s="119"/>
      <c r="M450" s="120"/>
      <c r="N450" s="121"/>
      <c r="O450" s="121"/>
      <c r="P450" s="122"/>
      <c r="Q450" s="366"/>
      <c r="R450" s="365"/>
      <c r="S450" s="231"/>
      <c r="T450" s="362"/>
      <c r="U450" s="363"/>
      <c r="V450" s="232"/>
    </row>
    <row r="451" spans="2:22">
      <c r="B451" s="115"/>
      <c r="C451" s="150"/>
      <c r="D451" s="123"/>
      <c r="E451" s="111"/>
      <c r="F451" s="113"/>
      <c r="G451" s="114"/>
      <c r="H451" s="115"/>
      <c r="I451" s="116"/>
      <c r="J451" s="117"/>
      <c r="K451" s="118"/>
      <c r="L451" s="119"/>
      <c r="M451" s="120"/>
      <c r="N451" s="121"/>
      <c r="O451" s="121"/>
      <c r="P451" s="122"/>
      <c r="Q451" s="366"/>
      <c r="R451" s="365"/>
      <c r="S451" s="231"/>
      <c r="T451" s="362"/>
      <c r="U451" s="363"/>
      <c r="V451" s="232"/>
    </row>
    <row r="452" spans="2:22">
      <c r="B452" s="149"/>
      <c r="C452" s="153"/>
      <c r="D452" s="111"/>
      <c r="E452" s="146"/>
      <c r="F452" s="113"/>
      <c r="G452" s="148"/>
      <c r="H452" s="149"/>
      <c r="I452" s="151"/>
      <c r="J452" s="117"/>
      <c r="K452" s="118"/>
      <c r="L452" s="154"/>
      <c r="M452" s="120"/>
      <c r="N452" s="121"/>
      <c r="O452" s="121"/>
      <c r="P452" s="122"/>
      <c r="Q452" s="366"/>
      <c r="R452" s="365"/>
      <c r="S452" s="231"/>
      <c r="T452" s="362"/>
      <c r="U452" s="363"/>
      <c r="V452" s="232"/>
    </row>
    <row r="453" spans="2:22">
      <c r="B453" s="149"/>
      <c r="C453" s="150"/>
      <c r="D453" s="146"/>
      <c r="E453" s="146"/>
      <c r="F453" s="147"/>
      <c r="G453" s="148"/>
      <c r="H453" s="149"/>
      <c r="I453" s="151"/>
      <c r="J453" s="116"/>
      <c r="K453" s="118"/>
      <c r="L453" s="155"/>
      <c r="M453" s="120"/>
      <c r="N453" s="121"/>
      <c r="O453" s="121"/>
      <c r="P453" s="122"/>
      <c r="Q453" s="366"/>
      <c r="R453" s="365"/>
      <c r="S453" s="231"/>
      <c r="T453" s="362"/>
      <c r="U453" s="363"/>
      <c r="V453" s="232"/>
    </row>
    <row r="454" spans="2:22" ht="15" thickBot="1">
      <c r="B454" s="129"/>
      <c r="C454" s="238"/>
      <c r="D454" s="126"/>
      <c r="E454" s="126"/>
      <c r="F454" s="127"/>
      <c r="G454" s="128"/>
      <c r="H454" s="129"/>
      <c r="I454" s="130"/>
      <c r="J454" s="130"/>
      <c r="K454" s="131"/>
      <c r="L454" s="132"/>
      <c r="M454" s="133"/>
      <c r="N454" s="134"/>
      <c r="O454" s="134"/>
      <c r="P454" s="135"/>
      <c r="Q454" s="398"/>
      <c r="R454" s="399"/>
      <c r="S454" s="197"/>
      <c r="T454" s="400"/>
      <c r="U454" s="401"/>
      <c r="V454" s="241"/>
    </row>
    <row r="455" spans="2:22">
      <c r="K455" s="136"/>
      <c r="N455" s="136"/>
      <c r="O455" s="136"/>
      <c r="P455" s="136" t="s">
        <v>37</v>
      </c>
      <c r="Q455" s="137">
        <f>SUM(Q439:Q454)</f>
        <v>95.832000000000008</v>
      </c>
      <c r="R455" s="137"/>
      <c r="S455" s="137">
        <f>SUM(S439:S454)</f>
        <v>95.832000000000008</v>
      </c>
      <c r="T455" s="137">
        <f>SUM(T439:T454)</f>
        <v>0</v>
      </c>
      <c r="U455" s="137">
        <f>SUM(U441:U454)</f>
        <v>95.832000000000008</v>
      </c>
    </row>
    <row r="456" spans="2:22">
      <c r="Q456" s="496"/>
      <c r="S456" s="89"/>
      <c r="T456" s="89"/>
      <c r="U456" s="89"/>
    </row>
    <row r="457" spans="2:22">
      <c r="Q457" s="496"/>
      <c r="S457" s="89"/>
      <c r="T457" s="89"/>
      <c r="U457" s="89"/>
    </row>
    <row r="458" spans="2:22" ht="15" thickBot="1">
      <c r="B458" s="540" t="s">
        <v>594</v>
      </c>
      <c r="P458" s="221"/>
      <c r="Q458" s="379"/>
      <c r="R458" s="87"/>
      <c r="S458" s="87"/>
      <c r="T458" s="380" t="s">
        <v>482</v>
      </c>
      <c r="U458" s="381" t="s">
        <v>581</v>
      </c>
    </row>
    <row r="459" spans="2:22" ht="52.5" thickBot="1">
      <c r="B459" s="91" t="s">
        <v>70</v>
      </c>
      <c r="C459" s="92" t="s">
        <v>71</v>
      </c>
      <c r="D459" s="92" t="s">
        <v>217</v>
      </c>
      <c r="E459" s="91" t="s">
        <v>73</v>
      </c>
      <c r="F459" s="91" t="s">
        <v>74</v>
      </c>
      <c r="G459" s="91" t="s">
        <v>75</v>
      </c>
      <c r="H459" s="557" t="s">
        <v>76</v>
      </c>
      <c r="I459" s="558"/>
      <c r="J459" s="558"/>
      <c r="K459" s="559"/>
      <c r="L459" s="93" t="s">
        <v>77</v>
      </c>
      <c r="M459" s="557" t="s">
        <v>78</v>
      </c>
      <c r="N459" s="558"/>
      <c r="O459" s="558"/>
      <c r="P459" s="559"/>
      <c r="Q459" s="382" t="s">
        <v>79</v>
      </c>
      <c r="R459" s="383" t="s">
        <v>115</v>
      </c>
      <c r="S459" s="91" t="s">
        <v>116</v>
      </c>
      <c r="T459" s="384" t="s">
        <v>117</v>
      </c>
      <c r="U459" s="385" t="s">
        <v>118</v>
      </c>
      <c r="V459" s="91" t="s">
        <v>176</v>
      </c>
    </row>
    <row r="460" spans="2:22" ht="15" thickBot="1">
      <c r="B460" s="223" t="s">
        <v>380</v>
      </c>
      <c r="C460" s="95"/>
      <c r="D460" s="95"/>
      <c r="E460" s="95"/>
      <c r="F460" s="95"/>
      <c r="G460" s="96"/>
      <c r="H460" s="97" t="s">
        <v>70</v>
      </c>
      <c r="I460" s="98" t="s">
        <v>83</v>
      </c>
      <c r="J460" s="98" t="s">
        <v>84</v>
      </c>
      <c r="K460" s="99" t="s">
        <v>85</v>
      </c>
      <c r="L460" s="100"/>
      <c r="M460" s="101" t="s">
        <v>70</v>
      </c>
      <c r="N460" s="98" t="s">
        <v>83</v>
      </c>
      <c r="O460" s="98" t="s">
        <v>84</v>
      </c>
      <c r="P460" s="99" t="s">
        <v>85</v>
      </c>
      <c r="Q460" s="386"/>
      <c r="R460" s="387"/>
      <c r="S460" s="102"/>
      <c r="T460" s="388"/>
      <c r="U460" s="389" t="s">
        <v>86</v>
      </c>
      <c r="V460" s="102"/>
    </row>
    <row r="461" spans="2:22" ht="15" thickBot="1">
      <c r="B461" s="103"/>
      <c r="C461" s="104"/>
      <c r="D461" s="104"/>
      <c r="E461" s="104"/>
      <c r="F461" s="105"/>
      <c r="G461" s="105"/>
      <c r="H461" s="103"/>
      <c r="I461" s="225"/>
      <c r="J461" s="225"/>
      <c r="K461" s="107"/>
      <c r="L461" s="108"/>
      <c r="M461" s="109"/>
      <c r="N461" s="104"/>
      <c r="O461" s="104"/>
      <c r="P461" s="107"/>
      <c r="Q461" s="390"/>
      <c r="R461" s="391"/>
      <c r="S461" s="227"/>
      <c r="T461" s="392"/>
      <c r="U461" s="393"/>
      <c r="V461" s="229"/>
    </row>
    <row r="462" spans="2:22">
      <c r="B462" s="178"/>
      <c r="C462" s="515"/>
      <c r="D462" s="257"/>
      <c r="E462" s="146"/>
      <c r="F462" s="146"/>
      <c r="G462" s="148"/>
      <c r="H462" s="149"/>
      <c r="I462" s="258"/>
      <c r="J462" s="225"/>
      <c r="K462" s="118"/>
      <c r="L462" s="119"/>
      <c r="M462" s="403"/>
      <c r="N462" s="404"/>
      <c r="O462" s="404"/>
      <c r="P462" s="122"/>
      <c r="Q462" s="364"/>
      <c r="R462" s="361"/>
      <c r="S462" s="231"/>
      <c r="T462" s="362"/>
      <c r="U462" s="363"/>
      <c r="V462" s="232"/>
    </row>
    <row r="463" spans="2:22">
      <c r="B463" s="115">
        <v>2</v>
      </c>
      <c r="C463" s="150" t="s">
        <v>595</v>
      </c>
      <c r="D463" s="111" t="s">
        <v>596</v>
      </c>
      <c r="E463" s="146" t="s">
        <v>597</v>
      </c>
      <c r="F463" s="113" t="s">
        <v>598</v>
      </c>
      <c r="G463" s="114"/>
      <c r="H463" s="115">
        <v>1</v>
      </c>
      <c r="I463" s="116">
        <v>0.629</v>
      </c>
      <c r="J463" s="117">
        <v>6.4850000000000003</v>
      </c>
      <c r="K463" s="118">
        <f t="shared" ref="K463:K464" si="18">H463*I463*J463</f>
        <v>4.0790649999999999</v>
      </c>
      <c r="L463" s="119"/>
      <c r="M463" s="120">
        <v>0</v>
      </c>
      <c r="N463" s="121">
        <v>0</v>
      </c>
      <c r="O463" s="121">
        <v>0</v>
      </c>
      <c r="P463" s="122">
        <f>M463*N463*O463</f>
        <v>0</v>
      </c>
      <c r="Q463" s="324">
        <f>SUM(K463:K464)-SUM(P463:P465)</f>
        <v>6.6211850000000005</v>
      </c>
      <c r="R463" s="230">
        <v>1</v>
      </c>
      <c r="S463" s="327">
        <f>(Q463)*R463</f>
        <v>6.6211850000000005</v>
      </c>
      <c r="T463" s="447">
        <v>0</v>
      </c>
      <c r="U463" s="448">
        <f>S463-T463</f>
        <v>6.6211850000000005</v>
      </c>
      <c r="V463" s="544" t="s">
        <v>624</v>
      </c>
    </row>
    <row r="464" spans="2:22">
      <c r="B464" s="115"/>
      <c r="C464" s="493" t="s">
        <v>599</v>
      </c>
      <c r="D464" s="123"/>
      <c r="E464" s="112"/>
      <c r="F464" s="113" t="s">
        <v>600</v>
      </c>
      <c r="G464" s="114"/>
      <c r="H464" s="115">
        <v>1</v>
      </c>
      <c r="I464" s="116">
        <v>0.39200000000000002</v>
      </c>
      <c r="J464" s="117">
        <v>6.4850000000000003</v>
      </c>
      <c r="K464" s="118">
        <f t="shared" si="18"/>
        <v>2.5421200000000002</v>
      </c>
      <c r="L464" s="119"/>
      <c r="M464" s="120"/>
      <c r="N464" s="117"/>
      <c r="O464" s="117"/>
      <c r="P464" s="122"/>
      <c r="Q464" s="366"/>
      <c r="R464" s="365"/>
      <c r="S464" s="231"/>
      <c r="T464" s="362"/>
      <c r="U464" s="363"/>
      <c r="V464" s="232"/>
    </row>
    <row r="465" spans="2:22">
      <c r="B465" s="115"/>
      <c r="C465" s="150"/>
      <c r="D465" s="111"/>
      <c r="E465" s="112"/>
      <c r="F465" s="234"/>
      <c r="G465" s="114"/>
      <c r="H465" s="115"/>
      <c r="I465" s="116"/>
      <c r="J465" s="117"/>
      <c r="K465" s="118"/>
      <c r="L465" s="119"/>
      <c r="M465" s="120"/>
      <c r="N465" s="117"/>
      <c r="O465" s="117"/>
      <c r="P465" s="209"/>
      <c r="Q465" s="366"/>
      <c r="R465" s="361"/>
      <c r="S465" s="231"/>
      <c r="T465" s="362"/>
      <c r="U465" s="363"/>
      <c r="V465" s="232"/>
    </row>
    <row r="466" spans="2:22">
      <c r="B466" s="115"/>
      <c r="C466" s="150"/>
      <c r="D466" s="111"/>
      <c r="E466" s="111"/>
      <c r="F466" s="113"/>
      <c r="G466" s="114"/>
      <c r="H466" s="115"/>
      <c r="I466" s="116"/>
      <c r="J466" s="117"/>
      <c r="K466" s="118"/>
      <c r="L466" s="119"/>
      <c r="M466" s="120"/>
      <c r="N466" s="121"/>
      <c r="O466" s="121"/>
      <c r="P466" s="122"/>
      <c r="Q466" s="366"/>
      <c r="R466" s="365"/>
      <c r="S466" s="231"/>
      <c r="T466" s="362"/>
      <c r="U466" s="363"/>
      <c r="V466" s="232"/>
    </row>
    <row r="467" spans="2:22">
      <c r="B467" s="115"/>
      <c r="C467" s="150"/>
      <c r="D467" s="111"/>
      <c r="E467" s="111"/>
      <c r="F467" s="113"/>
      <c r="G467" s="114"/>
      <c r="H467" s="115"/>
      <c r="I467" s="116"/>
      <c r="J467" s="117"/>
      <c r="K467" s="118"/>
      <c r="L467" s="119"/>
      <c r="M467" s="120"/>
      <c r="N467" s="121"/>
      <c r="O467" s="121"/>
      <c r="P467" s="122"/>
      <c r="Q467" s="366"/>
      <c r="R467" s="365"/>
      <c r="S467" s="231"/>
      <c r="T467" s="362"/>
      <c r="U467" s="363"/>
      <c r="V467" s="232"/>
    </row>
    <row r="468" spans="2:22">
      <c r="B468" s="115"/>
      <c r="C468" s="150"/>
      <c r="D468" s="111"/>
      <c r="E468" s="112"/>
      <c r="F468" s="113"/>
      <c r="G468" s="114"/>
      <c r="H468" s="115"/>
      <c r="I468" s="116"/>
      <c r="J468" s="117"/>
      <c r="K468" s="118"/>
      <c r="L468" s="119"/>
      <c r="M468" s="120"/>
      <c r="N468" s="121"/>
      <c r="O468" s="121"/>
      <c r="P468" s="122"/>
      <c r="Q468" s="366"/>
      <c r="R468" s="365"/>
      <c r="S468" s="231"/>
      <c r="T468" s="362"/>
      <c r="U468" s="363"/>
      <c r="V468" s="232"/>
    </row>
    <row r="469" spans="2:22">
      <c r="B469" s="115"/>
      <c r="C469" s="150"/>
      <c r="D469" s="111"/>
      <c r="E469" s="111"/>
      <c r="F469" s="113"/>
      <c r="G469" s="114"/>
      <c r="H469" s="115"/>
      <c r="I469" s="116"/>
      <c r="J469" s="117"/>
      <c r="K469" s="118"/>
      <c r="L469" s="119"/>
      <c r="M469" s="120"/>
      <c r="N469" s="121"/>
      <c r="O469" s="121"/>
      <c r="P469" s="122"/>
      <c r="Q469" s="366"/>
      <c r="R469" s="365"/>
      <c r="S469" s="231"/>
      <c r="T469" s="362"/>
      <c r="U469" s="363"/>
      <c r="V469" s="232"/>
    </row>
    <row r="470" spans="2:22">
      <c r="B470" s="115"/>
      <c r="C470" s="150"/>
      <c r="D470" s="123"/>
      <c r="E470" s="111"/>
      <c r="F470" s="113"/>
      <c r="G470" s="114"/>
      <c r="H470" s="115"/>
      <c r="I470" s="116"/>
      <c r="J470" s="117"/>
      <c r="K470" s="118"/>
      <c r="L470" s="119"/>
      <c r="M470" s="120"/>
      <c r="N470" s="121"/>
      <c r="O470" s="121"/>
      <c r="P470" s="122"/>
      <c r="Q470" s="366"/>
      <c r="R470" s="365"/>
      <c r="S470" s="231"/>
      <c r="T470" s="362"/>
      <c r="U470" s="363"/>
      <c r="V470" s="232"/>
    </row>
    <row r="471" spans="2:22">
      <c r="B471" s="149"/>
      <c r="C471" s="153"/>
      <c r="D471" s="111"/>
      <c r="E471" s="146"/>
      <c r="F471" s="113"/>
      <c r="G471" s="148"/>
      <c r="H471" s="149"/>
      <c r="I471" s="151"/>
      <c r="J471" s="117"/>
      <c r="K471" s="118"/>
      <c r="L471" s="154"/>
      <c r="M471" s="120"/>
      <c r="N471" s="121"/>
      <c r="O471" s="121"/>
      <c r="P471" s="122"/>
      <c r="Q471" s="366"/>
      <c r="R471" s="365"/>
      <c r="S471" s="231"/>
      <c r="T471" s="362"/>
      <c r="U471" s="363"/>
      <c r="V471" s="232"/>
    </row>
    <row r="472" spans="2:22">
      <c r="B472" s="149"/>
      <c r="C472" s="150"/>
      <c r="D472" s="146"/>
      <c r="E472" s="146"/>
      <c r="F472" s="147"/>
      <c r="G472" s="148"/>
      <c r="H472" s="149"/>
      <c r="I472" s="151"/>
      <c r="J472" s="116"/>
      <c r="K472" s="118"/>
      <c r="L472" s="155"/>
      <c r="M472" s="120"/>
      <c r="N472" s="121"/>
      <c r="O472" s="121"/>
      <c r="P472" s="122"/>
      <c r="Q472" s="366"/>
      <c r="R472" s="365"/>
      <c r="S472" s="231"/>
      <c r="T472" s="362"/>
      <c r="U472" s="363"/>
      <c r="V472" s="232"/>
    </row>
    <row r="473" spans="2:22">
      <c r="B473" s="115"/>
      <c r="C473" s="150"/>
      <c r="D473" s="111"/>
      <c r="E473" s="112"/>
      <c r="F473" s="113"/>
      <c r="G473" s="114"/>
      <c r="H473" s="115"/>
      <c r="I473" s="116"/>
      <c r="J473" s="117"/>
      <c r="K473" s="118"/>
      <c r="L473" s="119"/>
      <c r="M473" s="120"/>
      <c r="N473" s="121"/>
      <c r="O473" s="121"/>
      <c r="P473" s="122"/>
      <c r="Q473" s="366"/>
      <c r="R473" s="365"/>
      <c r="S473" s="231"/>
      <c r="T473" s="362"/>
      <c r="U473" s="363"/>
      <c r="V473" s="232"/>
    </row>
    <row r="474" spans="2:22">
      <c r="B474" s="149"/>
      <c r="C474" s="153"/>
      <c r="D474" s="111"/>
      <c r="E474" s="156"/>
      <c r="F474" s="113"/>
      <c r="G474" s="148"/>
      <c r="H474" s="149"/>
      <c r="I474" s="151"/>
      <c r="J474" s="116"/>
      <c r="K474" s="157"/>
      <c r="L474" s="155"/>
      <c r="M474" s="158"/>
      <c r="N474" s="159"/>
      <c r="O474" s="159"/>
      <c r="P474" s="160"/>
      <c r="Q474" s="366"/>
      <c r="R474" s="365"/>
      <c r="S474" s="231"/>
      <c r="T474" s="362"/>
      <c r="U474" s="363"/>
      <c r="V474" s="232"/>
    </row>
    <row r="475" spans="2:22">
      <c r="B475" s="149"/>
      <c r="C475" s="150"/>
      <c r="D475" s="146"/>
      <c r="E475" s="156"/>
      <c r="F475" s="147"/>
      <c r="G475" s="148"/>
      <c r="H475" s="149"/>
      <c r="I475" s="151"/>
      <c r="J475" s="161"/>
      <c r="K475" s="162"/>
      <c r="M475" s="163"/>
      <c r="N475" s="164"/>
      <c r="O475" s="164"/>
      <c r="P475" s="165"/>
      <c r="Q475" s="394"/>
      <c r="R475" s="395"/>
      <c r="S475" s="236"/>
      <c r="T475" s="396"/>
      <c r="U475" s="397"/>
      <c r="V475" s="237"/>
    </row>
    <row r="476" spans="2:22" ht="15" thickBot="1">
      <c r="B476" s="129"/>
      <c r="C476" s="238"/>
      <c r="D476" s="126"/>
      <c r="E476" s="126"/>
      <c r="F476" s="127"/>
      <c r="G476" s="128"/>
      <c r="H476" s="129"/>
      <c r="I476" s="130"/>
      <c r="J476" s="130"/>
      <c r="K476" s="131"/>
      <c r="L476" s="132"/>
      <c r="M476" s="133"/>
      <c r="N476" s="134"/>
      <c r="O476" s="134"/>
      <c r="P476" s="135"/>
      <c r="Q476" s="398"/>
      <c r="R476" s="399"/>
      <c r="S476" s="197"/>
      <c r="T476" s="400"/>
      <c r="U476" s="401"/>
      <c r="V476" s="241"/>
    </row>
    <row r="477" spans="2:22">
      <c r="Q477" s="137">
        <f>SUM(Q461:Q476)</f>
        <v>6.6211850000000005</v>
      </c>
      <c r="R477" s="137"/>
      <c r="S477" s="137">
        <f>SUM(S461:S476)</f>
        <v>6.6211850000000005</v>
      </c>
      <c r="T477" s="137">
        <f>SUM(T461:T476)</f>
        <v>0</v>
      </c>
      <c r="U477" s="137">
        <f>SUM(U463:U476)</f>
        <v>6.6211850000000005</v>
      </c>
    </row>
  </sheetData>
  <mergeCells count="43">
    <mergeCell ref="H323:K323"/>
    <mergeCell ref="M323:P323"/>
    <mergeCell ref="H363:K363"/>
    <mergeCell ref="M363:P363"/>
    <mergeCell ref="H382:K382"/>
    <mergeCell ref="M382:P382"/>
    <mergeCell ref="H343:K343"/>
    <mergeCell ref="M343:P343"/>
    <mergeCell ref="H283:K283"/>
    <mergeCell ref="M283:P283"/>
    <mergeCell ref="H303:K303"/>
    <mergeCell ref="M303:P303"/>
    <mergeCell ref="H222:K222"/>
    <mergeCell ref="M222:P222"/>
    <mergeCell ref="H243:K243"/>
    <mergeCell ref="M243:P243"/>
    <mergeCell ref="H263:K263"/>
    <mergeCell ref="M263:P263"/>
    <mergeCell ref="H95:K95"/>
    <mergeCell ref="M95:P95"/>
    <mergeCell ref="B3:U3"/>
    <mergeCell ref="H31:K31"/>
    <mergeCell ref="M31:P31"/>
    <mergeCell ref="H53:K53"/>
    <mergeCell ref="M53:P53"/>
    <mergeCell ref="H74:K74"/>
    <mergeCell ref="M74:P74"/>
    <mergeCell ref="H11:K11"/>
    <mergeCell ref="M11:P11"/>
    <mergeCell ref="H201:K201"/>
    <mergeCell ref="M201:P201"/>
    <mergeCell ref="H159:K159"/>
    <mergeCell ref="M159:P159"/>
    <mergeCell ref="H180:K180"/>
    <mergeCell ref="M180:P180"/>
    <mergeCell ref="H459:K459"/>
    <mergeCell ref="M459:P459"/>
    <mergeCell ref="H400:K400"/>
    <mergeCell ref="M400:P400"/>
    <mergeCell ref="H419:K419"/>
    <mergeCell ref="M419:P419"/>
    <mergeCell ref="H440:K440"/>
    <mergeCell ref="M440:P440"/>
  </mergeCells>
  <phoneticPr fontId="27" type="noConversion"/>
  <pageMargins left="0.7" right="0.7" top="0.75" bottom="0.75" header="0.3" footer="0.3"/>
  <pageSetup paperSize="9" scale="53" fitToHeight="0"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90" t="s">
        <v>80</v>
      </c>
      <c r="S1" s="189" t="s">
        <v>81</v>
      </c>
    </row>
    <row r="2" spans="2:19" ht="15" thickBot="1">
      <c r="B2" s="94" t="s">
        <v>82</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92</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95</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90" t="s">
        <v>80</v>
      </c>
      <c r="S1" s="189" t="s">
        <v>81</v>
      </c>
    </row>
    <row r="2" spans="2:19" ht="15" thickBot="1">
      <c r="B2" s="94" t="s">
        <v>96</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87</v>
      </c>
      <c r="D4" s="111" t="s">
        <v>88</v>
      </c>
      <c r="E4" s="112" t="s">
        <v>89</v>
      </c>
      <c r="F4" s="113" t="s">
        <v>90</v>
      </c>
      <c r="G4" s="114"/>
      <c r="H4" s="115">
        <v>1</v>
      </c>
      <c r="I4" s="116">
        <v>11.32</v>
      </c>
      <c r="J4" s="117">
        <v>4.5999999999999996</v>
      </c>
      <c r="K4" s="118">
        <f>H4*I4*J4</f>
        <v>52.071999999999996</v>
      </c>
      <c r="L4" s="119" t="s">
        <v>91</v>
      </c>
      <c r="M4" s="120">
        <v>2</v>
      </c>
      <c r="N4" s="121">
        <v>1.2</v>
      </c>
      <c r="O4" s="121">
        <v>1.78</v>
      </c>
      <c r="P4" s="122">
        <f t="shared" ref="P4:P7" si="0">M4*N4*O4</f>
        <v>4.2720000000000002</v>
      </c>
      <c r="Q4" s="186">
        <f>K4-SUM(P4:P6)</f>
        <v>47.8</v>
      </c>
      <c r="R4" s="187">
        <v>47.8</v>
      </c>
      <c r="S4" s="188">
        <f>Q4-R4</f>
        <v>0</v>
      </c>
    </row>
    <row r="5" spans="2:19">
      <c r="B5" s="115"/>
      <c r="C5" s="112" t="s">
        <v>97</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0">
        <v>2</v>
      </c>
      <c r="C7" s="111" t="s">
        <v>87</v>
      </c>
      <c r="D7" s="111" t="s">
        <v>93</v>
      </c>
      <c r="E7" s="112" t="s">
        <v>89</v>
      </c>
      <c r="F7" s="113" t="s">
        <v>94</v>
      </c>
      <c r="G7" s="114"/>
      <c r="H7" s="115">
        <v>1</v>
      </c>
      <c r="I7" s="116">
        <v>11.32</v>
      </c>
      <c r="J7" s="117">
        <v>7.4</v>
      </c>
      <c r="K7" s="118">
        <f t="shared" ref="K7" si="1">H7*I7*J7</f>
        <v>83.768000000000001</v>
      </c>
      <c r="L7" s="119"/>
      <c r="M7" s="120">
        <v>0</v>
      </c>
      <c r="N7" s="121">
        <v>0</v>
      </c>
      <c r="O7" s="121">
        <v>0</v>
      </c>
      <c r="P7" s="122">
        <f t="shared" si="0"/>
        <v>0</v>
      </c>
      <c r="Q7" s="186">
        <f>K7-SUM(P7:P9)</f>
        <v>83.768000000000001</v>
      </c>
      <c r="R7" s="187">
        <v>83.768000000000001</v>
      </c>
      <c r="S7" s="188">
        <f>Q7-R7</f>
        <v>0</v>
      </c>
    </row>
    <row r="8" spans="2:19">
      <c r="B8" s="115"/>
      <c r="C8" s="112" t="s">
        <v>98</v>
      </c>
      <c r="D8" s="123"/>
      <c r="E8" s="112"/>
      <c r="F8" s="113"/>
      <c r="G8" s="114"/>
      <c r="H8" s="115"/>
      <c r="I8" s="116"/>
      <c r="J8" s="117"/>
      <c r="K8" s="118"/>
      <c r="L8" s="119"/>
      <c r="M8" s="120"/>
      <c r="N8" s="121"/>
      <c r="O8" s="121"/>
      <c r="P8" s="122"/>
      <c r="Q8" s="186"/>
      <c r="R8" s="187"/>
      <c r="S8" s="188"/>
    </row>
    <row r="9" spans="2:19">
      <c r="B9" s="115"/>
      <c r="C9" s="112"/>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131.56799999999998</v>
      </c>
      <c r="R21" s="137">
        <f>SUM(R4:R20)</f>
        <v>131.56799999999998</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90" t="s">
        <v>80</v>
      </c>
      <c r="S1" s="189" t="s">
        <v>81</v>
      </c>
    </row>
    <row r="2" spans="2:19" ht="15" thickBot="1">
      <c r="B2" s="94" t="s">
        <v>99</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03"/>
      <c r="C3" s="104"/>
      <c r="D3" s="104"/>
      <c r="E3" s="104"/>
      <c r="F3" s="105"/>
      <c r="G3" s="105"/>
      <c r="H3" s="103"/>
      <c r="I3" s="106"/>
      <c r="J3" s="106"/>
      <c r="K3" s="107"/>
      <c r="L3" s="108"/>
      <c r="M3" s="109"/>
      <c r="N3" s="104"/>
      <c r="O3" s="104"/>
      <c r="P3" s="107"/>
      <c r="Q3" s="205"/>
      <c r="R3" s="193"/>
      <c r="S3" s="194"/>
    </row>
    <row r="4" spans="2:19">
      <c r="B4" s="110">
        <v>1</v>
      </c>
      <c r="C4" s="111" t="s">
        <v>100</v>
      </c>
      <c r="D4" s="111" t="s">
        <v>93</v>
      </c>
      <c r="E4" s="112" t="s">
        <v>101</v>
      </c>
      <c r="F4" s="113" t="s">
        <v>102</v>
      </c>
      <c r="G4" s="114" t="s">
        <v>103</v>
      </c>
      <c r="H4" s="115">
        <v>1</v>
      </c>
      <c r="I4" s="116">
        <v>11.61</v>
      </c>
      <c r="J4" s="117">
        <v>6.36</v>
      </c>
      <c r="K4" s="118">
        <f>H4*I4*J4</f>
        <v>73.839600000000004</v>
      </c>
      <c r="L4" s="119"/>
      <c r="M4" s="120">
        <v>0</v>
      </c>
      <c r="N4" s="121">
        <v>0</v>
      </c>
      <c r="O4" s="121">
        <v>0</v>
      </c>
      <c r="P4" s="122">
        <f t="shared" ref="P4" si="0">M4*N4*O4</f>
        <v>0</v>
      </c>
      <c r="Q4" s="186">
        <f>K4-SUM(P4:P6)</f>
        <v>73.839600000000004</v>
      </c>
      <c r="R4" s="187">
        <v>73.839600000000004</v>
      </c>
      <c r="S4" s="188">
        <f>Q4-R4</f>
        <v>0</v>
      </c>
    </row>
    <row r="5" spans="2:19">
      <c r="B5" s="115"/>
      <c r="C5" s="112" t="s">
        <v>104</v>
      </c>
      <c r="D5" s="123"/>
      <c r="E5" s="112"/>
      <c r="F5" s="113"/>
      <c r="G5" s="114"/>
      <c r="H5" s="115"/>
      <c r="I5" s="116"/>
      <c r="J5" s="117"/>
      <c r="K5" s="118"/>
      <c r="L5" s="119"/>
      <c r="M5" s="120"/>
      <c r="N5" s="121"/>
      <c r="O5" s="121"/>
      <c r="P5" s="122"/>
      <c r="Q5" s="186"/>
      <c r="R5" s="187"/>
      <c r="S5" s="188"/>
    </row>
    <row r="6" spans="2:19">
      <c r="B6" s="115"/>
      <c r="C6" s="111"/>
      <c r="D6" s="123"/>
      <c r="E6" s="111"/>
      <c r="F6" s="113"/>
      <c r="G6" s="114"/>
      <c r="H6" s="115"/>
      <c r="I6" s="116"/>
      <c r="J6" s="116"/>
      <c r="K6" s="118"/>
      <c r="L6" s="119"/>
      <c r="M6" s="120"/>
      <c r="N6" s="121"/>
      <c r="O6" s="121"/>
      <c r="P6" s="122"/>
      <c r="Q6" s="186"/>
      <c r="R6" s="187"/>
      <c r="S6" s="188"/>
    </row>
    <row r="7" spans="2:19">
      <c r="B7" s="115"/>
      <c r="C7" s="111"/>
      <c r="D7" s="111"/>
      <c r="E7" s="111"/>
      <c r="F7" s="111"/>
      <c r="G7" s="111"/>
      <c r="H7" s="115"/>
      <c r="I7" s="116"/>
      <c r="J7" s="117"/>
      <c r="K7" s="118"/>
      <c r="L7" s="119"/>
      <c r="M7" s="120"/>
      <c r="N7" s="121"/>
      <c r="O7" s="121"/>
      <c r="P7" s="122"/>
      <c r="Q7" s="186"/>
      <c r="R7" s="187"/>
      <c r="S7" s="188"/>
    </row>
    <row r="8" spans="2:19">
      <c r="B8" s="115"/>
      <c r="C8" s="111"/>
      <c r="D8" s="123"/>
      <c r="E8" s="112"/>
      <c r="F8" s="113"/>
      <c r="G8" s="114"/>
      <c r="H8" s="115"/>
      <c r="I8" s="116"/>
      <c r="J8" s="117"/>
      <c r="K8" s="118"/>
      <c r="L8" s="119"/>
      <c r="M8" s="120"/>
      <c r="N8" s="121"/>
      <c r="O8" s="121"/>
      <c r="P8" s="122"/>
      <c r="Q8" s="186"/>
      <c r="R8" s="187"/>
      <c r="S8" s="188"/>
    </row>
    <row r="9" spans="2:19">
      <c r="B9" s="115"/>
      <c r="C9" s="111"/>
      <c r="D9" s="123"/>
      <c r="E9" s="111"/>
      <c r="F9" s="113"/>
      <c r="G9" s="114"/>
      <c r="H9" s="115"/>
      <c r="I9" s="116"/>
      <c r="J9" s="117"/>
      <c r="K9" s="118"/>
      <c r="L9" s="119"/>
      <c r="M9" s="120"/>
      <c r="N9" s="121"/>
      <c r="O9" s="121"/>
      <c r="P9" s="122"/>
      <c r="Q9" s="186"/>
      <c r="R9" s="187"/>
      <c r="S9" s="207"/>
    </row>
    <row r="10" spans="2:19">
      <c r="B10" s="115"/>
      <c r="C10" s="112"/>
      <c r="D10" s="123"/>
      <c r="E10" s="111"/>
      <c r="F10" s="113"/>
      <c r="G10" s="114"/>
      <c r="H10" s="115"/>
      <c r="I10" s="116"/>
      <c r="J10" s="117"/>
      <c r="K10" s="118"/>
      <c r="L10" s="119"/>
      <c r="M10" s="120"/>
      <c r="N10" s="121"/>
      <c r="O10" s="121"/>
      <c r="P10" s="122"/>
      <c r="Q10" s="186"/>
      <c r="R10" s="187"/>
      <c r="S10" s="204"/>
    </row>
    <row r="11" spans="2:19">
      <c r="B11" s="115"/>
      <c r="C11" s="111"/>
      <c r="D11" s="111"/>
      <c r="E11" s="111"/>
      <c r="F11" s="113"/>
      <c r="G11" s="114"/>
      <c r="H11" s="115"/>
      <c r="I11" s="116"/>
      <c r="J11" s="117"/>
      <c r="K11" s="118"/>
      <c r="L11" s="119"/>
      <c r="M11" s="120"/>
      <c r="N11" s="121"/>
      <c r="O11" s="121"/>
      <c r="P11" s="122"/>
      <c r="Q11" s="186"/>
      <c r="R11" s="187"/>
      <c r="S11" s="188"/>
    </row>
    <row r="12" spans="2:19">
      <c r="B12" s="115"/>
      <c r="C12" s="111"/>
      <c r="D12" s="111"/>
      <c r="E12" s="111"/>
      <c r="F12" s="113"/>
      <c r="G12" s="114"/>
      <c r="H12" s="115"/>
      <c r="I12" s="116"/>
      <c r="J12" s="116"/>
      <c r="K12" s="118"/>
      <c r="L12" s="119"/>
      <c r="M12" s="120"/>
      <c r="N12" s="121"/>
      <c r="O12" s="121"/>
      <c r="P12" s="122"/>
      <c r="Q12" s="186"/>
      <c r="R12" s="187"/>
      <c r="S12" s="188"/>
    </row>
    <row r="13" spans="2:19">
      <c r="B13" s="115"/>
      <c r="C13" s="111"/>
      <c r="D13" s="111"/>
      <c r="E13" s="111"/>
      <c r="F13" s="113"/>
      <c r="G13" s="114"/>
      <c r="H13" s="115"/>
      <c r="I13" s="116"/>
      <c r="J13" s="116"/>
      <c r="K13" s="118"/>
      <c r="L13" s="119"/>
      <c r="M13" s="120"/>
      <c r="N13" s="121"/>
      <c r="O13" s="121"/>
      <c r="P13" s="122"/>
      <c r="Q13" s="186"/>
      <c r="R13" s="187"/>
      <c r="S13" s="188"/>
    </row>
    <row r="14" spans="2:19">
      <c r="B14" s="115"/>
      <c r="C14" s="124"/>
      <c r="D14" s="123"/>
      <c r="E14" s="111"/>
      <c r="F14" s="113"/>
      <c r="G14" s="114"/>
      <c r="H14" s="115"/>
      <c r="I14" s="116"/>
      <c r="J14" s="117"/>
      <c r="K14" s="118"/>
      <c r="L14" s="119"/>
      <c r="M14" s="120"/>
      <c r="N14" s="121"/>
      <c r="O14" s="121"/>
      <c r="P14" s="122"/>
      <c r="Q14" s="186"/>
      <c r="R14" s="187"/>
      <c r="S14" s="188"/>
    </row>
    <row r="15" spans="2:19">
      <c r="B15" s="115"/>
      <c r="C15" s="111"/>
      <c r="D15" s="123"/>
      <c r="E15" s="111"/>
      <c r="F15" s="113"/>
      <c r="G15" s="114"/>
      <c r="H15" s="115"/>
      <c r="I15" s="116"/>
      <c r="J15" s="117"/>
      <c r="K15" s="118"/>
      <c r="L15" s="119"/>
      <c r="M15" s="120"/>
      <c r="N15" s="121"/>
      <c r="O15" s="121"/>
      <c r="P15" s="122"/>
      <c r="Q15" s="186"/>
      <c r="R15" s="187"/>
      <c r="S15" s="188"/>
    </row>
    <row r="16" spans="2:19">
      <c r="B16" s="115"/>
      <c r="C16" s="111"/>
      <c r="D16" s="123"/>
      <c r="E16" s="111"/>
      <c r="F16" s="113"/>
      <c r="G16" s="114"/>
      <c r="H16" s="115"/>
      <c r="I16" s="116"/>
      <c r="J16" s="117"/>
      <c r="K16" s="118"/>
      <c r="L16" s="119"/>
      <c r="M16" s="120"/>
      <c r="N16" s="121"/>
      <c r="O16" s="121"/>
      <c r="P16" s="122"/>
      <c r="Q16" s="186"/>
      <c r="R16" s="187"/>
      <c r="S16" s="188"/>
    </row>
    <row r="17" spans="2:19">
      <c r="B17" s="115"/>
      <c r="C17" s="111"/>
      <c r="D17" s="123"/>
      <c r="E17" s="111"/>
      <c r="F17" s="113"/>
      <c r="G17" s="114"/>
      <c r="H17" s="115"/>
      <c r="I17" s="116"/>
      <c r="J17" s="117"/>
      <c r="K17" s="118"/>
      <c r="L17" s="119"/>
      <c r="M17" s="120"/>
      <c r="N17" s="121"/>
      <c r="O17" s="121"/>
      <c r="P17" s="122"/>
      <c r="Q17" s="186"/>
      <c r="R17" s="187"/>
      <c r="S17" s="188"/>
    </row>
    <row r="18" spans="2:19">
      <c r="B18" s="115"/>
      <c r="C18" s="111"/>
      <c r="D18" s="111"/>
      <c r="E18" s="111"/>
      <c r="F18" s="113"/>
      <c r="G18" s="114"/>
      <c r="H18" s="115"/>
      <c r="I18" s="116"/>
      <c r="J18" s="116"/>
      <c r="K18" s="118"/>
      <c r="L18" s="119"/>
      <c r="M18" s="120"/>
      <c r="N18" s="121"/>
      <c r="O18" s="121"/>
      <c r="P18" s="122"/>
      <c r="Q18" s="186"/>
      <c r="R18" s="187"/>
      <c r="S18" s="188"/>
    </row>
    <row r="19" spans="2:19">
      <c r="B19" s="115"/>
      <c r="C19" s="111"/>
      <c r="D19" s="111"/>
      <c r="E19" s="112"/>
      <c r="F19" s="113"/>
      <c r="G19" s="114"/>
      <c r="H19" s="115"/>
      <c r="I19" s="116"/>
      <c r="J19" s="117"/>
      <c r="K19" s="118"/>
      <c r="L19" s="119"/>
      <c r="M19" s="120"/>
      <c r="N19" s="121"/>
      <c r="O19" s="121"/>
      <c r="P19" s="122"/>
      <c r="Q19" s="186"/>
      <c r="R19" s="187"/>
      <c r="S19" s="188"/>
    </row>
    <row r="20" spans="2:19" ht="15" customHeight="1" thickBot="1">
      <c r="B20" s="125"/>
      <c r="C20" s="126"/>
      <c r="D20" s="126"/>
      <c r="E20" s="126"/>
      <c r="F20" s="127"/>
      <c r="G20" s="128"/>
      <c r="H20" s="129"/>
      <c r="I20" s="130"/>
      <c r="J20" s="130"/>
      <c r="K20" s="131"/>
      <c r="L20" s="132"/>
      <c r="M20" s="133"/>
      <c r="N20" s="134"/>
      <c r="O20" s="134"/>
      <c r="P20" s="135"/>
      <c r="Q20" s="206"/>
      <c r="R20" s="198"/>
      <c r="S20" s="199"/>
    </row>
    <row r="21" spans="2:19">
      <c r="K21" s="136"/>
      <c r="N21" s="136"/>
      <c r="O21" s="136"/>
      <c r="P21" s="136" t="s">
        <v>37</v>
      </c>
      <c r="Q21" s="137">
        <f>SUM(Q3:Q20)</f>
        <v>73.839600000000004</v>
      </c>
      <c r="R21" s="137">
        <f>SUM(R4:R20)</f>
        <v>73.839600000000004</v>
      </c>
      <c r="S21" s="138">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U50"/>
  <sheetViews>
    <sheetView view="pageBreakPreview" topLeftCell="A25" zoomScale="80" zoomScaleNormal="100" zoomScaleSheetLayoutView="80" workbookViewId="0">
      <selection activeCell="R44" sqref="R44"/>
    </sheetView>
  </sheetViews>
  <sheetFormatPr defaultColWidth="9.08984375" defaultRowHeight="12.5"/>
  <cols>
    <col min="1" max="1" width="9" style="1" customWidth="1"/>
    <col min="2" max="2" width="56.08984375" style="1" customWidth="1"/>
    <col min="3" max="3" width="10.90625" style="1" customWidth="1"/>
    <col min="4" max="4" width="5.36328125" style="1" bestFit="1" customWidth="1"/>
    <col min="5" max="5" width="11.6328125" style="2" customWidth="1"/>
    <col min="6" max="6" width="15.6328125" style="2" customWidth="1"/>
    <col min="7" max="7" width="10.90625" style="37" customWidth="1"/>
    <col min="8" max="8" width="14.08984375" style="2" customWidth="1"/>
    <col min="9" max="9" width="2.36328125" style="1" customWidth="1"/>
    <col min="10" max="10" width="11.54296875" style="44" customWidth="1"/>
    <col min="11" max="11" width="11.54296875" style="46" customWidth="1"/>
    <col min="12" max="12" width="13.90625" style="48" customWidth="1"/>
    <col min="13" max="13" width="2.36328125" style="1" customWidth="1"/>
    <col min="14" max="14" width="10.90625" style="37" customWidth="1"/>
    <col min="15" max="15" width="10.90625" style="3" customWidth="1"/>
    <col min="16" max="16" width="14.08984375" style="2" customWidth="1"/>
    <col min="17" max="17" width="2.36328125" style="1" customWidth="1"/>
    <col min="18" max="18" width="10.90625" style="37" customWidth="1"/>
    <col min="19" max="19" width="10.90625" style="3" customWidth="1"/>
    <col min="20" max="20" width="14.08984375" style="2" customWidth="1"/>
    <col min="21" max="21" width="2.453125" style="1" customWidth="1"/>
    <col min="22" max="16384" width="9.08984375" style="1"/>
  </cols>
  <sheetData>
    <row r="1" spans="1:21" s="5" customFormat="1" ht="35.4" customHeight="1" thickBot="1">
      <c r="A1" s="548" t="s">
        <v>0</v>
      </c>
      <c r="B1" s="548"/>
      <c r="C1" s="548"/>
      <c r="D1" s="548"/>
      <c r="E1" s="548"/>
      <c r="F1" s="548"/>
      <c r="G1" s="548"/>
      <c r="H1" s="548"/>
      <c r="I1" s="4"/>
      <c r="J1" s="45"/>
      <c r="K1" s="47"/>
      <c r="L1" s="49"/>
      <c r="M1" s="4"/>
      <c r="N1" s="42"/>
      <c r="O1" s="4"/>
      <c r="P1" s="4"/>
      <c r="Q1" s="4"/>
      <c r="R1" s="42"/>
      <c r="S1" s="4"/>
      <c r="T1" s="4"/>
      <c r="U1" s="4"/>
    </row>
    <row r="2" spans="1:21" s="5" customFormat="1" ht="21.65" customHeight="1" thickTop="1">
      <c r="A2" s="549" t="s">
        <v>1</v>
      </c>
      <c r="B2" s="551" t="s">
        <v>2</v>
      </c>
      <c r="C2" s="551" t="s">
        <v>3</v>
      </c>
      <c r="D2" s="551" t="s">
        <v>4</v>
      </c>
      <c r="E2" s="551" t="s">
        <v>5</v>
      </c>
      <c r="F2" s="553" t="s">
        <v>6</v>
      </c>
      <c r="G2" s="555" t="s">
        <v>7</v>
      </c>
      <c r="H2" s="547"/>
      <c r="J2" s="545" t="s">
        <v>65</v>
      </c>
      <c r="K2" s="546"/>
      <c r="L2" s="547"/>
      <c r="N2" s="545" t="s">
        <v>66</v>
      </c>
      <c r="O2" s="546"/>
      <c r="P2" s="547"/>
      <c r="R2" s="545" t="s">
        <v>67</v>
      </c>
      <c r="S2" s="546"/>
      <c r="T2" s="547"/>
    </row>
    <row r="3" spans="1:21" s="5" customFormat="1" ht="62.25" customHeight="1">
      <c r="A3" s="550"/>
      <c r="B3" s="552"/>
      <c r="C3" s="552"/>
      <c r="D3" s="552"/>
      <c r="E3" s="552" t="s">
        <v>5</v>
      </c>
      <c r="F3" s="554" t="s">
        <v>6</v>
      </c>
      <c r="G3" s="71" t="s">
        <v>8</v>
      </c>
      <c r="H3" s="6" t="s">
        <v>9</v>
      </c>
      <c r="J3" s="38" t="s">
        <v>40</v>
      </c>
      <c r="K3" s="7" t="s">
        <v>41</v>
      </c>
      <c r="L3" s="6" t="s">
        <v>6</v>
      </c>
      <c r="N3" s="38" t="s">
        <v>8</v>
      </c>
      <c r="O3" s="7" t="s">
        <v>10</v>
      </c>
      <c r="P3" s="6" t="s">
        <v>9</v>
      </c>
      <c r="R3" s="38" t="s">
        <v>8</v>
      </c>
      <c r="S3" s="7" t="s">
        <v>10</v>
      </c>
      <c r="T3" s="6" t="s">
        <v>9</v>
      </c>
    </row>
    <row r="4" spans="1:21">
      <c r="A4" s="8"/>
      <c r="B4" s="9"/>
      <c r="C4" s="9"/>
      <c r="D4" s="9"/>
      <c r="E4" s="10"/>
      <c r="F4" s="11"/>
      <c r="G4" s="72"/>
      <c r="H4" s="11"/>
      <c r="J4" s="39"/>
      <c r="K4" s="12"/>
      <c r="L4" s="11"/>
      <c r="N4" s="39"/>
      <c r="O4" s="12"/>
      <c r="P4" s="11"/>
      <c r="R4" s="39"/>
      <c r="S4" s="12"/>
      <c r="T4" s="11"/>
    </row>
    <row r="5" spans="1:21" ht="13">
      <c r="A5" s="13"/>
      <c r="B5" s="14" t="s">
        <v>11</v>
      </c>
      <c r="C5" s="15"/>
      <c r="D5" s="15"/>
      <c r="E5" s="10"/>
      <c r="F5" s="11"/>
      <c r="G5" s="72"/>
      <c r="H5" s="11"/>
      <c r="J5" s="39"/>
      <c r="K5" s="12"/>
      <c r="L5" s="11"/>
      <c r="N5" s="39"/>
      <c r="O5" s="12"/>
      <c r="P5" s="11"/>
      <c r="R5" s="39"/>
      <c r="S5" s="12"/>
      <c r="T5" s="11"/>
    </row>
    <row r="6" spans="1:21" ht="13">
      <c r="A6" s="13"/>
      <c r="B6" s="15"/>
      <c r="C6" s="15"/>
      <c r="D6" s="15"/>
      <c r="E6" s="10"/>
      <c r="F6" s="11"/>
      <c r="G6" s="72"/>
      <c r="H6" s="11"/>
      <c r="J6" s="43"/>
      <c r="K6" s="12"/>
      <c r="L6" s="11"/>
      <c r="N6" s="43"/>
      <c r="O6" s="12"/>
      <c r="P6" s="11"/>
      <c r="R6" s="43"/>
      <c r="S6" s="12"/>
      <c r="T6" s="11"/>
    </row>
    <row r="7" spans="1:21" ht="13">
      <c r="A7" s="13"/>
      <c r="B7" s="14" t="s">
        <v>12</v>
      </c>
      <c r="C7" s="15"/>
      <c r="D7" s="15"/>
      <c r="E7" s="10"/>
      <c r="F7" s="11"/>
      <c r="G7" s="72"/>
      <c r="H7" s="11"/>
      <c r="J7" s="39"/>
      <c r="K7" s="12"/>
      <c r="L7" s="11"/>
      <c r="N7" s="39"/>
      <c r="O7" s="12"/>
      <c r="P7" s="11"/>
      <c r="R7" s="39"/>
      <c r="S7" s="12"/>
      <c r="T7" s="11"/>
    </row>
    <row r="8" spans="1:21" ht="20.25" customHeight="1">
      <c r="A8" s="13"/>
      <c r="B8" s="15"/>
      <c r="C8" s="15"/>
      <c r="D8" s="15"/>
      <c r="E8" s="10"/>
      <c r="F8" s="11"/>
      <c r="G8" s="72"/>
      <c r="H8" s="11"/>
      <c r="J8" s="39"/>
      <c r="K8" s="12"/>
      <c r="L8" s="11"/>
      <c r="N8" s="39"/>
      <c r="O8" s="12"/>
      <c r="P8" s="11"/>
      <c r="R8" s="39"/>
      <c r="S8" s="12"/>
      <c r="T8" s="11"/>
    </row>
    <row r="9" spans="1:21" ht="60.75" customHeight="1">
      <c r="A9" s="13"/>
      <c r="B9" s="16" t="s">
        <v>13</v>
      </c>
      <c r="C9" s="15"/>
      <c r="D9" s="15"/>
      <c r="E9" s="10"/>
      <c r="F9" s="11"/>
      <c r="G9" s="72"/>
      <c r="H9" s="11"/>
      <c r="J9" s="39"/>
      <c r="K9" s="12"/>
      <c r="L9" s="11"/>
      <c r="N9" s="39"/>
      <c r="O9" s="12"/>
      <c r="P9" s="11"/>
      <c r="R9" s="39"/>
      <c r="S9" s="12"/>
      <c r="T9" s="11"/>
    </row>
    <row r="10" spans="1:21" s="22" customFormat="1">
      <c r="A10" s="17"/>
      <c r="B10" s="18"/>
      <c r="C10" s="18"/>
      <c r="D10" s="18"/>
      <c r="E10" s="19"/>
      <c r="F10" s="21"/>
      <c r="G10" s="73"/>
      <c r="H10" s="21"/>
      <c r="J10" s="40"/>
      <c r="K10" s="23"/>
      <c r="L10" s="21"/>
      <c r="N10" s="40"/>
      <c r="O10" s="23"/>
      <c r="P10" s="21"/>
      <c r="R10" s="40"/>
      <c r="S10" s="23"/>
      <c r="T10" s="21"/>
    </row>
    <row r="11" spans="1:21" s="22" customFormat="1" ht="13">
      <c r="A11" s="17"/>
      <c r="B11" s="24" t="s">
        <v>14</v>
      </c>
      <c r="C11" s="18"/>
      <c r="D11" s="18"/>
      <c r="E11" s="19"/>
      <c r="F11" s="21"/>
      <c r="G11" s="73"/>
      <c r="H11" s="21"/>
      <c r="J11" s="40"/>
      <c r="K11" s="23"/>
      <c r="L11" s="21"/>
      <c r="N11" s="40"/>
      <c r="O11" s="23"/>
      <c r="P11" s="21"/>
      <c r="R11" s="40"/>
      <c r="S11" s="23"/>
      <c r="T11" s="21"/>
    </row>
    <row r="12" spans="1:21" s="22" customFormat="1">
      <c r="A12" s="17"/>
      <c r="B12" s="18"/>
      <c r="C12" s="18"/>
      <c r="D12" s="18"/>
      <c r="E12" s="19"/>
      <c r="F12" s="21"/>
      <c r="G12" s="73"/>
      <c r="H12" s="21"/>
      <c r="J12" s="40"/>
      <c r="K12" s="23"/>
      <c r="L12" s="21"/>
      <c r="N12" s="40"/>
      <c r="O12" s="23"/>
      <c r="P12" s="21"/>
      <c r="R12" s="40"/>
      <c r="S12" s="23"/>
      <c r="T12" s="21"/>
    </row>
    <row r="13" spans="1:21" s="22" customFormat="1" ht="38.25" customHeight="1">
      <c r="A13" s="25" t="s">
        <v>15</v>
      </c>
      <c r="B13" s="26" t="s">
        <v>16</v>
      </c>
      <c r="C13" s="27">
        <v>876</v>
      </c>
      <c r="D13" s="28" t="s">
        <v>17</v>
      </c>
      <c r="E13" s="19">
        <v>295</v>
      </c>
      <c r="F13" s="21">
        <f>E13*C13</f>
        <v>258420</v>
      </c>
      <c r="G13" s="73"/>
      <c r="H13" s="21"/>
      <c r="J13" s="318">
        <v>0.20421910856164383</v>
      </c>
      <c r="K13" s="319">
        <v>178.89593909999999</v>
      </c>
      <c r="L13" s="320">
        <v>52774.302034499997</v>
      </c>
      <c r="N13" s="318">
        <f>R13-J13</f>
        <v>0.15950974315068495</v>
      </c>
      <c r="O13" s="319">
        <f>S13-K13</f>
        <v>139.730535</v>
      </c>
      <c r="P13" s="320">
        <f>T13-L13</f>
        <v>41220.507825000008</v>
      </c>
      <c r="R13" s="318">
        <f>S13/C13</f>
        <v>0.36372885171232877</v>
      </c>
      <c r="S13" s="319">
        <f>'75MM-EIFS'!S33</f>
        <v>318.6264741</v>
      </c>
      <c r="T13" s="320">
        <f>S13*E13</f>
        <v>93994.809859500005</v>
      </c>
    </row>
    <row r="14" spans="1:21" s="22" customFormat="1">
      <c r="A14" s="25"/>
      <c r="B14" s="26"/>
      <c r="C14" s="27"/>
      <c r="D14" s="28"/>
      <c r="E14" s="19"/>
      <c r="F14" s="21"/>
      <c r="G14" s="73"/>
      <c r="H14" s="21"/>
      <c r="J14" s="40"/>
      <c r="K14" s="23"/>
      <c r="L14" s="21"/>
      <c r="N14" s="40"/>
      <c r="O14" s="23"/>
      <c r="P14" s="21"/>
      <c r="R14" s="40"/>
      <c r="S14" s="23"/>
      <c r="T14" s="21"/>
    </row>
    <row r="15" spans="1:21" s="22" customFormat="1" ht="25">
      <c r="A15" s="25" t="s">
        <v>18</v>
      </c>
      <c r="B15" s="26" t="s">
        <v>19</v>
      </c>
      <c r="C15" s="27">
        <v>692</v>
      </c>
      <c r="D15" s="28" t="s">
        <v>17</v>
      </c>
      <c r="E15" s="19">
        <v>319</v>
      </c>
      <c r="F15" s="21">
        <f>E15*C15</f>
        <v>220748</v>
      </c>
      <c r="G15" s="73">
        <v>0.89804404624277456</v>
      </c>
      <c r="H15" s="21">
        <f>G15*F15</f>
        <v>198241.42712000001</v>
      </c>
      <c r="I15" s="29"/>
      <c r="J15" s="318">
        <v>0.92020492712496738</v>
      </c>
      <c r="K15" s="319">
        <v>636.78180957047744</v>
      </c>
      <c r="L15" s="320">
        <v>203133.39725298231</v>
      </c>
      <c r="M15" s="29"/>
      <c r="N15" s="318">
        <f>R15-J15</f>
        <v>0</v>
      </c>
      <c r="O15" s="319">
        <f>S15-K15</f>
        <v>0</v>
      </c>
      <c r="P15" s="320">
        <f>T15-L15</f>
        <v>0</v>
      </c>
      <c r="Q15" s="29"/>
      <c r="R15" s="318">
        <f>S15/C15</f>
        <v>0.92020492712496738</v>
      </c>
      <c r="S15" s="478">
        <f>PRODUCT(C15,G15)-VARIATIONS!K86-VARIATIONS!K91</f>
        <v>636.78180957047744</v>
      </c>
      <c r="T15" s="320">
        <f>S15*E15</f>
        <v>203133.39725298231</v>
      </c>
    </row>
    <row r="16" spans="1:21" s="22" customFormat="1">
      <c r="A16" s="30"/>
      <c r="B16" s="31"/>
      <c r="C16" s="18"/>
      <c r="D16" s="18"/>
      <c r="E16" s="19"/>
      <c r="F16" s="21"/>
      <c r="G16" s="73"/>
      <c r="H16" s="21"/>
      <c r="J16" s="40"/>
      <c r="K16" s="23"/>
      <c r="L16" s="21"/>
      <c r="N16" s="40"/>
      <c r="O16" s="23"/>
      <c r="P16" s="21"/>
      <c r="R16" s="40"/>
      <c r="S16" s="23"/>
      <c r="T16" s="21"/>
    </row>
    <row r="17" spans="1:20" s="22" customFormat="1" ht="25">
      <c r="A17" s="25" t="s">
        <v>20</v>
      </c>
      <c r="B17" s="26" t="s">
        <v>21</v>
      </c>
      <c r="C17" s="27">
        <v>266</v>
      </c>
      <c r="D17" s="28" t="s">
        <v>17</v>
      </c>
      <c r="E17" s="19">
        <v>347</v>
      </c>
      <c r="F17" s="21">
        <f>E17*C17</f>
        <v>92302</v>
      </c>
      <c r="G17" s="73"/>
      <c r="H17" s="21"/>
      <c r="J17" s="40">
        <v>0.39214184210526315</v>
      </c>
      <c r="K17" s="20">
        <v>104.30973</v>
      </c>
      <c r="L17" s="21">
        <v>36195.476309999998</v>
      </c>
      <c r="N17" s="40">
        <f>R17-J17</f>
        <v>0</v>
      </c>
      <c r="O17" s="20">
        <f>S17-K17</f>
        <v>0</v>
      </c>
      <c r="P17" s="21">
        <f>T17-L17</f>
        <v>0</v>
      </c>
      <c r="R17" s="318">
        <f>S17/C17</f>
        <v>0.39214184210526315</v>
      </c>
      <c r="S17" s="319">
        <f>'150MM-EIFS'!S30</f>
        <v>104.30973</v>
      </c>
      <c r="T17" s="320">
        <f>S17*E17</f>
        <v>36195.476309999998</v>
      </c>
    </row>
    <row r="18" spans="1:20" s="22" customFormat="1">
      <c r="A18" s="30"/>
      <c r="B18" s="31"/>
      <c r="C18" s="18"/>
      <c r="D18" s="18"/>
      <c r="E18" s="19"/>
      <c r="F18" s="21"/>
      <c r="G18" s="73"/>
      <c r="H18" s="21"/>
      <c r="J18" s="40"/>
      <c r="K18" s="23"/>
      <c r="L18" s="21"/>
      <c r="N18" s="40"/>
      <c r="O18" s="23"/>
      <c r="P18" s="21"/>
      <c r="R18" s="40"/>
      <c r="S18" s="23"/>
      <c r="T18" s="21"/>
    </row>
    <row r="19" spans="1:20" s="22" customFormat="1" ht="25">
      <c r="A19" s="25" t="s">
        <v>22</v>
      </c>
      <c r="B19" s="26" t="s">
        <v>23</v>
      </c>
      <c r="C19" s="27">
        <v>682</v>
      </c>
      <c r="D19" s="28" t="s">
        <v>17</v>
      </c>
      <c r="E19" s="19">
        <v>380</v>
      </c>
      <c r="F19" s="21">
        <f>E19*C19</f>
        <v>259160</v>
      </c>
      <c r="G19" s="73">
        <v>0.95739161290322572</v>
      </c>
      <c r="H19" s="21">
        <f>G19*F19</f>
        <v>248117.61039999998</v>
      </c>
      <c r="I19" s="29"/>
      <c r="J19" s="318">
        <v>1</v>
      </c>
      <c r="K19" s="319">
        <v>682</v>
      </c>
      <c r="L19" s="320">
        <v>259160</v>
      </c>
      <c r="M19" s="29"/>
      <c r="N19" s="318">
        <f>R19-J19</f>
        <v>0</v>
      </c>
      <c r="O19" s="319">
        <f>S19-K19</f>
        <v>0</v>
      </c>
      <c r="P19" s="320">
        <f>T19-L19</f>
        <v>0</v>
      </c>
      <c r="Q19" s="29"/>
      <c r="R19" s="318">
        <f>S19/C19</f>
        <v>1</v>
      </c>
      <c r="S19" s="319">
        <f>'200MM-EIFS'!S40</f>
        <v>682</v>
      </c>
      <c r="T19" s="320">
        <f>S19*E19</f>
        <v>259160</v>
      </c>
    </row>
    <row r="20" spans="1:20" s="22" customFormat="1">
      <c r="A20" s="30"/>
      <c r="B20" s="31"/>
      <c r="C20" s="18"/>
      <c r="D20" s="18"/>
      <c r="E20" s="19"/>
      <c r="F20" s="21"/>
      <c r="G20" s="73"/>
      <c r="H20" s="21"/>
      <c r="J20" s="40"/>
      <c r="K20" s="23"/>
      <c r="L20" s="21"/>
      <c r="N20" s="40"/>
      <c r="O20" s="23"/>
      <c r="P20" s="21"/>
      <c r="R20" s="40"/>
      <c r="S20" s="23"/>
      <c r="T20" s="21"/>
    </row>
    <row r="21" spans="1:20" s="22" customFormat="1" ht="25">
      <c r="A21" s="25" t="s">
        <v>24</v>
      </c>
      <c r="B21" s="26" t="s">
        <v>25</v>
      </c>
      <c r="C21" s="27">
        <v>176</v>
      </c>
      <c r="D21" s="28" t="s">
        <v>17</v>
      </c>
      <c r="E21" s="19">
        <v>415</v>
      </c>
      <c r="F21" s="21">
        <f>E21*C21</f>
        <v>73040</v>
      </c>
      <c r="G21" s="73"/>
      <c r="H21" s="21"/>
      <c r="J21" s="40"/>
      <c r="K21" s="20">
        <v>0</v>
      </c>
      <c r="L21" s="21">
        <v>0</v>
      </c>
      <c r="N21" s="40">
        <f>R21-J21</f>
        <v>0</v>
      </c>
      <c r="O21" s="20">
        <f>S21-K21</f>
        <v>0</v>
      </c>
      <c r="P21" s="21">
        <f>T21-L21</f>
        <v>0</v>
      </c>
      <c r="R21" s="40"/>
      <c r="S21" s="20">
        <f>VARIATIONS!K39</f>
        <v>0</v>
      </c>
      <c r="T21" s="21">
        <f>S21*E21</f>
        <v>0</v>
      </c>
    </row>
    <row r="22" spans="1:20" s="22" customFormat="1">
      <c r="A22" s="30"/>
      <c r="B22" s="31"/>
      <c r="C22" s="18"/>
      <c r="D22" s="18"/>
      <c r="E22" s="19"/>
      <c r="F22" s="21"/>
      <c r="G22" s="73"/>
      <c r="H22" s="21"/>
      <c r="J22" s="40"/>
      <c r="K22" s="23"/>
      <c r="L22" s="21"/>
      <c r="N22" s="40"/>
      <c r="O22" s="23"/>
      <c r="P22" s="21"/>
      <c r="R22" s="40"/>
      <c r="S22" s="23"/>
      <c r="T22" s="21"/>
    </row>
    <row r="23" spans="1:20" s="22" customFormat="1" ht="25">
      <c r="A23" s="25" t="s">
        <v>26</v>
      </c>
      <c r="B23" s="26" t="s">
        <v>27</v>
      </c>
      <c r="C23" s="27">
        <v>854</v>
      </c>
      <c r="D23" s="28" t="s">
        <v>17</v>
      </c>
      <c r="E23" s="19">
        <v>435</v>
      </c>
      <c r="F23" s="21">
        <f>E23*C23</f>
        <v>371490</v>
      </c>
      <c r="G23" s="73">
        <v>0.20256955503512877</v>
      </c>
      <c r="H23" s="21">
        <f>G23*F23</f>
        <v>75252.563999999984</v>
      </c>
      <c r="I23" s="29"/>
      <c r="J23" s="40">
        <v>0.95987418617205622</v>
      </c>
      <c r="K23" s="20">
        <v>819.73255499093602</v>
      </c>
      <c r="L23" s="21">
        <v>356583.66142105719</v>
      </c>
      <c r="M23" s="29"/>
      <c r="N23" s="40">
        <f>R23-J23</f>
        <v>0</v>
      </c>
      <c r="O23" s="20">
        <f>S23-K23</f>
        <v>0</v>
      </c>
      <c r="P23" s="21">
        <f>T23-L23</f>
        <v>0</v>
      </c>
      <c r="Q23" s="29"/>
      <c r="R23" s="318">
        <f>S23/C23</f>
        <v>0.95987418617205622</v>
      </c>
      <c r="S23" s="20">
        <f>195.53+VARIATIONS!K37-VARIATIONS!K79</f>
        <v>819.73255499093602</v>
      </c>
      <c r="T23" s="21">
        <f>S23*E23</f>
        <v>356583.66142105719</v>
      </c>
    </row>
    <row r="24" spans="1:20" s="22" customFormat="1">
      <c r="A24" s="30"/>
      <c r="B24" s="31"/>
      <c r="C24" s="18"/>
      <c r="D24" s="18"/>
      <c r="E24" s="19"/>
      <c r="F24" s="21"/>
      <c r="G24" s="73"/>
      <c r="H24" s="21"/>
      <c r="J24" s="40"/>
      <c r="K24" s="23"/>
      <c r="L24" s="21"/>
      <c r="N24" s="40"/>
      <c r="O24" s="23"/>
      <c r="P24" s="21"/>
      <c r="R24" s="40"/>
      <c r="S24" s="23"/>
      <c r="T24" s="21"/>
    </row>
    <row r="25" spans="1:20" s="22" customFormat="1" ht="25">
      <c r="A25" s="25" t="s">
        <v>28</v>
      </c>
      <c r="B25" s="26" t="s">
        <v>29</v>
      </c>
      <c r="C25" s="27">
        <v>422</v>
      </c>
      <c r="D25" s="28" t="s">
        <v>17</v>
      </c>
      <c r="E25" s="19">
        <v>500</v>
      </c>
      <c r="F25" s="21">
        <f>E25*C25</f>
        <v>211000</v>
      </c>
      <c r="G25" s="73">
        <v>0.31074824644549748</v>
      </c>
      <c r="H25" s="21">
        <f>G25*F25</f>
        <v>65567.879999999961</v>
      </c>
      <c r="I25" s="29"/>
      <c r="J25" s="40">
        <v>0.70573652089492034</v>
      </c>
      <c r="K25" s="20">
        <v>297.82081181765636</v>
      </c>
      <c r="L25" s="21">
        <v>148910.40590882819</v>
      </c>
      <c r="M25" s="29"/>
      <c r="N25" s="40">
        <f>R25-J25</f>
        <v>0</v>
      </c>
      <c r="O25" s="20">
        <f>S25-K25</f>
        <v>0</v>
      </c>
      <c r="P25" s="21">
        <f>T25-L25</f>
        <v>0</v>
      </c>
      <c r="Q25" s="29"/>
      <c r="R25" s="318">
        <f>S25/C25</f>
        <v>0.70573652089492034</v>
      </c>
      <c r="S25" s="20">
        <f>141.46+VARIATIONS!K38</f>
        <v>297.82081181765636</v>
      </c>
      <c r="T25" s="21">
        <f>S25*E25</f>
        <v>148910.40590882819</v>
      </c>
    </row>
    <row r="26" spans="1:20" s="22" customFormat="1">
      <c r="A26" s="30"/>
      <c r="B26" s="31"/>
      <c r="C26" s="18"/>
      <c r="D26" s="18"/>
      <c r="E26" s="19"/>
      <c r="F26" s="21"/>
      <c r="G26" s="73"/>
      <c r="H26" s="21"/>
      <c r="J26" s="40"/>
      <c r="K26" s="23"/>
      <c r="L26" s="21"/>
      <c r="N26" s="40"/>
      <c r="O26" s="23"/>
      <c r="P26" s="21"/>
      <c r="R26" s="40"/>
      <c r="S26" s="23"/>
      <c r="T26" s="21"/>
    </row>
    <row r="27" spans="1:20" s="22" customFormat="1" ht="26">
      <c r="A27" s="30"/>
      <c r="B27" s="32" t="s">
        <v>30</v>
      </c>
      <c r="C27" s="18"/>
      <c r="D27" s="18"/>
      <c r="E27" s="19"/>
      <c r="F27" s="21"/>
      <c r="G27" s="73"/>
      <c r="H27" s="21"/>
      <c r="J27" s="40"/>
      <c r="K27" s="23"/>
      <c r="L27" s="21"/>
      <c r="N27" s="40"/>
      <c r="O27" s="23"/>
      <c r="P27" s="21"/>
      <c r="R27" s="40"/>
      <c r="S27" s="23"/>
      <c r="T27" s="21"/>
    </row>
    <row r="28" spans="1:20" s="22" customFormat="1">
      <c r="A28" s="30"/>
      <c r="B28" s="31"/>
      <c r="C28" s="18"/>
      <c r="D28" s="18"/>
      <c r="E28" s="19"/>
      <c r="F28" s="21"/>
      <c r="G28" s="73"/>
      <c r="H28" s="21"/>
      <c r="J28" s="40"/>
      <c r="K28" s="23"/>
      <c r="L28" s="21"/>
      <c r="N28" s="40"/>
      <c r="O28" s="23"/>
      <c r="P28" s="21"/>
      <c r="R28" s="40"/>
      <c r="S28" s="23"/>
      <c r="T28" s="21"/>
    </row>
    <row r="29" spans="1:20" s="22" customFormat="1" ht="25">
      <c r="A29" s="25" t="s">
        <v>31</v>
      </c>
      <c r="B29" s="26" t="s">
        <v>16</v>
      </c>
      <c r="C29" s="27">
        <v>88</v>
      </c>
      <c r="D29" s="28" t="s">
        <v>17</v>
      </c>
      <c r="E29" s="19">
        <v>400</v>
      </c>
      <c r="F29" s="21">
        <f>E29*C29</f>
        <v>35200</v>
      </c>
      <c r="G29" s="73"/>
      <c r="H29" s="21"/>
      <c r="J29" s="40">
        <v>0.19682727272727271</v>
      </c>
      <c r="K29" s="20">
        <v>17.320799999999998</v>
      </c>
      <c r="L29" s="21">
        <v>6928.32</v>
      </c>
      <c r="N29" s="40">
        <f>R29-J29</f>
        <v>0</v>
      </c>
      <c r="O29" s="20">
        <f>S29-K29</f>
        <v>0</v>
      </c>
      <c r="P29" s="21">
        <f>T29-L29</f>
        <v>0</v>
      </c>
      <c r="R29" s="318">
        <f>S29/C29</f>
        <v>0.19682727272727271</v>
      </c>
      <c r="S29" s="20">
        <f>'EIFS -STAND ALONE (75MM)'!S25</f>
        <v>17.320799999999998</v>
      </c>
      <c r="T29" s="21">
        <f>S29*E29</f>
        <v>6928.32</v>
      </c>
    </row>
    <row r="30" spans="1:20" s="22" customFormat="1">
      <c r="A30" s="30"/>
      <c r="B30" s="31"/>
      <c r="C30" s="18"/>
      <c r="D30" s="18"/>
      <c r="E30" s="19"/>
      <c r="F30" s="21"/>
      <c r="G30" s="73"/>
      <c r="H30" s="21"/>
      <c r="J30" s="40"/>
      <c r="K30" s="23"/>
      <c r="L30" s="21"/>
      <c r="N30" s="40"/>
      <c r="O30" s="23"/>
      <c r="P30" s="21"/>
      <c r="R30" s="40"/>
      <c r="S30" s="23"/>
      <c r="T30" s="21"/>
    </row>
    <row r="31" spans="1:20" s="22" customFormat="1" ht="25">
      <c r="A31" s="25" t="s">
        <v>32</v>
      </c>
      <c r="B31" s="26" t="s">
        <v>27</v>
      </c>
      <c r="C31" s="27">
        <v>86</v>
      </c>
      <c r="D31" s="28" t="s">
        <v>17</v>
      </c>
      <c r="E31" s="19">
        <v>450</v>
      </c>
      <c r="F31" s="21">
        <f>E31*C31</f>
        <v>38700</v>
      </c>
      <c r="G31" s="73"/>
      <c r="H31" s="21"/>
      <c r="J31" s="318">
        <v>1</v>
      </c>
      <c r="K31" s="319">
        <v>86</v>
      </c>
      <c r="L31" s="320">
        <v>38700</v>
      </c>
      <c r="N31" s="318">
        <f>R31-J31</f>
        <v>0</v>
      </c>
      <c r="O31" s="319">
        <f>S31-K31</f>
        <v>0</v>
      </c>
      <c r="P31" s="320">
        <f>T31-L31</f>
        <v>0</v>
      </c>
      <c r="R31" s="318">
        <f>S31/C31</f>
        <v>1</v>
      </c>
      <c r="S31" s="319">
        <f>'EIFS -STAND ALONE (300MM) '!S32</f>
        <v>86</v>
      </c>
      <c r="T31" s="320">
        <f>S31*E31</f>
        <v>38700</v>
      </c>
    </row>
    <row r="32" spans="1:20" s="22" customFormat="1">
      <c r="A32" s="30"/>
      <c r="B32" s="31"/>
      <c r="C32" s="18"/>
      <c r="D32" s="18"/>
      <c r="E32" s="19"/>
      <c r="F32" s="21"/>
      <c r="G32" s="73"/>
      <c r="H32" s="21"/>
      <c r="J32" s="40"/>
      <c r="K32" s="23"/>
      <c r="L32" s="21"/>
      <c r="N32" s="40"/>
      <c r="O32" s="23"/>
      <c r="P32" s="21"/>
      <c r="R32" s="40"/>
      <c r="S32" s="23"/>
      <c r="T32" s="21"/>
    </row>
    <row r="33" spans="1:20" s="22" customFormat="1" ht="25">
      <c r="A33" s="25" t="s">
        <v>33</v>
      </c>
      <c r="B33" s="26" t="s">
        <v>29</v>
      </c>
      <c r="C33" s="27">
        <v>24</v>
      </c>
      <c r="D33" s="28" t="s">
        <v>17</v>
      </c>
      <c r="E33" s="19">
        <v>525</v>
      </c>
      <c r="F33" s="21">
        <f>E33*C33</f>
        <v>12600</v>
      </c>
      <c r="G33" s="73"/>
      <c r="H33" s="21"/>
      <c r="J33" s="318">
        <v>1</v>
      </c>
      <c r="K33" s="319">
        <v>24</v>
      </c>
      <c r="L33" s="320">
        <v>12600</v>
      </c>
      <c r="N33" s="318">
        <f>R33-J33</f>
        <v>0</v>
      </c>
      <c r="O33" s="319">
        <f>S33-K33</f>
        <v>0</v>
      </c>
      <c r="P33" s="320">
        <f>T33-L33</f>
        <v>0</v>
      </c>
      <c r="R33" s="318">
        <f>S33/C33</f>
        <v>1</v>
      </c>
      <c r="S33" s="319">
        <f>'EIFS -STAND ALONE (400MM)'!S32</f>
        <v>24</v>
      </c>
      <c r="T33" s="320">
        <f>S33*E33</f>
        <v>12600</v>
      </c>
    </row>
    <row r="34" spans="1:20" s="22" customFormat="1">
      <c r="A34" s="30"/>
      <c r="B34" s="31"/>
      <c r="C34" s="18"/>
      <c r="D34" s="18"/>
      <c r="E34" s="19"/>
      <c r="F34" s="21"/>
      <c r="G34" s="73"/>
      <c r="H34" s="21"/>
      <c r="J34" s="40"/>
      <c r="K34" s="23"/>
      <c r="L34" s="21"/>
      <c r="N34" s="40"/>
      <c r="O34" s="23"/>
      <c r="P34" s="21"/>
      <c r="R34" s="40"/>
      <c r="S34" s="23"/>
      <c r="T34" s="21"/>
    </row>
    <row r="35" spans="1:20" s="22" customFormat="1">
      <c r="A35" s="30"/>
      <c r="B35" s="16"/>
      <c r="C35" s="18"/>
      <c r="D35" s="18"/>
      <c r="E35" s="19"/>
      <c r="F35" s="21"/>
      <c r="G35" s="73"/>
      <c r="H35" s="21"/>
      <c r="J35" s="40"/>
      <c r="K35" s="23"/>
      <c r="L35" s="21"/>
      <c r="N35" s="40"/>
      <c r="O35" s="23"/>
      <c r="P35" s="21"/>
      <c r="R35" s="40"/>
      <c r="S35" s="23"/>
      <c r="T35" s="21"/>
    </row>
    <row r="36" spans="1:20" s="22" customFormat="1" ht="13">
      <c r="A36" s="30"/>
      <c r="B36" s="32" t="s">
        <v>34</v>
      </c>
      <c r="C36" s="18"/>
      <c r="D36" s="18"/>
      <c r="E36" s="19"/>
      <c r="F36" s="21"/>
      <c r="G36" s="73"/>
      <c r="H36" s="21"/>
      <c r="J36" s="40"/>
      <c r="K36" s="23"/>
      <c r="L36" s="21"/>
      <c r="N36" s="40"/>
      <c r="O36" s="23"/>
      <c r="P36" s="21"/>
      <c r="R36" s="40"/>
      <c r="S36" s="23"/>
      <c r="T36" s="21"/>
    </row>
    <row r="37" spans="1:20" s="22" customFormat="1">
      <c r="A37" s="30"/>
      <c r="B37" s="31"/>
      <c r="C37" s="18"/>
      <c r="D37" s="18"/>
      <c r="E37" s="19"/>
      <c r="F37" s="21"/>
      <c r="G37" s="73"/>
      <c r="H37" s="21"/>
      <c r="J37" s="40"/>
      <c r="K37" s="23"/>
      <c r="L37" s="21"/>
      <c r="N37" s="40"/>
      <c r="O37" s="23"/>
      <c r="P37" s="21"/>
      <c r="R37" s="40"/>
      <c r="S37" s="23"/>
      <c r="T37" s="21"/>
    </row>
    <row r="38" spans="1:20" s="22" customFormat="1" ht="69.75" customHeight="1">
      <c r="A38" s="30"/>
      <c r="B38" s="16" t="s">
        <v>35</v>
      </c>
      <c r="C38" s="18"/>
      <c r="D38" s="18"/>
      <c r="E38" s="19"/>
      <c r="F38" s="21"/>
      <c r="G38" s="73"/>
      <c r="H38" s="21"/>
      <c r="J38" s="40"/>
      <c r="K38" s="23"/>
      <c r="L38" s="21"/>
      <c r="N38" s="40"/>
      <c r="O38" s="23"/>
      <c r="P38" s="21"/>
      <c r="R38" s="40"/>
      <c r="S38" s="23"/>
      <c r="T38" s="21"/>
    </row>
    <row r="39" spans="1:20" s="22" customFormat="1">
      <c r="A39" s="30"/>
      <c r="B39" s="31"/>
      <c r="C39" s="18"/>
      <c r="D39" s="18"/>
      <c r="E39" s="19"/>
      <c r="F39" s="21"/>
      <c r="G39" s="73"/>
      <c r="H39" s="21"/>
      <c r="J39" s="40"/>
      <c r="K39" s="23"/>
      <c r="L39" s="21"/>
      <c r="N39" s="40"/>
      <c r="O39" s="23"/>
      <c r="P39" s="21"/>
      <c r="R39" s="40"/>
      <c r="S39" s="23"/>
      <c r="T39" s="21"/>
    </row>
    <row r="40" spans="1:20" s="22" customFormat="1" ht="13">
      <c r="A40" s="30"/>
      <c r="B40" s="32" t="s">
        <v>14</v>
      </c>
      <c r="C40" s="18"/>
      <c r="D40" s="18"/>
      <c r="E40" s="19"/>
      <c r="F40" s="21"/>
      <c r="G40" s="73"/>
      <c r="H40" s="21"/>
      <c r="J40" s="40"/>
      <c r="K40" s="23"/>
      <c r="L40" s="21"/>
      <c r="N40" s="40"/>
      <c r="O40" s="23"/>
      <c r="P40" s="21"/>
      <c r="R40" s="40"/>
      <c r="S40" s="23"/>
      <c r="T40" s="21"/>
    </row>
    <row r="41" spans="1:20" s="22" customFormat="1">
      <c r="A41" s="30"/>
      <c r="B41" s="31"/>
      <c r="C41" s="18"/>
      <c r="D41" s="18"/>
      <c r="E41" s="19"/>
      <c r="F41" s="21"/>
      <c r="G41" s="73"/>
      <c r="H41" s="21"/>
      <c r="J41" s="40"/>
      <c r="K41" s="23"/>
      <c r="L41" s="21"/>
      <c r="N41" s="40"/>
      <c r="O41" s="23"/>
      <c r="P41" s="21"/>
      <c r="R41" s="40"/>
      <c r="S41" s="23"/>
      <c r="T41" s="21"/>
    </row>
    <row r="42" spans="1:20" s="22" customFormat="1" ht="14.5">
      <c r="A42" s="25" t="s">
        <v>15</v>
      </c>
      <c r="B42" s="26" t="s">
        <v>36</v>
      </c>
      <c r="C42" s="27">
        <v>1298</v>
      </c>
      <c r="D42" s="28" t="s">
        <v>17</v>
      </c>
      <c r="E42" s="19">
        <v>175</v>
      </c>
      <c r="F42" s="21">
        <f>E42*C42</f>
        <v>227150</v>
      </c>
      <c r="G42" s="73">
        <v>5.9093990755007708E-2</v>
      </c>
      <c r="H42" s="21">
        <f>G42*F42</f>
        <v>13423.2</v>
      </c>
      <c r="J42" s="318">
        <v>0.79070024150844265</v>
      </c>
      <c r="K42" s="319">
        <v>1026.3289134779586</v>
      </c>
      <c r="L42" s="320">
        <v>179607.55985864275</v>
      </c>
      <c r="N42" s="318">
        <f>R42-J42</f>
        <v>0</v>
      </c>
      <c r="O42" s="319">
        <f>S42-K42</f>
        <v>0</v>
      </c>
      <c r="P42" s="320">
        <f>T42-L42</f>
        <v>0</v>
      </c>
      <c r="R42" s="318">
        <f>S42/C42</f>
        <v>0.79070024150844265</v>
      </c>
      <c r="S42" s="478">
        <f>77.88-VARIATIONS!K9-VARIATIONS!K24+'EIFS RENDER'!Q21+244.28</f>
        <v>1026.3289134779586</v>
      </c>
      <c r="T42" s="320">
        <f>S42*E42</f>
        <v>179607.55985864275</v>
      </c>
    </row>
    <row r="43" spans="1:20" s="22" customFormat="1">
      <c r="A43" s="30"/>
      <c r="B43" s="31"/>
      <c r="C43" s="18"/>
      <c r="D43" s="18"/>
      <c r="E43" s="19"/>
      <c r="F43" s="21"/>
      <c r="G43" s="73"/>
      <c r="H43" s="21"/>
      <c r="J43" s="40"/>
      <c r="K43" s="23"/>
      <c r="L43" s="21"/>
      <c r="N43" s="40"/>
      <c r="O43" s="23"/>
      <c r="P43" s="21"/>
      <c r="R43" s="40"/>
      <c r="S43" s="23"/>
      <c r="T43" s="21"/>
    </row>
    <row r="44" spans="1:20" s="22" customFormat="1">
      <c r="A44" s="30"/>
      <c r="B44" s="31" t="s">
        <v>38</v>
      </c>
      <c r="C44" s="18"/>
      <c r="D44" s="18"/>
      <c r="E44" s="19"/>
      <c r="F44" s="21">
        <v>-199810</v>
      </c>
      <c r="G44" s="73">
        <f>SUM(H13:H42)/SUM(F13:F42)</f>
        <v>0.33370338064573479</v>
      </c>
      <c r="H44" s="21">
        <f>G44*F44</f>
        <v>-66677.272486824266</v>
      </c>
      <c r="J44" s="40">
        <v>0.3337</v>
      </c>
      <c r="K44" s="20">
        <v>0</v>
      </c>
      <c r="L44" s="21">
        <v>-66677</v>
      </c>
      <c r="N44" s="40">
        <f>R44-J44</f>
        <v>0</v>
      </c>
      <c r="O44" s="20">
        <f>S44-K44</f>
        <v>0</v>
      </c>
      <c r="P44" s="21">
        <f>T44-L44</f>
        <v>0</v>
      </c>
      <c r="R44" s="40">
        <f>J44</f>
        <v>0.3337</v>
      </c>
      <c r="S44" s="20">
        <f>R44*C44</f>
        <v>0</v>
      </c>
      <c r="T44" s="21">
        <f>ROUND(R44*F44,0)</f>
        <v>-66677</v>
      </c>
    </row>
    <row r="45" spans="1:20" s="22" customFormat="1">
      <c r="A45" s="30"/>
      <c r="B45" s="31"/>
      <c r="C45" s="18"/>
      <c r="D45" s="18"/>
      <c r="E45" s="19"/>
      <c r="F45" s="21"/>
      <c r="G45" s="73"/>
      <c r="H45" s="21"/>
      <c r="J45" s="40"/>
      <c r="K45" s="23"/>
      <c r="L45" s="21"/>
      <c r="N45" s="40"/>
      <c r="O45" s="23"/>
      <c r="P45" s="21"/>
      <c r="R45" s="40"/>
      <c r="S45" s="23"/>
      <c r="T45" s="21"/>
    </row>
    <row r="46" spans="1:20" s="22" customFormat="1" ht="13" thickBot="1">
      <c r="A46" s="30"/>
      <c r="B46" s="16"/>
      <c r="C46" s="18"/>
      <c r="D46" s="18"/>
      <c r="E46" s="19"/>
      <c r="F46" s="21"/>
      <c r="G46" s="73"/>
      <c r="H46" s="21"/>
      <c r="J46" s="40"/>
      <c r="K46" s="23"/>
      <c r="L46" s="21"/>
      <c r="N46" s="40"/>
      <c r="O46" s="23"/>
      <c r="P46" s="21"/>
      <c r="R46" s="40"/>
      <c r="S46" s="23"/>
      <c r="T46" s="21"/>
    </row>
    <row r="47" spans="1:20" s="22" customFormat="1" ht="14" thickTop="1" thickBot="1">
      <c r="A47" s="33"/>
      <c r="B47" s="34" t="s">
        <v>37</v>
      </c>
      <c r="C47" s="34"/>
      <c r="D47" s="34"/>
      <c r="E47" s="34"/>
      <c r="F47" s="75">
        <f>SUM(F13:F45)</f>
        <v>1600000</v>
      </c>
      <c r="G47" s="74"/>
      <c r="H47" s="35">
        <f>SUM(H4:H46)</f>
        <v>533925.40903317567</v>
      </c>
      <c r="I47" s="29"/>
      <c r="J47" s="41"/>
      <c r="K47" s="36"/>
      <c r="L47" s="75">
        <f>SUM(L13:L45)</f>
        <v>1227916.1227860106</v>
      </c>
      <c r="M47" s="29"/>
      <c r="N47" s="41"/>
      <c r="O47" s="36"/>
      <c r="P47" s="75">
        <f>SUM(P13:P45)</f>
        <v>41220.507825000008</v>
      </c>
      <c r="Q47" s="29"/>
      <c r="R47" s="41"/>
      <c r="S47" s="36">
        <f>T47/F47</f>
        <v>0.79321039413188166</v>
      </c>
      <c r="T47" s="75">
        <f>SUM(T13:T45)</f>
        <v>1269136.6306110106</v>
      </c>
    </row>
    <row r="48" spans="1:20" ht="13" thickTop="1"/>
    <row r="50" spans="18:18">
      <c r="R50" s="37">
        <f>SUM(T13:T42)/SUM(F13:F42)</f>
        <v>0.74219702669226784</v>
      </c>
    </row>
  </sheetData>
  <mergeCells count="11">
    <mergeCell ref="N2:P2"/>
    <mergeCell ref="R2:T2"/>
    <mergeCell ref="J2:L2"/>
    <mergeCell ref="A1:H1"/>
    <mergeCell ref="A2:A3"/>
    <mergeCell ref="B2:B3"/>
    <mergeCell ref="C2:C3"/>
    <mergeCell ref="D2:D3"/>
    <mergeCell ref="E2:E3"/>
    <mergeCell ref="F2:F3"/>
    <mergeCell ref="G2:H2"/>
  </mergeCells>
  <conditionalFormatting sqref="R4:R46">
    <cfRule type="cellIs" dxfId="1" priority="1" operator="greaterThanOrEqual">
      <formula>1</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7" width="12.08984375" style="136" customWidth="1"/>
    <col min="18" max="18" width="12.08984375" style="145" customWidth="1"/>
    <col min="19" max="20" width="12.08984375" style="136" customWidth="1"/>
    <col min="21" max="21" width="15.6328125" style="136" customWidth="1"/>
    <col min="22" max="16384" width="9.08984375" style="89"/>
  </cols>
  <sheetData>
    <row r="1" spans="2:21"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39" t="s">
        <v>105</v>
      </c>
      <c r="S1" s="189" t="s">
        <v>106</v>
      </c>
      <c r="T1" s="190" t="s">
        <v>80</v>
      </c>
      <c r="U1" s="189" t="s">
        <v>81</v>
      </c>
    </row>
    <row r="2" spans="2:21" ht="15" thickBot="1">
      <c r="B2" s="94" t="s">
        <v>107</v>
      </c>
      <c r="C2" s="95"/>
      <c r="D2" s="95"/>
      <c r="E2" s="95"/>
      <c r="F2" s="95"/>
      <c r="G2" s="96"/>
      <c r="H2" s="97" t="s">
        <v>70</v>
      </c>
      <c r="I2" s="98" t="s">
        <v>83</v>
      </c>
      <c r="J2" s="98" t="s">
        <v>84</v>
      </c>
      <c r="K2" s="99" t="s">
        <v>85</v>
      </c>
      <c r="L2" s="100"/>
      <c r="M2" s="101" t="s">
        <v>70</v>
      </c>
      <c r="N2" s="98" t="s">
        <v>83</v>
      </c>
      <c r="O2" s="98" t="s">
        <v>84</v>
      </c>
      <c r="P2" s="99" t="s">
        <v>85</v>
      </c>
      <c r="Q2" s="191"/>
      <c r="R2" s="140"/>
      <c r="S2" s="192"/>
      <c r="T2" s="192"/>
      <c r="U2" s="191" t="s">
        <v>86</v>
      </c>
    </row>
    <row r="3" spans="2:21">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41">
        <v>1</v>
      </c>
      <c r="S3" s="187">
        <v>192.21600000000001</v>
      </c>
      <c r="T3" s="187">
        <v>192.21599999999998</v>
      </c>
      <c r="U3" s="188">
        <f>Q3-T3</f>
        <v>0</v>
      </c>
    </row>
    <row r="4" spans="2:21">
      <c r="B4" s="115"/>
      <c r="C4" s="124" t="s">
        <v>111</v>
      </c>
      <c r="D4" s="123" t="s">
        <v>112</v>
      </c>
      <c r="E4" s="111"/>
      <c r="F4" s="113"/>
      <c r="G4" s="114"/>
      <c r="H4" s="115"/>
      <c r="I4" s="116"/>
      <c r="J4" s="117"/>
      <c r="K4" s="118"/>
      <c r="L4" s="119"/>
      <c r="M4" s="120"/>
      <c r="N4" s="121"/>
      <c r="O4" s="121"/>
      <c r="P4" s="122"/>
      <c r="Q4" s="186"/>
      <c r="R4" s="141"/>
      <c r="S4" s="187"/>
      <c r="T4" s="187"/>
      <c r="U4" s="188"/>
    </row>
    <row r="5" spans="2:21">
      <c r="B5" s="115"/>
      <c r="C5" s="111"/>
      <c r="D5" s="123"/>
      <c r="E5" s="111"/>
      <c r="F5" s="113"/>
      <c r="G5" s="114"/>
      <c r="H5" s="115"/>
      <c r="I5" s="116"/>
      <c r="J5" s="117"/>
      <c r="K5" s="118"/>
      <c r="L5" s="119"/>
      <c r="M5" s="120"/>
      <c r="N5" s="121"/>
      <c r="O5" s="121"/>
      <c r="P5" s="122"/>
      <c r="Q5" s="186"/>
      <c r="R5" s="141"/>
      <c r="S5" s="187"/>
      <c r="T5" s="187"/>
      <c r="U5" s="188"/>
    </row>
    <row r="6" spans="2:21">
      <c r="B6" s="115"/>
      <c r="C6" s="111"/>
      <c r="D6" s="111"/>
      <c r="E6" s="111"/>
      <c r="F6" s="113"/>
      <c r="G6" s="114"/>
      <c r="H6" s="115"/>
      <c r="I6" s="116"/>
      <c r="J6" s="116"/>
      <c r="K6" s="118"/>
      <c r="L6" s="119"/>
      <c r="M6" s="120"/>
      <c r="N6" s="121"/>
      <c r="O6" s="121"/>
      <c r="P6" s="122"/>
      <c r="Q6" s="186"/>
      <c r="R6" s="141"/>
      <c r="S6" s="187"/>
      <c r="T6" s="187"/>
      <c r="U6" s="188"/>
    </row>
    <row r="7" spans="2:21">
      <c r="B7" s="115"/>
      <c r="C7" s="111"/>
      <c r="D7" s="111"/>
      <c r="E7" s="112"/>
      <c r="F7" s="113"/>
      <c r="G7" s="114"/>
      <c r="H7" s="115"/>
      <c r="I7" s="116"/>
      <c r="J7" s="117"/>
      <c r="K7" s="118"/>
      <c r="L7" s="119"/>
      <c r="M7" s="120"/>
      <c r="N7" s="121"/>
      <c r="O7" s="121"/>
      <c r="P7" s="122"/>
      <c r="Q7" s="186"/>
      <c r="R7" s="141"/>
      <c r="S7" s="187"/>
      <c r="T7" s="187"/>
      <c r="U7" s="188"/>
    </row>
    <row r="8" spans="2:21" ht="15" customHeight="1" thickBot="1">
      <c r="B8" s="125"/>
      <c r="C8" s="126"/>
      <c r="D8" s="126"/>
      <c r="E8" s="126"/>
      <c r="F8" s="127"/>
      <c r="G8" s="128"/>
      <c r="H8" s="129"/>
      <c r="I8" s="130"/>
      <c r="J8" s="130"/>
      <c r="K8" s="131"/>
      <c r="L8" s="132"/>
      <c r="M8" s="133"/>
      <c r="N8" s="134"/>
      <c r="O8" s="134"/>
      <c r="P8" s="135"/>
      <c r="Q8" s="206"/>
      <c r="R8" s="142"/>
      <c r="S8" s="198"/>
      <c r="T8" s="198"/>
      <c r="U8" s="199"/>
    </row>
    <row r="9" spans="2:21">
      <c r="K9" s="136"/>
      <c r="N9" s="136"/>
      <c r="O9" s="136"/>
      <c r="P9" s="136" t="s">
        <v>37</v>
      </c>
      <c r="Q9" s="137">
        <f>SUM(Q3:Q8)</f>
        <v>192.21599999999998</v>
      </c>
      <c r="R9" s="143"/>
      <c r="S9" s="137">
        <f>SUM(S3:S8)</f>
        <v>192.21600000000001</v>
      </c>
      <c r="T9" s="137">
        <f>SUM(T3:T8)</f>
        <v>192.21599999999998</v>
      </c>
      <c r="U9" s="144">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08984375" defaultRowHeight="14.5"/>
  <cols>
    <col min="1" max="1" width="2.08984375" style="89" customWidth="1"/>
    <col min="2" max="2" width="4.54296875" style="89" customWidth="1"/>
    <col min="3" max="3" width="38.90625" style="89" customWidth="1"/>
    <col min="4" max="4" width="34.453125" style="89" bestFit="1" customWidth="1"/>
    <col min="5" max="5" width="12.36328125" style="89" customWidth="1"/>
    <col min="6" max="6" width="16.54296875" style="89" customWidth="1"/>
    <col min="7" max="7" width="10" style="89" customWidth="1"/>
    <col min="8" max="8" width="4" style="89" bestFit="1" customWidth="1"/>
    <col min="9" max="9" width="8" style="89" bestFit="1" customWidth="1"/>
    <col min="10" max="10" width="7.54296875" style="89" bestFit="1" customWidth="1"/>
    <col min="11" max="11" width="7.6328125" style="89" bestFit="1" customWidth="1"/>
    <col min="12" max="12" width="23.90625" style="89" customWidth="1"/>
    <col min="13" max="13" width="5.6328125" style="90" bestFit="1" customWidth="1"/>
    <col min="14" max="14" width="8" style="89" bestFit="1" customWidth="1"/>
    <col min="15" max="15" width="7.54296875" style="89" bestFit="1" customWidth="1"/>
    <col min="16" max="16" width="7.36328125" style="89" customWidth="1"/>
    <col min="17" max="18" width="12.08984375" style="136" customWidth="1"/>
    <col min="19" max="19" width="15.6328125" style="136" customWidth="1"/>
    <col min="20" max="16384" width="9.08984375" style="89"/>
  </cols>
  <sheetData>
    <row r="1" spans="2:19" ht="72" customHeight="1" thickBot="1">
      <c r="B1" s="91" t="s">
        <v>70</v>
      </c>
      <c r="C1" s="92" t="s">
        <v>71</v>
      </c>
      <c r="D1" s="92" t="s">
        <v>72</v>
      </c>
      <c r="E1" s="91" t="s">
        <v>73</v>
      </c>
      <c r="F1" s="91" t="s">
        <v>74</v>
      </c>
      <c r="G1" s="91" t="s">
        <v>75</v>
      </c>
      <c r="H1" s="557" t="s">
        <v>76</v>
      </c>
      <c r="I1" s="558"/>
      <c r="J1" s="558"/>
      <c r="K1" s="559"/>
      <c r="L1" s="93" t="s">
        <v>77</v>
      </c>
      <c r="M1" s="557" t="s">
        <v>78</v>
      </c>
      <c r="N1" s="558"/>
      <c r="O1" s="558"/>
      <c r="P1" s="559"/>
      <c r="Q1" s="201" t="s">
        <v>79</v>
      </c>
      <c r="R1" s="190" t="s">
        <v>80</v>
      </c>
      <c r="S1" s="189" t="s">
        <v>81</v>
      </c>
    </row>
    <row r="2" spans="2:19" ht="15" thickBot="1">
      <c r="B2" s="94" t="s">
        <v>113</v>
      </c>
      <c r="C2" s="95"/>
      <c r="D2" s="95"/>
      <c r="E2" s="95"/>
      <c r="F2" s="95"/>
      <c r="G2" s="96"/>
      <c r="H2" s="97" t="s">
        <v>70</v>
      </c>
      <c r="I2" s="98" t="s">
        <v>83</v>
      </c>
      <c r="J2" s="98" t="s">
        <v>84</v>
      </c>
      <c r="K2" s="99" t="s">
        <v>85</v>
      </c>
      <c r="L2" s="100"/>
      <c r="M2" s="101" t="s">
        <v>70</v>
      </c>
      <c r="N2" s="98" t="s">
        <v>83</v>
      </c>
      <c r="O2" s="98" t="s">
        <v>84</v>
      </c>
      <c r="P2" s="99" t="s">
        <v>85</v>
      </c>
      <c r="Q2" s="191"/>
      <c r="R2" s="192"/>
      <c r="S2" s="191" t="s">
        <v>86</v>
      </c>
    </row>
    <row r="3" spans="2:19">
      <c r="B3" s="110">
        <v>4</v>
      </c>
      <c r="C3" s="111" t="s">
        <v>108</v>
      </c>
      <c r="D3" s="111" t="s">
        <v>93</v>
      </c>
      <c r="E3" s="111" t="s">
        <v>109</v>
      </c>
      <c r="F3" s="113" t="s">
        <v>94</v>
      </c>
      <c r="G3" s="114"/>
      <c r="H3" s="115">
        <v>1</v>
      </c>
      <c r="I3" s="116">
        <v>27.3</v>
      </c>
      <c r="J3" s="116">
        <v>7.6</v>
      </c>
      <c r="K3" s="118">
        <f t="shared" ref="K3" si="0">H3*I3*J3</f>
        <v>207.48</v>
      </c>
      <c r="L3" s="119" t="s">
        <v>110</v>
      </c>
      <c r="M3" s="120">
        <v>2</v>
      </c>
      <c r="N3" s="121">
        <v>3.18</v>
      </c>
      <c r="O3" s="121">
        <v>2.4</v>
      </c>
      <c r="P3" s="122">
        <f t="shared" ref="P3" si="1">M3*N3*O3</f>
        <v>15.263999999999999</v>
      </c>
      <c r="Q3" s="186">
        <f>K3-P3</f>
        <v>192.21599999999998</v>
      </c>
      <c r="R3" s="187">
        <v>192.21599999999998</v>
      </c>
      <c r="S3" s="188">
        <f>Q3-R3</f>
        <v>0</v>
      </c>
    </row>
    <row r="4" spans="2:19">
      <c r="B4" s="115"/>
      <c r="C4" s="124" t="s">
        <v>111</v>
      </c>
      <c r="D4" s="123"/>
      <c r="E4" s="111"/>
      <c r="F4" s="113"/>
      <c r="G4" s="114"/>
      <c r="H4" s="115"/>
      <c r="I4" s="116"/>
      <c r="J4" s="117"/>
      <c r="K4" s="118"/>
      <c r="L4" s="119"/>
      <c r="M4" s="120"/>
      <c r="N4" s="121"/>
      <c r="O4" s="121"/>
      <c r="P4" s="122"/>
      <c r="Q4" s="186"/>
      <c r="R4" s="187"/>
      <c r="S4" s="188"/>
    </row>
    <row r="5" spans="2:19">
      <c r="B5" s="115"/>
      <c r="C5" s="111" t="s">
        <v>114</v>
      </c>
      <c r="D5" s="123"/>
      <c r="E5" s="111"/>
      <c r="F5" s="113"/>
      <c r="G5" s="114"/>
      <c r="H5" s="115"/>
      <c r="I5" s="116"/>
      <c r="J5" s="117"/>
      <c r="K5" s="118"/>
      <c r="L5" s="119"/>
      <c r="M5" s="120"/>
      <c r="N5" s="121"/>
      <c r="O5" s="121"/>
      <c r="P5" s="122"/>
      <c r="Q5" s="186"/>
      <c r="R5" s="187"/>
      <c r="S5" s="188"/>
    </row>
    <row r="6" spans="2:19">
      <c r="B6" s="115"/>
      <c r="C6" s="111"/>
      <c r="D6" s="123"/>
      <c r="E6" s="111"/>
      <c r="F6" s="113"/>
      <c r="G6" s="114"/>
      <c r="H6" s="115"/>
      <c r="I6" s="116"/>
      <c r="J6" s="117"/>
      <c r="K6" s="118"/>
      <c r="L6" s="119"/>
      <c r="M6" s="120"/>
      <c r="N6" s="121"/>
      <c r="O6" s="121"/>
      <c r="P6" s="122"/>
      <c r="Q6" s="186"/>
      <c r="R6" s="187"/>
      <c r="S6" s="188"/>
    </row>
    <row r="7" spans="2:19">
      <c r="B7" s="115"/>
      <c r="C7" s="111"/>
      <c r="D7" s="123"/>
      <c r="E7" s="111"/>
      <c r="F7" s="113"/>
      <c r="G7" s="114"/>
      <c r="H7" s="115"/>
      <c r="I7" s="116"/>
      <c r="J7" s="117"/>
      <c r="K7" s="118"/>
      <c r="L7" s="119"/>
      <c r="M7" s="120"/>
      <c r="N7" s="121"/>
      <c r="O7" s="121"/>
      <c r="P7" s="122"/>
      <c r="Q7" s="186"/>
      <c r="R7" s="187"/>
      <c r="S7" s="188"/>
    </row>
    <row r="8" spans="2:19">
      <c r="B8" s="115"/>
      <c r="C8" s="111"/>
      <c r="D8" s="111"/>
      <c r="E8" s="111"/>
      <c r="F8" s="113"/>
      <c r="G8" s="114"/>
      <c r="H8" s="115"/>
      <c r="I8" s="116"/>
      <c r="J8" s="116"/>
      <c r="K8" s="118"/>
      <c r="L8" s="119"/>
      <c r="M8" s="120"/>
      <c r="N8" s="121"/>
      <c r="O8" s="121"/>
      <c r="P8" s="122"/>
      <c r="Q8" s="186"/>
      <c r="R8" s="187"/>
      <c r="S8" s="188"/>
    </row>
    <row r="9" spans="2:19">
      <c r="B9" s="115"/>
      <c r="C9" s="111"/>
      <c r="D9" s="111"/>
      <c r="E9" s="112"/>
      <c r="F9" s="113"/>
      <c r="G9" s="114"/>
      <c r="H9" s="115"/>
      <c r="I9" s="116"/>
      <c r="J9" s="117"/>
      <c r="K9" s="118"/>
      <c r="L9" s="119"/>
      <c r="M9" s="120"/>
      <c r="N9" s="121"/>
      <c r="O9" s="121"/>
      <c r="P9" s="122"/>
      <c r="Q9" s="186"/>
      <c r="R9" s="187"/>
      <c r="S9" s="188"/>
    </row>
    <row r="10" spans="2:19" ht="15" customHeight="1" thickBot="1">
      <c r="B10" s="125"/>
      <c r="C10" s="126"/>
      <c r="D10" s="126"/>
      <c r="E10" s="126"/>
      <c r="F10" s="127"/>
      <c r="G10" s="128"/>
      <c r="H10" s="129"/>
      <c r="I10" s="130"/>
      <c r="J10" s="130"/>
      <c r="K10" s="131"/>
      <c r="L10" s="132"/>
      <c r="M10" s="133"/>
      <c r="N10" s="134"/>
      <c r="O10" s="134"/>
      <c r="P10" s="135"/>
      <c r="Q10" s="206"/>
      <c r="R10" s="198"/>
      <c r="S10" s="199"/>
    </row>
    <row r="11" spans="2:19">
      <c r="K11" s="136"/>
      <c r="N11" s="136"/>
      <c r="O11" s="136"/>
      <c r="P11" s="136" t="s">
        <v>37</v>
      </c>
      <c r="Q11" s="137">
        <f>SUM(Q3:Q10)</f>
        <v>192.21599999999998</v>
      </c>
      <c r="R11" s="137">
        <f>SUM(R3:R10)</f>
        <v>192.21599999999998</v>
      </c>
      <c r="S11" s="138">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435F-3180-481E-A540-2064D1F19FCD}">
  <sheetPr>
    <tabColor rgb="FFFFFF00"/>
    <pageSetUpPr fitToPage="1"/>
  </sheetPr>
  <dimension ref="B1:V33"/>
  <sheetViews>
    <sheetView view="pageBreakPreview" topLeftCell="A10" zoomScale="80" zoomScaleNormal="70" zoomScaleSheetLayoutView="80" workbookViewId="0">
      <selection activeCell="C31" sqref="C31"/>
    </sheetView>
  </sheetViews>
  <sheetFormatPr defaultColWidth="9.1796875" defaultRowHeight="14.5"/>
  <cols>
    <col min="1" max="1" width="2.1796875" style="89" customWidth="1"/>
    <col min="2" max="2" width="3.54296875" style="89" customWidth="1"/>
    <col min="3" max="3" width="21" style="89" customWidth="1"/>
    <col min="4" max="4" width="23.7265625" style="89" customWidth="1"/>
    <col min="5" max="5" width="10.453125" style="89" customWidth="1"/>
    <col min="6" max="6" width="12.81640625" style="89" customWidth="1"/>
    <col min="7" max="7" width="10" style="89" customWidth="1"/>
    <col min="8" max="8" width="3" style="89" customWidth="1"/>
    <col min="9" max="10" width="7.1796875" style="89" customWidth="1"/>
    <col min="11" max="11" width="8.1796875" style="89" customWidth="1"/>
    <col min="12" max="12" width="12" style="89" customWidth="1"/>
    <col min="13" max="13" width="3" style="90" customWidth="1"/>
    <col min="14" max="15" width="7.1796875" style="89" customWidth="1"/>
    <col min="16" max="16" width="8.1796875" style="89" customWidth="1"/>
    <col min="17" max="17" width="12" style="136" customWidth="1"/>
    <col min="18" max="18" width="11.54296875" style="89" customWidth="1"/>
    <col min="19" max="19" width="11" style="136" customWidth="1"/>
    <col min="20" max="20" width="11.54296875" style="136" customWidth="1"/>
    <col min="21" max="21" width="13.26953125" style="136" customWidth="1"/>
    <col min="22" max="22" width="15.81640625" style="89" customWidth="1"/>
    <col min="23" max="16384" width="9.17968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tr">
        <f>'Progress Bill'!B13</f>
        <v>EIFS System with TERRACO finishes (TERRACO acid wash finishes) with Built-up 75mm</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243" t="s">
        <v>176</v>
      </c>
    </row>
    <row r="12" spans="2:22" ht="15" thickBot="1">
      <c r="B12" s="94" t="s">
        <v>265</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78">
        <v>1</v>
      </c>
      <c r="C14" s="307" t="s">
        <v>251</v>
      </c>
      <c r="D14" s="111" t="s">
        <v>243</v>
      </c>
      <c r="E14" s="146" t="s">
        <v>252</v>
      </c>
      <c r="F14" s="147" t="s">
        <v>253</v>
      </c>
      <c r="G14" s="148" t="s">
        <v>254</v>
      </c>
      <c r="H14" s="149">
        <v>1</v>
      </c>
      <c r="I14" s="151">
        <v>12.25</v>
      </c>
      <c r="J14" s="151">
        <v>4.75</v>
      </c>
      <c r="K14" s="118">
        <f>H14*I14*J14</f>
        <v>58.1875</v>
      </c>
      <c r="L14" s="119"/>
      <c r="M14" s="120">
        <v>0</v>
      </c>
      <c r="N14" s="121">
        <v>0</v>
      </c>
      <c r="O14" s="121">
        <v>0</v>
      </c>
      <c r="P14" s="122">
        <v>0</v>
      </c>
      <c r="Q14" s="210">
        <f>(K14+K15)-P14</f>
        <v>58.1875</v>
      </c>
      <c r="R14" s="230">
        <v>1</v>
      </c>
      <c r="S14" s="327">
        <f>Q14*R14</f>
        <v>58.1875</v>
      </c>
      <c r="T14" s="332">
        <v>58.1875</v>
      </c>
      <c r="U14" s="315">
        <f>S14-T14</f>
        <v>0</v>
      </c>
      <c r="V14" s="245"/>
    </row>
    <row r="15" spans="2:22">
      <c r="B15" s="115"/>
      <c r="C15" s="152" t="s">
        <v>547</v>
      </c>
      <c r="D15" s="111"/>
      <c r="E15" s="146"/>
      <c r="F15" s="147"/>
      <c r="G15" s="148"/>
      <c r="H15" s="149"/>
      <c r="I15" s="151"/>
      <c r="J15" s="116"/>
      <c r="K15" s="118"/>
      <c r="L15" s="119"/>
      <c r="M15" s="120"/>
      <c r="N15" s="121"/>
      <c r="O15" s="121"/>
      <c r="P15" s="122"/>
      <c r="Q15" s="210"/>
      <c r="R15" s="230"/>
      <c r="S15" s="327"/>
      <c r="T15" s="332"/>
      <c r="U15" s="315"/>
      <c r="V15" s="245"/>
    </row>
    <row r="16" spans="2:22">
      <c r="B16" s="115"/>
      <c r="C16" s="152"/>
      <c r="D16" s="123"/>
      <c r="E16" s="112"/>
      <c r="F16" s="113"/>
      <c r="G16" s="114"/>
      <c r="H16" s="115"/>
      <c r="I16" s="116"/>
      <c r="J16" s="116"/>
      <c r="K16" s="118"/>
      <c r="L16" s="119"/>
      <c r="M16" s="120"/>
      <c r="N16" s="121"/>
      <c r="O16" s="121"/>
      <c r="P16" s="122"/>
      <c r="Q16" s="210"/>
      <c r="R16" s="230"/>
      <c r="S16" s="327"/>
      <c r="T16" s="332"/>
      <c r="U16" s="315"/>
      <c r="V16" s="245"/>
    </row>
    <row r="17" spans="2:22">
      <c r="B17" s="264">
        <v>2</v>
      </c>
      <c r="C17" s="152" t="s">
        <v>312</v>
      </c>
      <c r="D17" s="111" t="s">
        <v>313</v>
      </c>
      <c r="E17" s="146" t="s">
        <v>314</v>
      </c>
      <c r="F17" s="147" t="s">
        <v>253</v>
      </c>
      <c r="G17" s="148"/>
      <c r="H17" s="264">
        <v>1</v>
      </c>
      <c r="I17" s="274">
        <f>13.923-1.5</f>
        <v>12.423</v>
      </c>
      <c r="J17" s="269">
        <v>3.2610000000000001</v>
      </c>
      <c r="K17" s="181">
        <f>H17*I17*J17</f>
        <v>40.511403000000001</v>
      </c>
      <c r="L17" s="85" t="s">
        <v>329</v>
      </c>
      <c r="M17" s="182">
        <v>3</v>
      </c>
      <c r="N17" s="183">
        <v>1</v>
      </c>
      <c r="O17" s="183">
        <v>2.1</v>
      </c>
      <c r="P17" s="184">
        <f>PRODUCT(M17:O17)</f>
        <v>6.3000000000000007</v>
      </c>
      <c r="Q17" s="210">
        <f>SUM(K17:K22)-P17</f>
        <v>209.047653</v>
      </c>
      <c r="R17" s="230">
        <v>0.7</v>
      </c>
      <c r="S17" s="327">
        <f>Q17*R17</f>
        <v>146.3333571</v>
      </c>
      <c r="T17" s="332">
        <v>26.887982099999999</v>
      </c>
      <c r="U17" s="315">
        <f>S17-T17</f>
        <v>119.445375</v>
      </c>
      <c r="V17" s="245"/>
    </row>
    <row r="18" spans="2:22">
      <c r="B18" s="149"/>
      <c r="C18" s="150" t="s">
        <v>579</v>
      </c>
      <c r="D18" s="111"/>
      <c r="E18" s="146"/>
      <c r="F18" s="147"/>
      <c r="G18" s="148"/>
      <c r="H18" s="149">
        <v>1</v>
      </c>
      <c r="I18" s="151">
        <v>4.8979999999999997</v>
      </c>
      <c r="J18" s="117">
        <v>2.8250000000000002</v>
      </c>
      <c r="K18" s="538">
        <f>H18*I18*J18</f>
        <v>13.83685</v>
      </c>
      <c r="L18" s="85" t="s">
        <v>329</v>
      </c>
      <c r="M18" s="182"/>
      <c r="N18" s="183"/>
      <c r="O18" s="183"/>
      <c r="P18" s="184"/>
      <c r="Q18" s="487"/>
      <c r="R18" s="365"/>
      <c r="S18" s="231"/>
      <c r="T18" s="362"/>
      <c r="U18" s="536"/>
      <c r="V18" s="245"/>
    </row>
    <row r="19" spans="2:22">
      <c r="B19" s="149"/>
      <c r="C19" s="153"/>
      <c r="D19" s="111"/>
      <c r="E19" s="146"/>
      <c r="F19" s="147"/>
      <c r="G19" s="148"/>
      <c r="H19" s="149">
        <v>1</v>
      </c>
      <c r="I19" s="151">
        <v>11.11</v>
      </c>
      <c r="J19" s="117">
        <v>6.4850000000000003</v>
      </c>
      <c r="K19" s="538">
        <f>H19*I19*J19</f>
        <v>72.048349999999999</v>
      </c>
      <c r="L19" s="85"/>
      <c r="M19" s="182"/>
      <c r="N19" s="183"/>
      <c r="O19" s="183"/>
      <c r="P19" s="184"/>
      <c r="Q19" s="487"/>
      <c r="R19" s="365"/>
      <c r="S19" s="231"/>
      <c r="T19" s="362"/>
      <c r="U19" s="536"/>
      <c r="V19" s="245"/>
    </row>
    <row r="20" spans="2:22">
      <c r="B20" s="149"/>
      <c r="C20" s="153"/>
      <c r="D20" s="111"/>
      <c r="E20" s="146"/>
      <c r="F20" s="147"/>
      <c r="G20" s="148"/>
      <c r="H20" s="149">
        <v>1</v>
      </c>
      <c r="I20" s="151">
        <v>8.4</v>
      </c>
      <c r="J20" s="117">
        <v>3.952</v>
      </c>
      <c r="K20" s="538">
        <f t="shared" ref="K20:K22" si="0">H20*I20*J20</f>
        <v>33.196800000000003</v>
      </c>
      <c r="L20" s="85"/>
      <c r="M20" s="182"/>
      <c r="N20" s="183"/>
      <c r="O20" s="183"/>
      <c r="P20" s="184"/>
      <c r="Q20" s="487"/>
      <c r="R20" s="365"/>
      <c r="S20" s="231"/>
      <c r="T20" s="362"/>
      <c r="U20" s="536"/>
      <c r="V20" s="245"/>
    </row>
    <row r="21" spans="2:22">
      <c r="B21" s="149"/>
      <c r="C21" s="153"/>
      <c r="D21" s="111"/>
      <c r="E21" s="146"/>
      <c r="F21" s="147"/>
      <c r="G21" s="148"/>
      <c r="H21" s="149">
        <v>1</v>
      </c>
      <c r="I21" s="151">
        <v>6.55</v>
      </c>
      <c r="J21" s="117">
        <v>6.4850000000000003</v>
      </c>
      <c r="K21" s="538">
        <f t="shared" si="0"/>
        <v>42.476750000000003</v>
      </c>
      <c r="L21" s="85"/>
      <c r="M21" s="182"/>
      <c r="N21" s="183"/>
      <c r="O21" s="183"/>
      <c r="P21" s="184"/>
      <c r="Q21" s="487"/>
      <c r="R21" s="365"/>
      <c r="S21" s="231"/>
      <c r="T21" s="362"/>
      <c r="U21" s="536"/>
      <c r="V21" s="245"/>
    </row>
    <row r="22" spans="2:22">
      <c r="B22" s="149"/>
      <c r="C22" s="153"/>
      <c r="D22" s="111"/>
      <c r="E22" s="146"/>
      <c r="F22" s="147"/>
      <c r="G22" s="148"/>
      <c r="H22" s="149">
        <v>1</v>
      </c>
      <c r="I22" s="151">
        <v>4.7</v>
      </c>
      <c r="J22" s="117">
        <v>2.8250000000000002</v>
      </c>
      <c r="K22" s="538">
        <f t="shared" si="0"/>
        <v>13.277500000000002</v>
      </c>
      <c r="L22" s="119"/>
      <c r="M22" s="120"/>
      <c r="N22" s="121"/>
      <c r="O22" s="121"/>
      <c r="P22" s="184"/>
      <c r="Q22" s="487"/>
      <c r="R22" s="365"/>
      <c r="S22" s="231"/>
      <c r="T22" s="362"/>
      <c r="U22" s="536"/>
      <c r="V22" s="245"/>
    </row>
    <row r="23" spans="2:22">
      <c r="B23" s="149"/>
      <c r="C23" s="153"/>
      <c r="D23" s="111"/>
      <c r="E23" s="156"/>
      <c r="F23" s="113"/>
      <c r="G23" s="148"/>
      <c r="H23" s="149"/>
      <c r="I23" s="151"/>
      <c r="J23" s="116"/>
      <c r="K23" s="157"/>
      <c r="L23" s="155"/>
      <c r="M23" s="158"/>
      <c r="N23" s="159"/>
      <c r="O23" s="159"/>
      <c r="P23" s="160"/>
      <c r="Q23" s="210"/>
      <c r="R23" s="233"/>
      <c r="S23" s="327"/>
      <c r="T23" s="332"/>
      <c r="U23" s="315"/>
      <c r="V23" s="245"/>
    </row>
    <row r="24" spans="2:22">
      <c r="B24" s="149">
        <v>3</v>
      </c>
      <c r="C24" s="150" t="s">
        <v>475</v>
      </c>
      <c r="D24" s="111" t="s">
        <v>476</v>
      </c>
      <c r="E24" s="156" t="s">
        <v>477</v>
      </c>
      <c r="F24" s="147" t="s">
        <v>478</v>
      </c>
      <c r="G24" s="148"/>
      <c r="H24" s="149">
        <v>1</v>
      </c>
      <c r="I24" s="151">
        <v>6.5069999999999997</v>
      </c>
      <c r="J24" s="161">
        <v>2.9</v>
      </c>
      <c r="K24" s="118">
        <f t="shared" ref="K24" si="1">H24*I24*J24</f>
        <v>18.870299999999997</v>
      </c>
      <c r="L24" s="85"/>
      <c r="M24" s="163">
        <v>1</v>
      </c>
      <c r="N24" s="164">
        <v>1</v>
      </c>
      <c r="O24" s="164">
        <v>2.1</v>
      </c>
      <c r="P24" s="184">
        <f t="shared" ref="P24" si="2">PRODUCT(M24:O24)</f>
        <v>2.1</v>
      </c>
      <c r="Q24" s="210">
        <f>(K24+K25)-P24</f>
        <v>16.770299999999995</v>
      </c>
      <c r="R24" s="537">
        <v>0.9</v>
      </c>
      <c r="S24" s="327">
        <f t="shared" ref="S24" si="3">Q24*R24</f>
        <v>15.093269999999997</v>
      </c>
      <c r="T24" s="332">
        <v>15.093269999999997</v>
      </c>
      <c r="U24" s="315">
        <f t="shared" ref="U24" si="4">S24-T24</f>
        <v>0</v>
      </c>
      <c r="V24" s="245"/>
    </row>
    <row r="25" spans="2:22">
      <c r="B25" s="149"/>
      <c r="C25" s="150" t="s">
        <v>606</v>
      </c>
      <c r="D25" s="146"/>
      <c r="E25" s="156"/>
      <c r="F25" s="147"/>
      <c r="G25" s="148"/>
      <c r="H25" s="149"/>
      <c r="I25" s="151"/>
      <c r="J25" s="151"/>
      <c r="K25" s="151"/>
      <c r="L25" s="85"/>
      <c r="M25" s="151"/>
      <c r="N25" s="151"/>
      <c r="O25" s="151"/>
      <c r="P25" s="184"/>
      <c r="Q25" s="210"/>
      <c r="R25" s="230"/>
      <c r="S25" s="327"/>
      <c r="T25" s="332"/>
      <c r="U25" s="315"/>
      <c r="V25" s="245"/>
    </row>
    <row r="26" spans="2:22">
      <c r="B26" s="149"/>
      <c r="C26" s="150"/>
      <c r="D26" s="146"/>
      <c r="E26" s="156"/>
      <c r="F26" s="147"/>
      <c r="G26" s="148"/>
      <c r="H26" s="149"/>
      <c r="I26" s="151"/>
      <c r="J26" s="151"/>
      <c r="K26" s="151"/>
      <c r="L26" s="85"/>
      <c r="M26" s="151"/>
      <c r="N26" s="151"/>
      <c r="O26" s="151"/>
      <c r="P26" s="184"/>
      <c r="Q26" s="210"/>
      <c r="R26" s="230"/>
      <c r="S26" s="327"/>
      <c r="T26" s="332"/>
      <c r="U26" s="315"/>
      <c r="V26" s="245"/>
    </row>
    <row r="27" spans="2:22">
      <c r="B27" s="149">
        <v>4</v>
      </c>
      <c r="C27" s="150" t="s">
        <v>541</v>
      </c>
      <c r="D27" s="111" t="s">
        <v>476</v>
      </c>
      <c r="E27" s="156"/>
      <c r="F27" s="147" t="s">
        <v>478</v>
      </c>
      <c r="G27" s="148"/>
      <c r="H27" s="149">
        <v>1</v>
      </c>
      <c r="I27" s="151">
        <v>21.779</v>
      </c>
      <c r="J27" s="116">
        <v>4.3899999999999997</v>
      </c>
      <c r="K27" s="118">
        <f t="shared" ref="K27" si="5">H27*I27*J27</f>
        <v>95.609809999999996</v>
      </c>
      <c r="L27" s="155"/>
      <c r="M27" s="158">
        <v>0</v>
      </c>
      <c r="N27" s="111">
        <v>0</v>
      </c>
      <c r="O27" s="111">
        <v>0</v>
      </c>
      <c r="P27" s="184">
        <f t="shared" ref="P27:P30" si="6">PRODUCT(M27:O27)</f>
        <v>0</v>
      </c>
      <c r="Q27" s="517">
        <f t="shared" ref="Q27" si="7">(K27+K35)-P27</f>
        <v>95.609809999999996</v>
      </c>
      <c r="R27" s="230">
        <v>0.7</v>
      </c>
      <c r="S27" s="327">
        <f t="shared" ref="S27:S30" si="8">Q27*R27</f>
        <v>66.926866999999987</v>
      </c>
      <c r="T27" s="332">
        <v>66.926866999999987</v>
      </c>
      <c r="U27" s="315">
        <f t="shared" ref="U27:U30" si="9">S27-T27</f>
        <v>0</v>
      </c>
      <c r="V27" s="247"/>
    </row>
    <row r="28" spans="2:22">
      <c r="B28" s="149"/>
      <c r="C28" s="493" t="s">
        <v>542</v>
      </c>
      <c r="D28" s="146"/>
      <c r="E28" s="156"/>
      <c r="F28" s="147"/>
      <c r="G28" s="148"/>
      <c r="H28" s="149"/>
      <c r="I28" s="151"/>
      <c r="J28" s="116"/>
      <c r="K28" s="118"/>
      <c r="L28" s="155"/>
      <c r="M28" s="120"/>
      <c r="N28" s="111"/>
      <c r="O28" s="111"/>
      <c r="P28" s="184"/>
      <c r="Q28" s="210"/>
      <c r="R28" s="230"/>
      <c r="S28" s="327"/>
      <c r="T28" s="332"/>
      <c r="U28" s="315"/>
      <c r="V28" s="247"/>
    </row>
    <row r="29" spans="2:22">
      <c r="B29" s="149"/>
      <c r="C29" s="512"/>
      <c r="D29" s="146"/>
      <c r="E29" s="156"/>
      <c r="F29" s="147"/>
      <c r="G29" s="148"/>
      <c r="H29" s="149"/>
      <c r="I29" s="151"/>
      <c r="J29" s="151"/>
      <c r="K29" s="118"/>
      <c r="L29" s="155"/>
      <c r="M29" s="120"/>
      <c r="N29" s="146"/>
      <c r="O29" s="146"/>
      <c r="P29" s="184"/>
      <c r="Q29" s="210"/>
      <c r="R29" s="230"/>
      <c r="S29" s="327"/>
      <c r="T29" s="332"/>
      <c r="U29" s="315"/>
      <c r="V29" s="247"/>
    </row>
    <row r="30" spans="2:22" ht="29">
      <c r="B30" s="149">
        <v>5</v>
      </c>
      <c r="C30" s="513" t="s">
        <v>543</v>
      </c>
      <c r="D30" s="111" t="s">
        <v>476</v>
      </c>
      <c r="E30" s="156"/>
      <c r="F30" s="147"/>
      <c r="G30" s="148"/>
      <c r="H30" s="149">
        <v>1</v>
      </c>
      <c r="I30" s="151">
        <v>27.797999999999998</v>
      </c>
      <c r="J30" s="151">
        <v>1.8</v>
      </c>
      <c r="K30" s="118">
        <f t="shared" ref="K30" si="10">H30*I30*J30</f>
        <v>50.0364</v>
      </c>
      <c r="L30" s="155" t="s">
        <v>544</v>
      </c>
      <c r="M30" s="120">
        <v>2</v>
      </c>
      <c r="N30" s="146">
        <v>1</v>
      </c>
      <c r="O30" s="146">
        <v>2.1</v>
      </c>
      <c r="P30" s="184">
        <f t="shared" si="6"/>
        <v>4.2</v>
      </c>
      <c r="Q30" s="517">
        <f>(K30+K38)-P30</f>
        <v>45.836399999999998</v>
      </c>
      <c r="R30" s="486">
        <v>0.7</v>
      </c>
      <c r="S30" s="327">
        <f t="shared" si="8"/>
        <v>32.085479999999997</v>
      </c>
      <c r="T30" s="332">
        <v>11.800319999999997</v>
      </c>
      <c r="U30" s="315">
        <f t="shared" si="9"/>
        <v>20.285159999999998</v>
      </c>
      <c r="V30" s="247"/>
    </row>
    <row r="31" spans="2:22">
      <c r="B31" s="149"/>
      <c r="C31" s="150" t="s">
        <v>607</v>
      </c>
      <c r="D31" s="146"/>
      <c r="E31" s="156"/>
      <c r="F31" s="147"/>
      <c r="G31" s="148"/>
      <c r="H31" s="149"/>
      <c r="I31" s="151"/>
      <c r="J31" s="151"/>
      <c r="K31" s="118"/>
      <c r="L31" s="155"/>
      <c r="M31" s="120"/>
      <c r="N31" s="146"/>
      <c r="O31" s="146"/>
      <c r="P31" s="184"/>
      <c r="Q31" s="210"/>
      <c r="R31" s="365"/>
      <c r="S31" s="327"/>
      <c r="T31" s="332"/>
      <c r="U31" s="315"/>
      <c r="V31" s="247"/>
    </row>
    <row r="32" spans="2:22" ht="15" thickBot="1">
      <c r="B32" s="129"/>
      <c r="C32" s="238"/>
      <c r="D32" s="126"/>
      <c r="E32" s="126"/>
      <c r="F32" s="127"/>
      <c r="G32" s="128"/>
      <c r="H32" s="129"/>
      <c r="I32" s="130"/>
      <c r="J32" s="130"/>
      <c r="K32" s="131"/>
      <c r="L32" s="132"/>
      <c r="M32" s="133"/>
      <c r="N32" s="134"/>
      <c r="O32" s="134"/>
      <c r="P32" s="135"/>
      <c r="Q32" s="326"/>
      <c r="R32" s="230"/>
      <c r="S32" s="197"/>
      <c r="T32" s="240"/>
      <c r="U32" s="352"/>
      <c r="V32" s="247"/>
    </row>
    <row r="33" spans="11:22">
      <c r="K33" s="136"/>
      <c r="N33" s="136"/>
      <c r="O33" s="136"/>
      <c r="P33" s="136" t="s">
        <v>37</v>
      </c>
      <c r="Q33" s="137">
        <f>SUM(Q10:Q32)</f>
        <v>425.45166299999994</v>
      </c>
      <c r="R33" s="137"/>
      <c r="S33" s="137">
        <f>SUM(S10:S32)</f>
        <v>318.6264741</v>
      </c>
      <c r="T33" s="137">
        <f>SUM(T10:T32)</f>
        <v>178.89593909999999</v>
      </c>
      <c r="U33" s="137">
        <f>SUM(U13:U32)</f>
        <v>139.730535</v>
      </c>
      <c r="V33" s="248"/>
    </row>
  </sheetData>
  <mergeCells count="3">
    <mergeCell ref="B3:U3"/>
    <mergeCell ref="H11:K11"/>
    <mergeCell ref="M11:P11"/>
  </mergeCells>
  <pageMargins left="0.7" right="0.7" top="0.75" bottom="0.75" header="0.3" footer="0.3"/>
  <pageSetup paperSize="9" scale="59"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A698-F6FF-4F85-A779-657197C56639}">
  <sheetPr>
    <tabColor rgb="FFFFFF00"/>
    <pageSetUpPr fitToPage="1"/>
  </sheetPr>
  <dimension ref="B1:V62"/>
  <sheetViews>
    <sheetView view="pageBreakPreview" topLeftCell="A31" zoomScale="80" zoomScaleNormal="70" zoomScaleSheetLayoutView="80" workbookViewId="0">
      <selection activeCell="A9" sqref="A1:XFD9"/>
    </sheetView>
  </sheetViews>
  <sheetFormatPr defaultColWidth="9.1796875" defaultRowHeight="14.5"/>
  <cols>
    <col min="1" max="1" width="2.1796875" style="89" customWidth="1"/>
    <col min="2" max="2" width="4.54296875" style="89" customWidth="1"/>
    <col min="3" max="3" width="32.453125" style="89" customWidth="1"/>
    <col min="4" max="4" width="23.54296875" style="89" customWidth="1"/>
    <col min="5" max="5" width="13.54296875" style="89" customWidth="1"/>
    <col min="6" max="6" width="12.1796875" style="89" customWidth="1"/>
    <col min="7" max="7" width="10" style="89" customWidth="1"/>
    <col min="8" max="8" width="4.1796875" style="89" customWidth="1"/>
    <col min="9" max="10" width="7.453125" style="89" customWidth="1"/>
    <col min="11" max="11" width="8.54296875" style="89" customWidth="1"/>
    <col min="12" max="12" width="12.26953125" style="89" customWidth="1"/>
    <col min="13" max="13" width="4.1796875" style="90" customWidth="1"/>
    <col min="14" max="15" width="7.453125" style="89" customWidth="1"/>
    <col min="16" max="16" width="8.54296875" style="89" customWidth="1"/>
    <col min="17" max="17" width="13.54296875" style="136" customWidth="1"/>
    <col min="18" max="18" width="11.26953125" style="89" customWidth="1"/>
    <col min="19" max="21" width="12.54296875" style="136" customWidth="1"/>
    <col min="22" max="22" width="15.81640625" style="89" customWidth="1"/>
    <col min="23" max="16384" width="9.17968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Bill'!B15</f>
        <v>EIFS System with TERRACO finishes (TERRACO acid wash finishes) with Built-up 100mm</v>
      </c>
      <c r="P10" s="221"/>
      <c r="Q10" s="334"/>
      <c r="R10" s="285"/>
      <c r="S10" s="339"/>
      <c r="T10" s="329"/>
      <c r="U10" s="346"/>
    </row>
    <row r="11" spans="2:22" ht="72" customHeight="1"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86" t="s">
        <v>105</v>
      </c>
      <c r="S11" s="189" t="s">
        <v>106</v>
      </c>
      <c r="T11" s="342" t="s">
        <v>80</v>
      </c>
      <c r="U11" s="347" t="s">
        <v>81</v>
      </c>
      <c r="V11" s="287" t="s">
        <v>176</v>
      </c>
    </row>
    <row r="12" spans="2:22" ht="15" thickBot="1">
      <c r="B12" s="94" t="s">
        <v>265</v>
      </c>
      <c r="C12" s="288"/>
      <c r="D12" s="289"/>
      <c r="E12" s="290"/>
      <c r="F12" s="290"/>
      <c r="G12" s="291"/>
      <c r="H12" s="288" t="s">
        <v>70</v>
      </c>
      <c r="I12" s="292" t="s">
        <v>83</v>
      </c>
      <c r="J12" s="292" t="s">
        <v>84</v>
      </c>
      <c r="K12" s="293" t="s">
        <v>85</v>
      </c>
      <c r="L12" s="294"/>
      <c r="M12" s="295" t="s">
        <v>70</v>
      </c>
      <c r="N12" s="292" t="s">
        <v>83</v>
      </c>
      <c r="O12" s="292" t="s">
        <v>84</v>
      </c>
      <c r="P12" s="293" t="s">
        <v>85</v>
      </c>
      <c r="Q12" s="335"/>
      <c r="R12" s="296"/>
      <c r="S12" s="340"/>
      <c r="T12" s="343"/>
      <c r="U12" s="348" t="s">
        <v>86</v>
      </c>
      <c r="V12" s="236"/>
    </row>
    <row r="13" spans="2:22">
      <c r="B13" s="297"/>
      <c r="C13" s="298"/>
      <c r="D13" s="150"/>
      <c r="E13" s="111"/>
      <c r="F13" s="111"/>
      <c r="G13" s="299"/>
      <c r="H13" s="298"/>
      <c r="I13" s="159"/>
      <c r="J13" s="159"/>
      <c r="K13" s="232"/>
      <c r="L13" s="300"/>
      <c r="M13" s="158"/>
      <c r="N13" s="159"/>
      <c r="O13" s="159"/>
      <c r="P13" s="232"/>
      <c r="Q13" s="336"/>
      <c r="R13" s="230"/>
      <c r="S13" s="327"/>
      <c r="T13" s="332"/>
      <c r="U13" s="315"/>
      <c r="V13" s="245"/>
    </row>
    <row r="14" spans="2:22" customFormat="1">
      <c r="B14" s="271">
        <v>2</v>
      </c>
      <c r="C14" s="152" t="s">
        <v>108</v>
      </c>
      <c r="D14" s="112" t="s">
        <v>93</v>
      </c>
      <c r="E14" s="112" t="s">
        <v>109</v>
      </c>
      <c r="F14" s="112" t="s">
        <v>94</v>
      </c>
      <c r="G14" s="272" t="s">
        <v>266</v>
      </c>
      <c r="H14" s="178">
        <v>1</v>
      </c>
      <c r="I14" s="179">
        <v>2.9</v>
      </c>
      <c r="J14" s="179">
        <v>7.6</v>
      </c>
      <c r="K14" s="181">
        <f>H14*I14*J14</f>
        <v>22.04</v>
      </c>
      <c r="L14" s="85" t="s">
        <v>110</v>
      </c>
      <c r="M14" s="182">
        <v>0</v>
      </c>
      <c r="N14" s="183">
        <v>0</v>
      </c>
      <c r="O14" s="183">
        <v>0</v>
      </c>
      <c r="P14" s="184">
        <f>M14*N14*O14</f>
        <v>0</v>
      </c>
      <c r="Q14" s="196">
        <f>K14-P14</f>
        <v>22.04</v>
      </c>
      <c r="R14" s="230">
        <v>0.9</v>
      </c>
      <c r="S14" s="195">
        <f>Q14*R14</f>
        <v>19.835999999999999</v>
      </c>
      <c r="T14" s="332">
        <v>19.835999999999999</v>
      </c>
      <c r="U14" s="315">
        <f>S14-T14</f>
        <v>0</v>
      </c>
      <c r="V14" s="277" t="s">
        <v>267</v>
      </c>
    </row>
    <row r="15" spans="2:22" customFormat="1">
      <c r="B15" s="271"/>
      <c r="C15" s="304" t="s">
        <v>111</v>
      </c>
      <c r="D15" s="185"/>
      <c r="E15" s="112"/>
      <c r="F15" s="112"/>
      <c r="G15" s="272"/>
      <c r="H15" s="178"/>
      <c r="I15" s="179"/>
      <c r="J15" s="269"/>
      <c r="K15" s="181"/>
      <c r="L15" s="85"/>
      <c r="M15" s="182"/>
      <c r="N15" s="183"/>
      <c r="O15" s="183"/>
      <c r="P15" s="184"/>
      <c r="Q15" s="196"/>
      <c r="R15" s="230"/>
      <c r="S15" s="195"/>
      <c r="T15" s="332"/>
      <c r="U15" s="315"/>
      <c r="V15" s="277" t="s">
        <v>268</v>
      </c>
    </row>
    <row r="16" spans="2:22" customFormat="1">
      <c r="B16" s="271"/>
      <c r="C16" s="305" t="s">
        <v>112</v>
      </c>
      <c r="D16" s="185"/>
      <c r="E16" s="112"/>
      <c r="F16" s="112"/>
      <c r="G16" s="272"/>
      <c r="H16" s="178"/>
      <c r="I16" s="179"/>
      <c r="J16" s="269"/>
      <c r="K16" s="181"/>
      <c r="L16" s="85"/>
      <c r="M16" s="182"/>
      <c r="N16" s="183"/>
      <c r="O16" s="183"/>
      <c r="P16" s="184"/>
      <c r="Q16" s="196"/>
      <c r="R16" s="230"/>
      <c r="S16" s="195"/>
      <c r="T16" s="332"/>
      <c r="U16" s="315"/>
      <c r="V16" s="277"/>
    </row>
    <row r="17" spans="2:22" customFormat="1">
      <c r="B17" s="271"/>
      <c r="C17" s="305"/>
      <c r="D17" s="185"/>
      <c r="E17" s="112"/>
      <c r="F17" s="176"/>
      <c r="G17" s="177"/>
      <c r="H17" s="178"/>
      <c r="I17" s="179"/>
      <c r="J17" s="269"/>
      <c r="K17" s="181"/>
      <c r="L17" s="85"/>
      <c r="M17" s="182"/>
      <c r="N17" s="183"/>
      <c r="O17" s="183"/>
      <c r="P17" s="184"/>
      <c r="Q17" s="196"/>
      <c r="R17" s="230"/>
      <c r="S17" s="195"/>
      <c r="T17" s="332"/>
      <c r="U17" s="315"/>
      <c r="V17" s="277"/>
    </row>
    <row r="18" spans="2:22" customFormat="1">
      <c r="B18" s="271">
        <v>3</v>
      </c>
      <c r="C18" s="152" t="s">
        <v>122</v>
      </c>
      <c r="D18" s="112" t="s">
        <v>88</v>
      </c>
      <c r="E18" s="112" t="s">
        <v>123</v>
      </c>
      <c r="F18" s="176" t="s">
        <v>124</v>
      </c>
      <c r="G18" s="177" t="s">
        <v>269</v>
      </c>
      <c r="H18" s="178">
        <v>1</v>
      </c>
      <c r="I18" s="179">
        <v>4</v>
      </c>
      <c r="J18" s="269">
        <v>3.82</v>
      </c>
      <c r="K18" s="181">
        <f>H18*I18*J18</f>
        <v>15.28</v>
      </c>
      <c r="L18" s="85"/>
      <c r="M18" s="182">
        <v>0</v>
      </c>
      <c r="N18" s="183">
        <v>0</v>
      </c>
      <c r="O18" s="183">
        <v>0</v>
      </c>
      <c r="P18" s="184">
        <f>M18*N18*O18</f>
        <v>0</v>
      </c>
      <c r="Q18" s="196">
        <f>K18-P18</f>
        <v>15.28</v>
      </c>
      <c r="R18" s="230">
        <v>0.9</v>
      </c>
      <c r="S18" s="195">
        <f>Q18*R18</f>
        <v>13.751999999999999</v>
      </c>
      <c r="T18" s="332">
        <v>13.752000000000001</v>
      </c>
      <c r="U18" s="315">
        <f>S18-T18</f>
        <v>0</v>
      </c>
      <c r="V18" s="277" t="s">
        <v>267</v>
      </c>
    </row>
    <row r="19" spans="2:22" customFormat="1">
      <c r="B19" s="271"/>
      <c r="C19" s="152" t="s">
        <v>125</v>
      </c>
      <c r="D19" s="185"/>
      <c r="E19" s="112"/>
      <c r="F19" s="176"/>
      <c r="G19" s="177"/>
      <c r="H19" s="178">
        <v>1</v>
      </c>
      <c r="I19" s="179">
        <v>1.7</v>
      </c>
      <c r="J19" s="269">
        <v>4.87</v>
      </c>
      <c r="K19" s="181">
        <f>H19*I19*J19</f>
        <v>8.2789999999999999</v>
      </c>
      <c r="L19" s="85"/>
      <c r="M19" s="182">
        <v>0</v>
      </c>
      <c r="N19" s="183">
        <v>0</v>
      </c>
      <c r="O19" s="183">
        <v>0</v>
      </c>
      <c r="P19" s="184">
        <f>M19*N19*O19</f>
        <v>0</v>
      </c>
      <c r="Q19" s="196">
        <f>K19-P19</f>
        <v>8.2789999999999999</v>
      </c>
      <c r="R19" s="230">
        <v>0.9</v>
      </c>
      <c r="S19" s="195">
        <f>Q19*R19</f>
        <v>7.4511000000000003</v>
      </c>
      <c r="T19" s="332">
        <v>7.4511000000000003</v>
      </c>
      <c r="U19" s="315">
        <f>S19-T19</f>
        <v>0</v>
      </c>
      <c r="V19" s="277" t="s">
        <v>268</v>
      </c>
    </row>
    <row r="20" spans="2:22" customFormat="1">
      <c r="B20" s="271"/>
      <c r="C20" s="152"/>
      <c r="D20" s="185"/>
      <c r="E20" s="112"/>
      <c r="F20" s="176"/>
      <c r="G20" s="177"/>
      <c r="H20" s="178"/>
      <c r="I20" s="179"/>
      <c r="J20" s="269"/>
      <c r="K20" s="181"/>
      <c r="L20" s="85"/>
      <c r="M20" s="182"/>
      <c r="N20" s="183"/>
      <c r="O20" s="183"/>
      <c r="P20" s="184"/>
      <c r="Q20" s="196"/>
      <c r="R20" s="230"/>
      <c r="S20" s="195"/>
      <c r="T20" s="332"/>
      <c r="U20" s="315"/>
      <c r="V20" s="277"/>
    </row>
    <row r="21" spans="2:22" customFormat="1">
      <c r="B21" s="306"/>
      <c r="C21" s="307"/>
      <c r="D21" s="156"/>
      <c r="E21" s="156"/>
      <c r="F21" s="273"/>
      <c r="G21" s="267"/>
      <c r="H21" s="264"/>
      <c r="I21" s="274"/>
      <c r="J21" s="274"/>
      <c r="K21" s="181"/>
      <c r="L21" s="308"/>
      <c r="M21" s="309"/>
      <c r="N21" s="310"/>
      <c r="O21" s="310"/>
      <c r="P21" s="311"/>
      <c r="Q21" s="337"/>
      <c r="R21" s="230"/>
      <c r="S21" s="341"/>
      <c r="T21" s="332"/>
      <c r="U21" s="315"/>
      <c r="V21" s="277"/>
    </row>
    <row r="22" spans="2:22" customFormat="1">
      <c r="B22" s="306">
        <v>13</v>
      </c>
      <c r="C22" s="307" t="s">
        <v>270</v>
      </c>
      <c r="D22" s="112" t="s">
        <v>184</v>
      </c>
      <c r="E22" s="156" t="s">
        <v>136</v>
      </c>
      <c r="F22" s="273" t="s">
        <v>271</v>
      </c>
      <c r="G22" s="267" t="s">
        <v>137</v>
      </c>
      <c r="H22" s="264">
        <v>1</v>
      </c>
      <c r="I22" s="274">
        <f>30.55-I23</f>
        <v>21.23</v>
      </c>
      <c r="J22" s="274">
        <f>J23+2.775</f>
        <v>7.2750000000000004</v>
      </c>
      <c r="K22" s="181">
        <f>H22*I22*J22</f>
        <v>154.44825</v>
      </c>
      <c r="L22" s="308"/>
      <c r="M22" s="312">
        <v>0</v>
      </c>
      <c r="N22" s="313">
        <v>0</v>
      </c>
      <c r="O22" s="313">
        <v>0</v>
      </c>
      <c r="P22" s="314">
        <f>M22*N22*O22</f>
        <v>0</v>
      </c>
      <c r="Q22" s="337">
        <f>SUM(K22:K23)-P22</f>
        <v>196.38825</v>
      </c>
      <c r="R22" s="230">
        <v>0.9</v>
      </c>
      <c r="S22" s="195">
        <f>Q22*R22</f>
        <v>176.749425</v>
      </c>
      <c r="T22" s="332">
        <v>176.74942999999999</v>
      </c>
      <c r="U22" s="315">
        <f>S22-T22</f>
        <v>-4.9999999873762135E-6</v>
      </c>
      <c r="V22" s="277" t="s">
        <v>267</v>
      </c>
    </row>
    <row r="23" spans="2:22" customFormat="1">
      <c r="B23" s="306"/>
      <c r="C23" s="152" t="s">
        <v>138</v>
      </c>
      <c r="D23" s="156"/>
      <c r="E23" s="156"/>
      <c r="F23" s="273"/>
      <c r="G23" s="267"/>
      <c r="H23" s="264">
        <v>1</v>
      </c>
      <c r="I23" s="274">
        <v>9.32</v>
      </c>
      <c r="J23" s="274">
        <v>4.5</v>
      </c>
      <c r="K23" s="181">
        <f>H23*I23*J23</f>
        <v>41.94</v>
      </c>
      <c r="L23" s="308"/>
      <c r="M23" s="309"/>
      <c r="N23" s="310"/>
      <c r="O23" s="310"/>
      <c r="P23" s="311"/>
      <c r="Q23" s="337"/>
      <c r="R23" s="230"/>
      <c r="S23" s="341"/>
      <c r="T23" s="332"/>
      <c r="U23" s="315"/>
      <c r="V23" s="277" t="s">
        <v>268</v>
      </c>
    </row>
    <row r="24" spans="2:22">
      <c r="B24" s="231"/>
      <c r="C24" s="150"/>
      <c r="D24" s="111"/>
      <c r="E24" s="111"/>
      <c r="F24" s="111"/>
      <c r="G24" s="114"/>
      <c r="H24" s="115"/>
      <c r="I24" s="116"/>
      <c r="J24" s="116"/>
      <c r="K24" s="118"/>
      <c r="L24" s="155"/>
      <c r="M24" s="158"/>
      <c r="N24" s="159"/>
      <c r="O24" s="159"/>
      <c r="P24" s="160"/>
      <c r="Q24" s="336"/>
      <c r="R24" s="230"/>
      <c r="S24" s="327"/>
      <c r="T24" s="332"/>
      <c r="U24" s="315"/>
      <c r="V24" s="245"/>
    </row>
    <row r="25" spans="2:22">
      <c r="B25" s="231"/>
      <c r="C25" s="150"/>
      <c r="D25" s="146"/>
      <c r="E25" s="111"/>
      <c r="F25" s="111"/>
      <c r="G25" s="114"/>
      <c r="H25" s="115"/>
      <c r="I25" s="116"/>
      <c r="J25" s="116"/>
      <c r="K25" s="118"/>
      <c r="L25" s="155"/>
      <c r="M25" s="158"/>
      <c r="N25" s="158"/>
      <c r="O25" s="158"/>
      <c r="P25" s="158"/>
      <c r="Q25" s="336"/>
      <c r="R25" s="230"/>
      <c r="S25" s="327"/>
      <c r="T25" s="332"/>
      <c r="U25" s="315"/>
      <c r="V25" s="245"/>
    </row>
    <row r="26" spans="2:22">
      <c r="B26" s="231"/>
      <c r="C26" s="150"/>
      <c r="D26" s="111"/>
      <c r="E26" s="111"/>
      <c r="F26" s="111"/>
      <c r="G26" s="114"/>
      <c r="H26" s="115"/>
      <c r="I26" s="116"/>
      <c r="J26" s="116"/>
      <c r="K26" s="118"/>
      <c r="L26" s="155"/>
      <c r="M26" s="158"/>
      <c r="N26" s="159"/>
      <c r="O26" s="159"/>
      <c r="P26" s="160"/>
      <c r="Q26" s="336"/>
      <c r="R26" s="230"/>
      <c r="S26" s="327"/>
      <c r="T26" s="332"/>
      <c r="U26" s="315"/>
      <c r="V26" s="245"/>
    </row>
    <row r="27" spans="2:22" ht="15" thickBot="1">
      <c r="B27" s="251"/>
      <c r="C27" s="238"/>
      <c r="D27" s="126"/>
      <c r="E27" s="126"/>
      <c r="F27" s="126"/>
      <c r="G27" s="127"/>
      <c r="H27" s="125"/>
      <c r="I27" s="126"/>
      <c r="J27" s="126"/>
      <c r="K27" s="131"/>
      <c r="L27" s="132"/>
      <c r="M27" s="301"/>
      <c r="N27" s="126"/>
      <c r="O27" s="126"/>
      <c r="P27" s="302"/>
      <c r="Q27" s="199"/>
      <c r="R27" s="303"/>
      <c r="S27" s="198"/>
      <c r="T27" s="344"/>
      <c r="U27" s="349"/>
      <c r="V27" s="251"/>
    </row>
    <row r="28" spans="2:22">
      <c r="K28" s="136"/>
      <c r="N28" s="136"/>
      <c r="O28" s="136"/>
      <c r="P28" s="136" t="s">
        <v>37</v>
      </c>
      <c r="Q28" s="137">
        <f>SUM(Q14:Q27)</f>
        <v>241.98725000000002</v>
      </c>
      <c r="R28" s="143"/>
      <c r="S28" s="137">
        <f>SUM(S14:S27)</f>
        <v>217.78852499999999</v>
      </c>
      <c r="T28" s="137">
        <f>SUM(T14:T27)</f>
        <v>217.78852999999998</v>
      </c>
      <c r="U28" s="137">
        <f>SUM(U14:U27)</f>
        <v>-4.9999999873762135E-6</v>
      </c>
    </row>
    <row r="29" spans="2:22" ht="15" thickBot="1">
      <c r="B29" s="242"/>
      <c r="P29" s="221"/>
      <c r="Q29" s="323"/>
      <c r="R29" s="87"/>
      <c r="S29" s="323"/>
      <c r="T29" s="329"/>
      <c r="U29" s="346"/>
    </row>
    <row r="30" spans="2:22" ht="52.5" thickBot="1">
      <c r="B30" s="91" t="s">
        <v>70</v>
      </c>
      <c r="C30" s="92" t="s">
        <v>71</v>
      </c>
      <c r="D30" s="92" t="s">
        <v>72</v>
      </c>
      <c r="E30" s="91" t="s">
        <v>73</v>
      </c>
      <c r="F30" s="91" t="s">
        <v>74</v>
      </c>
      <c r="G30" s="91" t="s">
        <v>75</v>
      </c>
      <c r="H30" s="557" t="s">
        <v>76</v>
      </c>
      <c r="I30" s="558"/>
      <c r="J30" s="558"/>
      <c r="K30" s="559"/>
      <c r="L30" s="93" t="s">
        <v>77</v>
      </c>
      <c r="M30" s="557" t="s">
        <v>78</v>
      </c>
      <c r="N30" s="558"/>
      <c r="O30" s="558"/>
      <c r="P30" s="559"/>
      <c r="Q30" s="201" t="s">
        <v>79</v>
      </c>
      <c r="R30" s="222" t="s">
        <v>115</v>
      </c>
      <c r="S30" s="189" t="s">
        <v>116</v>
      </c>
      <c r="T30" s="330" t="s">
        <v>117</v>
      </c>
      <c r="U30" s="347" t="s">
        <v>118</v>
      </c>
      <c r="V30" s="243" t="s">
        <v>176</v>
      </c>
    </row>
    <row r="31" spans="2:22" ht="15" thickBot="1">
      <c r="B31" s="94" t="s">
        <v>265</v>
      </c>
      <c r="C31" s="95"/>
      <c r="D31" s="95"/>
      <c r="E31" s="95"/>
      <c r="F31" s="95"/>
      <c r="G31" s="96"/>
      <c r="H31" s="97" t="s">
        <v>70</v>
      </c>
      <c r="I31" s="98" t="s">
        <v>83</v>
      </c>
      <c r="J31" s="98" t="s">
        <v>84</v>
      </c>
      <c r="K31" s="99" t="s">
        <v>85</v>
      </c>
      <c r="L31" s="100"/>
      <c r="M31" s="101" t="s">
        <v>70</v>
      </c>
      <c r="N31" s="98" t="s">
        <v>83</v>
      </c>
      <c r="O31" s="98" t="s">
        <v>84</v>
      </c>
      <c r="P31" s="99" t="s">
        <v>85</v>
      </c>
      <c r="Q31" s="191"/>
      <c r="R31" s="224"/>
      <c r="S31" s="191"/>
      <c r="T31" s="331"/>
      <c r="U31" s="350" t="s">
        <v>86</v>
      </c>
      <c r="V31" s="244"/>
    </row>
    <row r="32" spans="2:22">
      <c r="B32" s="103"/>
      <c r="C32" s="104"/>
      <c r="D32" s="104"/>
      <c r="E32" s="104"/>
      <c r="F32" s="105"/>
      <c r="G32" s="105"/>
      <c r="H32" s="103"/>
      <c r="I32" s="106"/>
      <c r="J32" s="106"/>
      <c r="K32" s="107"/>
      <c r="L32" s="108"/>
      <c r="M32" s="109"/>
      <c r="N32" s="104"/>
      <c r="O32" s="104"/>
      <c r="P32" s="107"/>
      <c r="Q32" s="186"/>
      <c r="R32" s="226"/>
      <c r="S32" s="227"/>
      <c r="T32" s="228"/>
      <c r="U32" s="351"/>
      <c r="V32" s="245"/>
    </row>
    <row r="33" spans="2:22">
      <c r="B33" s="115"/>
      <c r="C33" s="256"/>
      <c r="D33" s="111"/>
      <c r="E33" s="146"/>
      <c r="F33" s="147"/>
      <c r="G33" s="148"/>
      <c r="H33" s="149"/>
      <c r="I33"/>
      <c r="J33"/>
      <c r="K33" s="118"/>
      <c r="L33" s="119"/>
      <c r="M33" s="120"/>
      <c r="N33" s="121"/>
      <c r="O33" s="121"/>
      <c r="P33" s="122"/>
      <c r="Q33" s="324"/>
      <c r="R33" s="230"/>
      <c r="S33" s="327"/>
      <c r="T33" s="332"/>
      <c r="U33" s="315"/>
      <c r="V33" s="245"/>
    </row>
    <row r="34" spans="2:22">
      <c r="B34" s="115">
        <v>1</v>
      </c>
      <c r="C34" s="153" t="s">
        <v>139</v>
      </c>
      <c r="D34" s="111" t="s">
        <v>140</v>
      </c>
      <c r="E34" s="146" t="s">
        <v>255</v>
      </c>
      <c r="F34" s="147" t="s">
        <v>256</v>
      </c>
      <c r="G34" s="148"/>
      <c r="H34" s="149">
        <v>1</v>
      </c>
      <c r="I34" s="151">
        <v>4.62</v>
      </c>
      <c r="J34" s="151">
        <v>7.4420000000000002</v>
      </c>
      <c r="K34" s="118">
        <f>H34*I34*J34</f>
        <v>34.382040000000003</v>
      </c>
      <c r="L34" s="119"/>
      <c r="M34" s="120">
        <v>0</v>
      </c>
      <c r="N34" s="121">
        <v>0</v>
      </c>
      <c r="O34" s="121">
        <v>0</v>
      </c>
      <c r="P34" s="122">
        <v>0</v>
      </c>
      <c r="Q34" s="210">
        <f>K34-P34</f>
        <v>34.382040000000003</v>
      </c>
      <c r="R34" s="230">
        <v>1</v>
      </c>
      <c r="S34" s="327">
        <f>Q34*R34</f>
        <v>34.382040000000003</v>
      </c>
      <c r="T34" s="332">
        <v>34.382040000000003</v>
      </c>
      <c r="U34" s="315">
        <f>S34-T34</f>
        <v>0</v>
      </c>
      <c r="V34" s="245"/>
    </row>
    <row r="35" spans="2:22">
      <c r="B35" s="115"/>
      <c r="C35" s="150" t="s">
        <v>141</v>
      </c>
      <c r="D35" s="111"/>
      <c r="E35" s="146"/>
      <c r="F35" s="147"/>
      <c r="G35" s="148"/>
      <c r="H35" s="149"/>
      <c r="I35" s="151"/>
      <c r="J35" s="116"/>
      <c r="K35" s="118"/>
      <c r="L35" s="119"/>
      <c r="M35" s="120"/>
      <c r="N35" s="121"/>
      <c r="O35" s="121"/>
      <c r="P35" s="122"/>
      <c r="Q35" s="210"/>
      <c r="R35" s="230"/>
      <c r="S35" s="327"/>
      <c r="T35" s="332"/>
      <c r="U35" s="315"/>
      <c r="V35" s="245"/>
    </row>
    <row r="36" spans="2:22">
      <c r="B36" s="115"/>
      <c r="C36" s="150" t="s">
        <v>257</v>
      </c>
      <c r="D36" s="123"/>
      <c r="E36" s="146" t="s">
        <v>258</v>
      </c>
      <c r="F36" s="147"/>
      <c r="G36" s="148"/>
      <c r="H36" s="149"/>
      <c r="I36" s="151"/>
      <c r="J36" s="116"/>
      <c r="K36" s="118"/>
      <c r="L36" s="119"/>
      <c r="M36" s="120"/>
      <c r="N36" s="121"/>
      <c r="O36" s="121"/>
      <c r="P36" s="122"/>
      <c r="Q36" s="210"/>
      <c r="R36" s="230"/>
      <c r="S36" s="327"/>
      <c r="T36" s="332"/>
      <c r="U36" s="315"/>
      <c r="V36" s="245"/>
    </row>
    <row r="37" spans="2:22">
      <c r="B37" s="115"/>
      <c r="C37" s="152"/>
      <c r="D37" s="123"/>
      <c r="E37" s="112"/>
      <c r="F37" s="113"/>
      <c r="G37" s="114"/>
      <c r="H37" s="115"/>
      <c r="I37" s="116"/>
      <c r="J37" s="116"/>
      <c r="K37" s="118"/>
      <c r="L37" s="119"/>
      <c r="M37" s="120"/>
      <c r="N37" s="121"/>
      <c r="O37" s="121"/>
      <c r="P37" s="122"/>
      <c r="Q37" s="210"/>
      <c r="R37" s="230"/>
      <c r="S37" s="327"/>
      <c r="T37" s="332"/>
      <c r="U37" s="315"/>
      <c r="V37" s="245"/>
    </row>
    <row r="38" spans="2:22">
      <c r="B38" s="149">
        <v>2</v>
      </c>
      <c r="C38" s="150" t="s">
        <v>259</v>
      </c>
      <c r="D38" s="111" t="s">
        <v>140</v>
      </c>
      <c r="E38" s="146" t="s">
        <v>260</v>
      </c>
      <c r="F38" s="147" t="s">
        <v>261</v>
      </c>
      <c r="G38" s="148"/>
      <c r="H38" s="149">
        <v>1</v>
      </c>
      <c r="I38" s="151">
        <v>13</v>
      </c>
      <c r="J38" s="117">
        <v>9.98</v>
      </c>
      <c r="K38" s="118">
        <f t="shared" ref="K38:K42" si="0">H38*I38*J38</f>
        <v>129.74</v>
      </c>
      <c r="L38" s="119"/>
      <c r="M38" s="120">
        <v>0</v>
      </c>
      <c r="N38" s="121">
        <v>0</v>
      </c>
      <c r="O38" s="121">
        <v>0</v>
      </c>
      <c r="P38" s="122">
        <v>0</v>
      </c>
      <c r="Q38" s="210">
        <f t="shared" ref="Q38" si="1">K38-P38</f>
        <v>129.74</v>
      </c>
      <c r="R38" s="230">
        <v>1</v>
      </c>
      <c r="S38" s="327">
        <f t="shared" ref="S38:S41" si="2">Q38*R38</f>
        <v>129.74</v>
      </c>
      <c r="T38" s="332">
        <v>129.74</v>
      </c>
      <c r="U38" s="315">
        <f t="shared" ref="U38:U41" si="3">S38-T38</f>
        <v>0</v>
      </c>
      <c r="V38" s="245"/>
    </row>
    <row r="39" spans="2:22">
      <c r="B39" s="149"/>
      <c r="C39" s="152" t="s">
        <v>548</v>
      </c>
      <c r="D39" s="146"/>
      <c r="E39" s="146"/>
      <c r="F39" s="147"/>
      <c r="G39" s="148"/>
      <c r="H39" s="149"/>
      <c r="I39" s="151"/>
      <c r="J39" s="117"/>
      <c r="K39" s="175"/>
      <c r="L39" s="245"/>
      <c r="M39" s="279"/>
      <c r="N39" s="121"/>
      <c r="O39" s="121"/>
      <c r="P39" s="122"/>
      <c r="Q39" s="210"/>
      <c r="R39" s="233"/>
      <c r="S39" s="327"/>
      <c r="T39" s="332"/>
      <c r="U39" s="315"/>
      <c r="V39" s="245"/>
    </row>
    <row r="40" spans="2:22">
      <c r="B40" s="149"/>
      <c r="C40" s="153"/>
      <c r="D40" s="111"/>
      <c r="E40" s="156"/>
      <c r="F40" s="113"/>
      <c r="G40" s="148"/>
      <c r="H40" s="149"/>
      <c r="I40" s="151"/>
      <c r="J40" s="116"/>
      <c r="K40" s="175"/>
      <c r="L40" s="245"/>
      <c r="M40" s="280"/>
      <c r="N40" s="159"/>
      <c r="O40" s="159"/>
      <c r="P40" s="281"/>
      <c r="Q40" s="338"/>
      <c r="R40" s="282"/>
      <c r="S40" s="327"/>
      <c r="T40" s="332"/>
      <c r="U40" s="315"/>
      <c r="V40" s="245"/>
    </row>
    <row r="41" spans="2:22">
      <c r="B41" s="149">
        <v>3</v>
      </c>
      <c r="C41" s="150" t="s">
        <v>262</v>
      </c>
      <c r="D41" s="111" t="s">
        <v>184</v>
      </c>
      <c r="E41" s="156" t="s">
        <v>263</v>
      </c>
      <c r="F41" s="147" t="s">
        <v>90</v>
      </c>
      <c r="G41" s="148"/>
      <c r="H41" s="149">
        <v>1</v>
      </c>
      <c r="I41" s="151">
        <v>7.859</v>
      </c>
      <c r="J41" s="116">
        <v>4.5</v>
      </c>
      <c r="K41" s="175">
        <f t="shared" si="0"/>
        <v>35.365499999999997</v>
      </c>
      <c r="L41" s="245"/>
      <c r="M41" s="280">
        <v>0</v>
      </c>
      <c r="N41" s="159">
        <v>0</v>
      </c>
      <c r="O41" s="159">
        <v>0</v>
      </c>
      <c r="P41" s="281">
        <v>0</v>
      </c>
      <c r="Q41" s="338">
        <f>(K41+K42)-P41</f>
        <v>168.108844</v>
      </c>
      <c r="R41" s="230">
        <v>0.1</v>
      </c>
      <c r="S41" s="327">
        <f t="shared" si="2"/>
        <v>16.810884400000003</v>
      </c>
      <c r="T41" s="332">
        <v>16.810884400000003</v>
      </c>
      <c r="U41" s="315">
        <f t="shared" si="3"/>
        <v>0</v>
      </c>
      <c r="V41" s="245"/>
    </row>
    <row r="42" spans="2:22">
      <c r="B42" s="264"/>
      <c r="C42" s="150" t="s">
        <v>264</v>
      </c>
      <c r="D42" s="146"/>
      <c r="E42" s="156"/>
      <c r="F42" s="147"/>
      <c r="G42" s="148"/>
      <c r="H42" s="149">
        <v>1</v>
      </c>
      <c r="I42" s="151">
        <v>18.244</v>
      </c>
      <c r="J42" s="116">
        <v>7.2759999999999998</v>
      </c>
      <c r="K42" s="175">
        <f t="shared" si="0"/>
        <v>132.74334400000001</v>
      </c>
      <c r="L42" s="245"/>
      <c r="M42" s="280"/>
      <c r="N42" s="159"/>
      <c r="O42" s="159"/>
      <c r="P42" s="281"/>
      <c r="Q42" s="327"/>
      <c r="R42" s="282"/>
      <c r="S42" s="338"/>
      <c r="T42" s="345"/>
      <c r="U42" s="315"/>
      <c r="V42" s="247"/>
    </row>
    <row r="43" spans="2:22">
      <c r="B43" s="264"/>
      <c r="C43" s="150"/>
      <c r="D43" s="146"/>
      <c r="E43" s="156"/>
      <c r="F43" s="147"/>
      <c r="G43" s="148"/>
      <c r="H43" s="149"/>
      <c r="I43" s="151"/>
      <c r="J43" s="116"/>
      <c r="K43" s="175"/>
      <c r="L43" s="245"/>
      <c r="M43" s="280"/>
      <c r="N43" s="159"/>
      <c r="O43" s="159"/>
      <c r="P43" s="281"/>
      <c r="Q43" s="327"/>
      <c r="R43" s="282"/>
      <c r="S43" s="338"/>
      <c r="T43" s="345"/>
      <c r="U43" s="315"/>
      <c r="V43" s="247"/>
    </row>
    <row r="44" spans="2:22">
      <c r="B44" s="264">
        <v>4</v>
      </c>
      <c r="C44" s="150" t="s">
        <v>315</v>
      </c>
      <c r="D44" s="111" t="s">
        <v>316</v>
      </c>
      <c r="E44" s="156" t="s">
        <v>317</v>
      </c>
      <c r="F44" s="147" t="s">
        <v>256</v>
      </c>
      <c r="G44" s="148"/>
      <c r="H44" s="149">
        <v>1</v>
      </c>
      <c r="I44" s="151">
        <v>18.556999999999999</v>
      </c>
      <c r="J44" s="116">
        <v>7.242</v>
      </c>
      <c r="K44" s="175">
        <f>H44*I44*J44</f>
        <v>134.38979399999999</v>
      </c>
      <c r="L44" s="245" t="s">
        <v>318</v>
      </c>
      <c r="M44" s="280">
        <v>1</v>
      </c>
      <c r="N44" s="159">
        <v>2.5</v>
      </c>
      <c r="O44" s="159">
        <v>1</v>
      </c>
      <c r="P44" s="281">
        <f t="shared" ref="P44:P49" si="4">O44*N44*M44</f>
        <v>2.5</v>
      </c>
      <c r="Q44" s="338">
        <f>SUM(K44:K49)-SUM(P44:P49)</f>
        <v>114.72240099999999</v>
      </c>
      <c r="R44" s="230">
        <v>1</v>
      </c>
      <c r="S44" s="327">
        <f>Q44*R44</f>
        <v>114.72240099999999</v>
      </c>
      <c r="T44" s="332">
        <v>114.72240099999999</v>
      </c>
      <c r="U44" s="315">
        <f>S44-T44</f>
        <v>0</v>
      </c>
      <c r="V44" s="247"/>
    </row>
    <row r="45" spans="2:22">
      <c r="B45" s="264"/>
      <c r="C45" s="152" t="s">
        <v>319</v>
      </c>
      <c r="D45" s="146"/>
      <c r="E45" s="156"/>
      <c r="F45" s="147"/>
      <c r="G45" s="148"/>
      <c r="H45" s="149"/>
      <c r="I45" s="151"/>
      <c r="J45" s="116"/>
      <c r="K45" s="175"/>
      <c r="L45" s="245" t="s">
        <v>320</v>
      </c>
      <c r="M45" s="280">
        <v>1</v>
      </c>
      <c r="N45" s="159">
        <v>0.6</v>
      </c>
      <c r="O45" s="159">
        <v>0.5</v>
      </c>
      <c r="P45" s="281">
        <f t="shared" si="4"/>
        <v>0.3</v>
      </c>
      <c r="Q45" s="338"/>
      <c r="R45" s="230"/>
      <c r="S45" s="327"/>
      <c r="T45" s="332"/>
      <c r="U45" s="315"/>
      <c r="V45" s="247"/>
    </row>
    <row r="46" spans="2:22">
      <c r="B46" s="264"/>
      <c r="C46" s="150"/>
      <c r="D46" s="146"/>
      <c r="E46" s="156"/>
      <c r="F46" s="147"/>
      <c r="G46" s="148"/>
      <c r="H46" s="149"/>
      <c r="I46" s="151"/>
      <c r="J46" s="116"/>
      <c r="K46" s="175"/>
      <c r="L46" s="245" t="s">
        <v>321</v>
      </c>
      <c r="M46" s="280">
        <v>1</v>
      </c>
      <c r="N46" s="159">
        <v>3.2989999999999999</v>
      </c>
      <c r="O46" s="159">
        <v>2.2669999999999999</v>
      </c>
      <c r="P46" s="281">
        <f t="shared" si="4"/>
        <v>7.4788329999999998</v>
      </c>
      <c r="Q46" s="338"/>
      <c r="R46" s="230"/>
      <c r="S46" s="327"/>
      <c r="T46" s="332"/>
      <c r="U46" s="315"/>
      <c r="V46" s="247"/>
    </row>
    <row r="47" spans="2:22">
      <c r="B47" s="264"/>
      <c r="C47" s="150"/>
      <c r="D47" s="146"/>
      <c r="E47" s="156"/>
      <c r="F47" s="147"/>
      <c r="G47" s="148"/>
      <c r="H47" s="149"/>
      <c r="I47" s="151"/>
      <c r="J47" s="116"/>
      <c r="K47" s="175"/>
      <c r="L47" s="245" t="s">
        <v>322</v>
      </c>
      <c r="M47" s="280">
        <v>1</v>
      </c>
      <c r="N47" s="159">
        <v>2.1680000000000001</v>
      </c>
      <c r="O47" s="159">
        <v>1.1970000000000001</v>
      </c>
      <c r="P47" s="281">
        <f t="shared" si="4"/>
        <v>2.5950960000000003</v>
      </c>
      <c r="Q47" s="338"/>
      <c r="R47" s="230"/>
      <c r="S47" s="327"/>
      <c r="T47" s="332"/>
      <c r="U47" s="315"/>
      <c r="V47" s="247"/>
    </row>
    <row r="48" spans="2:22">
      <c r="B48" s="264"/>
      <c r="C48" s="150"/>
      <c r="D48" s="146"/>
      <c r="E48" s="156"/>
      <c r="F48" s="147"/>
      <c r="G48" s="148"/>
      <c r="H48" s="149"/>
      <c r="I48" s="151"/>
      <c r="J48" s="116"/>
      <c r="K48" s="175"/>
      <c r="L48" s="245" t="s">
        <v>323</v>
      </c>
      <c r="M48" s="280">
        <v>1</v>
      </c>
      <c r="N48" s="159">
        <v>2.1680000000000001</v>
      </c>
      <c r="O48" s="159">
        <v>1.4730000000000001</v>
      </c>
      <c r="P48" s="281">
        <f t="shared" si="4"/>
        <v>3.1934640000000005</v>
      </c>
      <c r="Q48" s="338"/>
      <c r="R48" s="230"/>
      <c r="S48" s="327"/>
      <c r="T48" s="332"/>
      <c r="U48" s="315"/>
      <c r="V48" s="247"/>
    </row>
    <row r="49" spans="2:22">
      <c r="B49" s="264"/>
      <c r="C49" s="153"/>
      <c r="D49" s="146"/>
      <c r="E49" s="156"/>
      <c r="F49" s="147"/>
      <c r="G49" s="148"/>
      <c r="H49" s="149"/>
      <c r="I49" s="151"/>
      <c r="J49" s="151"/>
      <c r="K49" s="175"/>
      <c r="L49" s="247" t="s">
        <v>324</v>
      </c>
      <c r="M49" s="367">
        <v>1</v>
      </c>
      <c r="N49" s="368">
        <v>1.5</v>
      </c>
      <c r="O49" s="368">
        <v>2.4</v>
      </c>
      <c r="P49" s="281">
        <f t="shared" si="4"/>
        <v>3.5999999999999996</v>
      </c>
      <c r="Q49" s="338"/>
      <c r="R49" s="511"/>
      <c r="S49" s="327"/>
      <c r="T49" s="332"/>
      <c r="U49" s="315"/>
      <c r="V49" s="247"/>
    </row>
    <row r="50" spans="2:22">
      <c r="B50" s="264"/>
      <c r="C50" s="153"/>
      <c r="D50" s="146"/>
      <c r="E50" s="156"/>
      <c r="F50" s="147"/>
      <c r="G50" s="148"/>
      <c r="H50" s="149"/>
      <c r="I50" s="151"/>
      <c r="J50" s="151"/>
      <c r="K50" s="175"/>
      <c r="L50" s="245"/>
      <c r="M50" s="280"/>
      <c r="N50" s="368"/>
      <c r="O50" s="368"/>
      <c r="P50" s="371"/>
      <c r="Q50" s="338"/>
      <c r="R50" s="511"/>
      <c r="S50" s="327"/>
      <c r="T50" s="332"/>
      <c r="U50" s="315"/>
      <c r="V50" s="247"/>
    </row>
    <row r="51" spans="2:22">
      <c r="B51" s="264">
        <v>5</v>
      </c>
      <c r="C51" s="153" t="s">
        <v>325</v>
      </c>
      <c r="D51" s="111" t="s">
        <v>243</v>
      </c>
      <c r="E51" s="156" t="s">
        <v>326</v>
      </c>
      <c r="F51" s="273" t="s">
        <v>327</v>
      </c>
      <c r="G51" s="148"/>
      <c r="H51" s="149">
        <v>1</v>
      </c>
      <c r="I51" s="151">
        <v>4.7320000000000002</v>
      </c>
      <c r="J51" s="151">
        <v>3.45</v>
      </c>
      <c r="K51" s="175">
        <f>H51*I51*J51</f>
        <v>16.325400000000002</v>
      </c>
      <c r="L51" s="245"/>
      <c r="M51" s="280">
        <v>0</v>
      </c>
      <c r="N51" s="368">
        <v>0</v>
      </c>
      <c r="O51" s="368">
        <v>0</v>
      </c>
      <c r="P51" s="371">
        <v>0</v>
      </c>
      <c r="Q51" s="338">
        <f>K51-P51</f>
        <v>16.325400000000002</v>
      </c>
      <c r="R51" s="511">
        <v>1</v>
      </c>
      <c r="S51" s="327">
        <f>Q51*R51</f>
        <v>16.325400000000002</v>
      </c>
      <c r="T51" s="332">
        <v>16.325400000000002</v>
      </c>
      <c r="U51" s="315">
        <f>S51-T51</f>
        <v>0</v>
      </c>
      <c r="V51" s="247"/>
    </row>
    <row r="52" spans="2:22">
      <c r="B52" s="264"/>
      <c r="C52" s="152" t="s">
        <v>545</v>
      </c>
      <c r="D52" s="146"/>
      <c r="E52" s="156"/>
      <c r="F52" s="147"/>
      <c r="G52" s="148"/>
      <c r="H52" s="149"/>
      <c r="I52" s="151"/>
      <c r="J52" s="151"/>
      <c r="K52" s="175"/>
      <c r="L52" s="245"/>
      <c r="M52" s="280"/>
      <c r="N52" s="368"/>
      <c r="O52" s="368"/>
      <c r="P52" s="371"/>
      <c r="Q52" s="372"/>
      <c r="R52" s="511"/>
      <c r="S52" s="327"/>
      <c r="T52" s="332"/>
      <c r="U52" s="315"/>
      <c r="V52" s="247"/>
    </row>
    <row r="53" spans="2:22">
      <c r="B53" s="264"/>
      <c r="C53" s="152"/>
      <c r="D53" s="146"/>
      <c r="E53" s="156"/>
      <c r="F53" s="147"/>
      <c r="G53" s="148"/>
      <c r="H53" s="149"/>
      <c r="I53" s="151"/>
      <c r="J53" s="151"/>
      <c r="K53" s="175"/>
      <c r="L53" s="245"/>
      <c r="M53" s="280"/>
      <c r="N53" s="368"/>
      <c r="O53" s="368"/>
      <c r="P53" s="371"/>
      <c r="Q53" s="372"/>
      <c r="R53" s="511"/>
      <c r="S53" s="327"/>
      <c r="T53" s="332"/>
      <c r="U53" s="315"/>
      <c r="V53" s="247"/>
    </row>
    <row r="54" spans="2:22">
      <c r="B54" s="264">
        <v>6</v>
      </c>
      <c r="C54" s="153" t="s">
        <v>479</v>
      </c>
      <c r="D54" s="146" t="s">
        <v>480</v>
      </c>
      <c r="E54" s="156" t="s">
        <v>481</v>
      </c>
      <c r="F54" s="147"/>
      <c r="G54" s="148"/>
      <c r="H54" s="149">
        <v>1</v>
      </c>
      <c r="I54" s="151">
        <v>18.312999999999999</v>
      </c>
      <c r="J54" s="151">
        <v>5.45</v>
      </c>
      <c r="K54" s="175">
        <f t="shared" ref="K54" si="5">H54*I54*J54</f>
        <v>99.805849999999992</v>
      </c>
      <c r="L54" s="245"/>
      <c r="M54" s="465">
        <v>0</v>
      </c>
      <c r="N54" s="368">
        <v>0</v>
      </c>
      <c r="O54" s="368">
        <v>0</v>
      </c>
      <c r="P54" s="464">
        <v>0</v>
      </c>
      <c r="Q54" s="366">
        <f t="shared" ref="Q54" si="6">K54-P54</f>
        <v>99.805849999999992</v>
      </c>
      <c r="R54" s="511">
        <v>0.9</v>
      </c>
      <c r="S54" s="327">
        <f t="shared" ref="S54" si="7">Q54*R54</f>
        <v>89.825265000000002</v>
      </c>
      <c r="T54" s="332">
        <v>89.825265000000002</v>
      </c>
      <c r="U54" s="315">
        <f t="shared" ref="U54" si="8">S54-T54</f>
        <v>0</v>
      </c>
      <c r="V54" s="247"/>
    </row>
    <row r="55" spans="2:22">
      <c r="B55" s="264"/>
      <c r="C55" s="153" t="s">
        <v>546</v>
      </c>
      <c r="D55" s="146"/>
      <c r="E55" s="156"/>
      <c r="F55" s="147"/>
      <c r="G55" s="148"/>
      <c r="H55" s="149"/>
      <c r="I55" s="151"/>
      <c r="J55" s="151"/>
      <c r="K55" s="175"/>
      <c r="L55" s="245"/>
      <c r="M55" s="465"/>
      <c r="N55" s="368"/>
      <c r="O55" s="368"/>
      <c r="P55" s="464"/>
      <c r="Q55" s="372"/>
      <c r="R55" s="511"/>
      <c r="S55" s="373"/>
      <c r="T55" s="332"/>
      <c r="U55" s="315"/>
      <c r="V55" s="247"/>
    </row>
    <row r="56" spans="2:22">
      <c r="B56" s="264"/>
      <c r="C56" s="152"/>
      <c r="D56" s="146"/>
      <c r="E56" s="156"/>
      <c r="F56" s="147"/>
      <c r="G56" s="148"/>
      <c r="H56" s="149"/>
      <c r="I56" s="151"/>
      <c r="J56" s="151"/>
      <c r="K56" s="175"/>
      <c r="L56" s="245"/>
      <c r="M56" s="280"/>
      <c r="N56" s="368"/>
      <c r="O56" s="368"/>
      <c r="P56" s="371"/>
      <c r="Q56" s="372"/>
      <c r="R56" s="511"/>
      <c r="S56" s="327"/>
      <c r="T56" s="370"/>
      <c r="U56" s="374"/>
      <c r="V56" s="247"/>
    </row>
    <row r="57" spans="2:22">
      <c r="B57" s="264"/>
      <c r="C57" s="150"/>
      <c r="D57" s="146"/>
      <c r="E57" s="156"/>
      <c r="F57" s="147"/>
      <c r="G57" s="148"/>
      <c r="H57" s="149"/>
      <c r="I57" s="151"/>
      <c r="J57" s="116"/>
      <c r="K57" s="208"/>
      <c r="L57" s="245"/>
      <c r="M57" s="280"/>
      <c r="N57" s="159"/>
      <c r="O57" s="159"/>
      <c r="P57" s="281"/>
      <c r="Q57" s="327"/>
      <c r="R57" s="282"/>
      <c r="S57" s="338"/>
      <c r="T57" s="345"/>
      <c r="U57" s="315"/>
      <c r="V57" s="247"/>
    </row>
    <row r="58" spans="2:22" ht="15" thickBot="1">
      <c r="B58" s="129"/>
      <c r="C58" s="238"/>
      <c r="D58" s="126"/>
      <c r="E58" s="126"/>
      <c r="F58" s="127"/>
      <c r="G58" s="128"/>
      <c r="H58" s="129"/>
      <c r="I58" s="130"/>
      <c r="J58" s="130"/>
      <c r="K58" s="166"/>
      <c r="L58" s="251"/>
      <c r="M58" s="283"/>
      <c r="N58" s="134"/>
      <c r="O58" s="134"/>
      <c r="P58" s="284"/>
      <c r="Q58" s="197"/>
      <c r="R58" s="239"/>
      <c r="S58" s="197"/>
      <c r="T58" s="240"/>
      <c r="U58" s="352"/>
      <c r="V58" s="247"/>
    </row>
    <row r="59" spans="2:22">
      <c r="K59" s="136"/>
      <c r="N59" s="136"/>
      <c r="O59" s="136"/>
      <c r="P59" s="136" t="s">
        <v>37</v>
      </c>
      <c r="Q59" s="137">
        <f>SUM(Q29:Q58)</f>
        <v>563.08453500000007</v>
      </c>
      <c r="R59" s="137"/>
      <c r="S59" s="137">
        <f>SUM(S29:S58)</f>
        <v>401.80599040000004</v>
      </c>
      <c r="T59" s="137">
        <f>SUM(T29:T58)</f>
        <v>401.80599040000004</v>
      </c>
      <c r="U59" s="137">
        <f>SUM(U32:U58)</f>
        <v>0</v>
      </c>
      <c r="V59" s="248"/>
    </row>
    <row r="60" spans="2:22">
      <c r="Q60" s="560" t="s">
        <v>464</v>
      </c>
      <c r="R60" s="560"/>
      <c r="S60" s="136">
        <f t="shared" ref="S60" si="9">SUM(S59,S28)</f>
        <v>619.59451540000009</v>
      </c>
    </row>
    <row r="61" spans="2:22">
      <c r="Q61" s="560" t="s">
        <v>465</v>
      </c>
      <c r="R61" s="560"/>
      <c r="S61" s="136">
        <f>'Progress Bill'!S15</f>
        <v>636.78180957047744</v>
      </c>
    </row>
    <row r="62" spans="2:22">
      <c r="R62" s="451" t="s">
        <v>466</v>
      </c>
      <c r="S62" s="136">
        <f>S61-S60</f>
        <v>17.187294170477344</v>
      </c>
    </row>
  </sheetData>
  <mergeCells count="7">
    <mergeCell ref="Q60:R60"/>
    <mergeCell ref="Q61:R61"/>
    <mergeCell ref="B3:U3"/>
    <mergeCell ref="H30:K30"/>
    <mergeCell ref="M30:P30"/>
    <mergeCell ref="H11:K11"/>
    <mergeCell ref="M11:P11"/>
  </mergeCells>
  <pageMargins left="0.7" right="0.7" top="0.75" bottom="0.75" header="0.3" footer="0.3"/>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0CE7-6D58-4C2D-AB79-4DFEDA519788}">
  <sheetPr>
    <tabColor rgb="FFFFFF00"/>
    <pageSetUpPr fitToPage="1"/>
  </sheetPr>
  <dimension ref="B1:V30"/>
  <sheetViews>
    <sheetView view="pageBreakPreview" topLeftCell="A10" zoomScale="90" zoomScaleNormal="70" zoomScaleSheetLayoutView="90" workbookViewId="0">
      <selection activeCell="D19" sqref="D19"/>
    </sheetView>
  </sheetViews>
  <sheetFormatPr defaultColWidth="9.08984375" defaultRowHeight="14.5"/>
  <cols>
    <col min="1" max="1" width="2.08984375" style="89" customWidth="1"/>
    <col min="2" max="2" width="5.08984375" style="89" customWidth="1"/>
    <col min="3" max="3" width="20.08984375" style="89" customWidth="1"/>
    <col min="4" max="4" width="29.08984375" style="89" customWidth="1"/>
    <col min="5" max="5" width="13.54296875" style="89" customWidth="1"/>
    <col min="6" max="6" width="15.08984375" style="89" customWidth="1"/>
    <col min="7" max="7" width="10" style="89" customWidth="1"/>
    <col min="8" max="8" width="4.90625" style="89" customWidth="1"/>
    <col min="9" max="9" width="10.54296875" style="89" customWidth="1"/>
    <col min="10" max="10" width="9.90625" style="89" customWidth="1"/>
    <col min="11" max="11" width="8" style="89" customWidth="1"/>
    <col min="12" max="12" width="15.08984375" style="89" customWidth="1"/>
    <col min="13" max="13" width="4.90625" style="90" customWidth="1"/>
    <col min="14" max="14" width="10.54296875" style="89" customWidth="1"/>
    <col min="15" max="15" width="9.90625" style="89" customWidth="1"/>
    <col min="16" max="16" width="9" style="89" customWidth="1"/>
    <col min="17" max="17" width="13.54296875" style="496" customWidth="1"/>
    <col min="18" max="21" width="15" style="89" customWidth="1"/>
    <col min="22" max="22" width="15.90625" style="89" customWidth="1"/>
    <col min="23" max="16384" width="9.08984375" style="89"/>
  </cols>
  <sheetData>
    <row r="1" spans="2:22" hidden="1">
      <c r="Q1" s="89"/>
    </row>
    <row r="2" spans="2:22" ht="15.5" hidden="1">
      <c r="Q2" s="488"/>
      <c r="R2" s="214"/>
      <c r="S2" s="214"/>
      <c r="T2" s="214"/>
      <c r="U2" s="214"/>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79"/>
      <c r="R4" s="87"/>
      <c r="S4" s="87"/>
      <c r="T4" s="87"/>
      <c r="U4" s="87"/>
    </row>
    <row r="5" spans="2:22" hidden="1">
      <c r="B5" s="86" t="s">
        <v>167</v>
      </c>
      <c r="C5" s="88"/>
      <c r="D5" s="87" t="s">
        <v>168</v>
      </c>
      <c r="E5" s="88" t="s">
        <v>169</v>
      </c>
      <c r="F5" s="88"/>
      <c r="G5" s="216"/>
      <c r="H5" s="216"/>
      <c r="I5" s="216"/>
      <c r="J5" s="87"/>
      <c r="K5" s="87"/>
      <c r="L5" s="87"/>
      <c r="M5" s="217"/>
      <c r="N5" s="87"/>
      <c r="O5" s="87"/>
      <c r="P5" s="87"/>
      <c r="Q5" s="379"/>
      <c r="R5" s="87"/>
      <c r="S5" s="87"/>
      <c r="T5" s="87"/>
      <c r="U5" s="87"/>
    </row>
    <row r="6" spans="2:22" hidden="1">
      <c r="B6" s="86" t="s">
        <v>170</v>
      </c>
      <c r="C6" s="88"/>
      <c r="D6" s="87" t="s">
        <v>168</v>
      </c>
      <c r="E6" s="88" t="s">
        <v>171</v>
      </c>
      <c r="F6" s="88"/>
      <c r="G6" s="216"/>
      <c r="H6" s="216"/>
      <c r="I6" s="216"/>
      <c r="J6" s="87"/>
      <c r="K6" s="87"/>
      <c r="L6" s="87"/>
      <c r="M6" s="217"/>
      <c r="N6" s="87"/>
      <c r="O6" s="87"/>
      <c r="P6" s="87"/>
      <c r="Q6" s="379"/>
      <c r="R6" s="87"/>
      <c r="S6" s="87"/>
      <c r="T6" s="87"/>
      <c r="U6" s="87"/>
    </row>
    <row r="7" spans="2:22" hidden="1">
      <c r="B7" s="86" t="s">
        <v>172</v>
      </c>
      <c r="C7" s="88"/>
      <c r="D7" s="87" t="s">
        <v>168</v>
      </c>
      <c r="E7" s="88" t="s">
        <v>173</v>
      </c>
      <c r="F7" s="88"/>
      <c r="G7" s="216"/>
      <c r="H7" s="216"/>
      <c r="I7" s="216"/>
      <c r="J7" s="87"/>
      <c r="K7" s="87"/>
      <c r="L7" s="87"/>
      <c r="M7" s="217"/>
      <c r="N7" s="87"/>
      <c r="O7" s="87"/>
      <c r="P7" s="87"/>
      <c r="Q7" s="379"/>
      <c r="R7" s="87"/>
      <c r="S7" s="87"/>
    </row>
    <row r="8" spans="2:22" hidden="1">
      <c r="B8" s="86" t="s">
        <v>174</v>
      </c>
      <c r="C8" s="88"/>
      <c r="D8" s="87" t="s">
        <v>168</v>
      </c>
      <c r="E8" s="88" t="s">
        <v>175</v>
      </c>
      <c r="F8" s="88"/>
      <c r="G8" s="216"/>
      <c r="H8" s="216"/>
      <c r="I8" s="216"/>
      <c r="J8" s="87"/>
      <c r="K8" s="87"/>
      <c r="L8" s="87"/>
      <c r="M8" s="217"/>
      <c r="N8" s="87"/>
      <c r="O8" s="87"/>
      <c r="P8" s="87"/>
      <c r="Q8" s="379"/>
      <c r="R8" s="87"/>
      <c r="S8" s="87"/>
    </row>
    <row r="9" spans="2:22" hidden="1">
      <c r="B9" s="218"/>
      <c r="C9" s="219"/>
      <c r="D9" s="87"/>
      <c r="E9" s="87"/>
      <c r="F9" s="87"/>
      <c r="G9" s="87"/>
      <c r="H9" s="87"/>
      <c r="I9" s="87"/>
      <c r="J9" s="87"/>
      <c r="K9" s="87"/>
      <c r="L9" s="87"/>
      <c r="M9" s="217"/>
      <c r="N9" s="87"/>
      <c r="O9" s="87"/>
      <c r="P9" s="87"/>
      <c r="Q9" s="379"/>
      <c r="R9" s="87"/>
      <c r="S9" s="87"/>
    </row>
    <row r="10" spans="2:22" ht="15" thickBot="1">
      <c r="B10" s="242" t="s">
        <v>186</v>
      </c>
      <c r="P10" s="221"/>
      <c r="Q10" s="379"/>
      <c r="R10" s="87"/>
      <c r="S10" s="87"/>
      <c r="T10" s="380" t="s">
        <v>482</v>
      </c>
      <c r="U10" s="381" t="s">
        <v>483</v>
      </c>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382" t="s">
        <v>79</v>
      </c>
      <c r="R11" s="383" t="s">
        <v>115</v>
      </c>
      <c r="S11" s="91" t="s">
        <v>116</v>
      </c>
      <c r="T11" s="384" t="s">
        <v>117</v>
      </c>
      <c r="U11" s="385" t="s">
        <v>118</v>
      </c>
      <c r="V11" s="243" t="s">
        <v>176</v>
      </c>
    </row>
    <row r="12" spans="2:22" ht="15" thickBot="1">
      <c r="B12" s="94" t="s">
        <v>484</v>
      </c>
      <c r="C12" s="95"/>
      <c r="D12" s="95"/>
      <c r="E12" s="95"/>
      <c r="F12" s="95"/>
      <c r="G12" s="96"/>
      <c r="H12" s="97" t="s">
        <v>70</v>
      </c>
      <c r="I12" s="98" t="s">
        <v>83</v>
      </c>
      <c r="J12" s="98" t="s">
        <v>84</v>
      </c>
      <c r="K12" s="99" t="s">
        <v>85</v>
      </c>
      <c r="L12" s="100"/>
      <c r="M12" s="101" t="s">
        <v>70</v>
      </c>
      <c r="N12" s="98" t="s">
        <v>83</v>
      </c>
      <c r="O12" s="98" t="s">
        <v>84</v>
      </c>
      <c r="P12" s="99" t="s">
        <v>85</v>
      </c>
      <c r="Q12" s="386"/>
      <c r="R12" s="387"/>
      <c r="S12" s="102"/>
      <c r="T12" s="388"/>
      <c r="U12" s="389" t="s">
        <v>86</v>
      </c>
      <c r="V12" s="244"/>
    </row>
    <row r="13" spans="2:22">
      <c r="B13" s="103"/>
      <c r="C13" s="104"/>
      <c r="D13" s="104"/>
      <c r="E13" s="104"/>
      <c r="F13" s="105"/>
      <c r="G13" s="105"/>
      <c r="H13" s="103"/>
      <c r="I13" s="106"/>
      <c r="J13" s="106"/>
      <c r="K13" s="107"/>
      <c r="L13" s="108"/>
      <c r="M13" s="109"/>
      <c r="N13" s="104"/>
      <c r="O13" s="104"/>
      <c r="P13" s="107"/>
      <c r="Q13" s="489"/>
      <c r="R13" s="391"/>
      <c r="S13" s="227"/>
      <c r="T13" s="392"/>
      <c r="U13" s="393"/>
      <c r="V13" s="245"/>
    </row>
    <row r="14" spans="2:22">
      <c r="B14" s="115"/>
      <c r="C14" s="256"/>
      <c r="D14" s="111"/>
      <c r="E14" s="146"/>
      <c r="F14" s="147"/>
      <c r="G14" s="148"/>
      <c r="H14" s="149"/>
      <c r="I14"/>
      <c r="J14"/>
      <c r="K14" s="118"/>
      <c r="L14" s="119"/>
      <c r="M14" s="120"/>
      <c r="N14" s="121"/>
      <c r="O14" s="121"/>
      <c r="P14" s="122"/>
      <c r="Q14" s="364"/>
      <c r="R14" s="361"/>
      <c r="S14" s="231"/>
      <c r="T14" s="362"/>
      <c r="U14" s="363"/>
      <c r="V14" s="245"/>
    </row>
    <row r="15" spans="2:22">
      <c r="B15" s="115">
        <v>1</v>
      </c>
      <c r="C15" s="153" t="s">
        <v>485</v>
      </c>
      <c r="D15" s="490" t="s">
        <v>486</v>
      </c>
      <c r="E15" s="491" t="s">
        <v>487</v>
      </c>
      <c r="F15" s="492" t="s">
        <v>343</v>
      </c>
      <c r="G15" s="148"/>
      <c r="H15" s="149">
        <v>1</v>
      </c>
      <c r="I15" s="151">
        <v>21.265999999999998</v>
      </c>
      <c r="J15" s="151">
        <v>5.45</v>
      </c>
      <c r="K15" s="118">
        <f>H15*I15*J15</f>
        <v>115.8997</v>
      </c>
      <c r="L15" s="119"/>
      <c r="M15" s="120">
        <v>0</v>
      </c>
      <c r="N15" s="121">
        <v>0</v>
      </c>
      <c r="O15" s="121">
        <v>0</v>
      </c>
      <c r="P15" s="122">
        <v>0</v>
      </c>
      <c r="Q15" s="210">
        <f>K15-P15</f>
        <v>115.8997</v>
      </c>
      <c r="R15" s="230">
        <v>0.9</v>
      </c>
      <c r="S15" s="327">
        <f>Q15*R15</f>
        <v>104.30973</v>
      </c>
      <c r="T15" s="447">
        <v>104.30973</v>
      </c>
      <c r="U15" s="448">
        <f>S15-T15</f>
        <v>0</v>
      </c>
      <c r="V15" s="245"/>
    </row>
    <row r="16" spans="2:22">
      <c r="B16" s="115"/>
      <c r="C16" s="493" t="s">
        <v>546</v>
      </c>
      <c r="D16" s="111"/>
      <c r="E16" s="146"/>
      <c r="F16" s="147"/>
      <c r="G16" s="148"/>
      <c r="H16" s="149"/>
      <c r="I16" s="151"/>
      <c r="J16" s="116"/>
      <c r="K16" s="118"/>
      <c r="L16" s="119"/>
      <c r="M16" s="120"/>
      <c r="N16" s="121"/>
      <c r="O16" s="121"/>
      <c r="P16" s="122"/>
      <c r="Q16" s="487"/>
      <c r="R16" s="361"/>
      <c r="S16" s="231"/>
      <c r="T16" s="362"/>
      <c r="U16" s="363"/>
      <c r="V16" s="245"/>
    </row>
    <row r="17" spans="2:22">
      <c r="B17" s="115"/>
      <c r="C17" s="152"/>
      <c r="D17" s="123"/>
      <c r="E17" s="112"/>
      <c r="F17" s="113"/>
      <c r="G17" s="114"/>
      <c r="H17" s="115"/>
      <c r="I17" s="116"/>
      <c r="J17" s="116"/>
      <c r="K17" s="118"/>
      <c r="L17" s="119"/>
      <c r="M17" s="120"/>
      <c r="N17" s="121"/>
      <c r="O17" s="121"/>
      <c r="P17" s="122"/>
      <c r="Q17" s="487"/>
      <c r="R17" s="361"/>
      <c r="S17" s="231"/>
      <c r="T17" s="362"/>
      <c r="U17" s="363"/>
      <c r="V17" s="245"/>
    </row>
    <row r="18" spans="2:22">
      <c r="B18" s="115"/>
      <c r="C18" s="150"/>
      <c r="D18" s="111"/>
      <c r="E18" s="112"/>
      <c r="F18" s="113"/>
      <c r="G18" s="114"/>
      <c r="H18" s="115"/>
      <c r="I18" s="116"/>
      <c r="J18" s="117"/>
      <c r="K18" s="118"/>
      <c r="L18" s="119"/>
      <c r="M18" s="120"/>
      <c r="N18" s="121"/>
      <c r="O18" s="121"/>
      <c r="P18" s="122"/>
      <c r="Q18" s="487"/>
      <c r="R18" s="431"/>
      <c r="S18" s="231"/>
      <c r="T18" s="362"/>
      <c r="U18" s="448"/>
      <c r="V18" s="245"/>
    </row>
    <row r="19" spans="2:22">
      <c r="B19" s="115"/>
      <c r="C19" s="150"/>
      <c r="D19" s="111"/>
      <c r="E19" s="111"/>
      <c r="F19" s="113"/>
      <c r="G19" s="114"/>
      <c r="H19" s="115"/>
      <c r="I19" s="116"/>
      <c r="J19" s="117"/>
      <c r="K19" s="118"/>
      <c r="L19" s="119"/>
      <c r="M19" s="120"/>
      <c r="N19" s="121"/>
      <c r="O19" s="121"/>
      <c r="P19" s="122"/>
      <c r="Q19" s="487"/>
      <c r="R19" s="431"/>
      <c r="S19" s="231"/>
      <c r="T19" s="362"/>
      <c r="U19" s="363"/>
      <c r="V19" s="245"/>
    </row>
    <row r="20" spans="2:22">
      <c r="B20" s="115"/>
      <c r="C20" s="150"/>
      <c r="D20" s="111"/>
      <c r="E20" s="111"/>
      <c r="F20" s="113"/>
      <c r="G20" s="114"/>
      <c r="H20" s="115"/>
      <c r="I20" s="116"/>
      <c r="J20" s="117"/>
      <c r="K20" s="118"/>
      <c r="L20" s="119"/>
      <c r="M20" s="120"/>
      <c r="N20" s="121"/>
      <c r="O20" s="121"/>
      <c r="P20" s="122"/>
      <c r="Q20" s="487"/>
      <c r="R20" s="431"/>
      <c r="S20" s="231"/>
      <c r="T20" s="362"/>
      <c r="U20" s="363"/>
      <c r="V20" s="245"/>
    </row>
    <row r="21" spans="2:22">
      <c r="B21" s="316"/>
      <c r="C21" s="150"/>
      <c r="D21" s="111"/>
      <c r="E21" s="112"/>
      <c r="F21" s="113"/>
      <c r="G21" s="114"/>
      <c r="H21" s="115"/>
      <c r="I21" s="116"/>
      <c r="J21" s="117"/>
      <c r="K21" s="118"/>
      <c r="L21" s="119"/>
      <c r="M21" s="120"/>
      <c r="N21" s="121"/>
      <c r="O21" s="121"/>
      <c r="P21" s="122"/>
      <c r="Q21" s="487"/>
      <c r="R21" s="431"/>
      <c r="S21" s="231"/>
      <c r="T21" s="362"/>
      <c r="U21" s="448"/>
      <c r="V21" s="245"/>
    </row>
    <row r="22" spans="2:22">
      <c r="B22" s="115"/>
      <c r="C22" s="150"/>
      <c r="D22" s="111"/>
      <c r="E22" s="111"/>
      <c r="F22" s="113"/>
      <c r="G22" s="114"/>
      <c r="H22" s="115"/>
      <c r="I22" s="116"/>
      <c r="J22" s="117"/>
      <c r="K22" s="118"/>
      <c r="L22" s="119"/>
      <c r="M22" s="120"/>
      <c r="N22" s="121"/>
      <c r="O22" s="121"/>
      <c r="P22" s="122"/>
      <c r="Q22" s="487"/>
      <c r="R22" s="527"/>
      <c r="S22" s="231"/>
      <c r="T22" s="362"/>
      <c r="U22" s="448"/>
      <c r="V22" s="245"/>
    </row>
    <row r="23" spans="2:22">
      <c r="B23" s="115"/>
      <c r="C23" s="150"/>
      <c r="D23" s="123"/>
      <c r="E23" s="111"/>
      <c r="F23" s="113"/>
      <c r="G23" s="114"/>
      <c r="H23" s="115"/>
      <c r="I23" s="116"/>
      <c r="J23" s="117"/>
      <c r="K23" s="118"/>
      <c r="L23" s="119"/>
      <c r="M23" s="120"/>
      <c r="N23" s="121"/>
      <c r="O23" s="121"/>
      <c r="P23" s="122"/>
      <c r="Q23" s="487"/>
      <c r="R23" s="431"/>
      <c r="S23" s="231"/>
      <c r="T23" s="362"/>
      <c r="U23" s="448"/>
      <c r="V23" s="245"/>
    </row>
    <row r="24" spans="2:22">
      <c r="B24" s="264"/>
      <c r="C24" s="153"/>
      <c r="D24" s="111"/>
      <c r="E24" s="146"/>
      <c r="F24" s="113"/>
      <c r="G24" s="148"/>
      <c r="H24" s="149"/>
      <c r="I24" s="151"/>
      <c r="J24" s="117"/>
      <c r="K24" s="118"/>
      <c r="L24" s="154"/>
      <c r="M24" s="120"/>
      <c r="N24" s="121"/>
      <c r="O24" s="121"/>
      <c r="P24" s="122"/>
      <c r="Q24" s="487"/>
      <c r="R24" s="431"/>
      <c r="S24" s="231"/>
      <c r="T24" s="362"/>
      <c r="U24" s="448"/>
      <c r="V24" s="245"/>
    </row>
    <row r="25" spans="2:22">
      <c r="B25" s="149"/>
      <c r="C25" s="150"/>
      <c r="D25" s="146"/>
      <c r="E25" s="146"/>
      <c r="F25" s="147"/>
      <c r="G25" s="148"/>
      <c r="H25" s="149"/>
      <c r="I25" s="151"/>
      <c r="J25" s="116"/>
      <c r="K25" s="118"/>
      <c r="L25" s="155"/>
      <c r="M25" s="120"/>
      <c r="N25" s="121"/>
      <c r="O25" s="121"/>
      <c r="P25" s="122"/>
      <c r="Q25" s="487"/>
      <c r="R25" s="431"/>
      <c r="S25" s="231"/>
      <c r="T25" s="362"/>
      <c r="U25" s="448"/>
      <c r="V25" s="245"/>
    </row>
    <row r="26" spans="2:22">
      <c r="B26" s="115"/>
      <c r="C26" s="150"/>
      <c r="D26" s="111"/>
      <c r="E26" s="112"/>
      <c r="F26" s="113"/>
      <c r="G26" s="114"/>
      <c r="H26" s="115"/>
      <c r="I26" s="116"/>
      <c r="J26" s="117"/>
      <c r="K26" s="118"/>
      <c r="L26" s="119"/>
      <c r="M26" s="120"/>
      <c r="N26" s="121"/>
      <c r="O26" s="121"/>
      <c r="P26" s="122"/>
      <c r="Q26" s="487"/>
      <c r="R26" s="431"/>
      <c r="S26" s="231"/>
      <c r="T26" s="362"/>
      <c r="U26" s="448"/>
      <c r="V26" s="245"/>
    </row>
    <row r="27" spans="2:22">
      <c r="B27" s="149"/>
      <c r="C27" s="153"/>
      <c r="D27" s="111"/>
      <c r="E27" s="156"/>
      <c r="F27" s="113"/>
      <c r="G27" s="148"/>
      <c r="H27" s="149"/>
      <c r="I27" s="151"/>
      <c r="J27" s="116"/>
      <c r="K27" s="157"/>
      <c r="L27" s="155"/>
      <c r="M27" s="158"/>
      <c r="N27" s="159"/>
      <c r="O27" s="159"/>
      <c r="P27" s="160"/>
      <c r="Q27" s="364"/>
      <c r="R27" s="365"/>
      <c r="S27" s="231"/>
      <c r="T27" s="362"/>
      <c r="U27" s="363"/>
      <c r="V27" s="245"/>
    </row>
    <row r="28" spans="2:22">
      <c r="B28" s="149"/>
      <c r="C28" s="150"/>
      <c r="D28" s="146"/>
      <c r="E28" s="156"/>
      <c r="F28" s="147"/>
      <c r="G28" s="148"/>
      <c r="H28" s="149"/>
      <c r="I28" s="151"/>
      <c r="J28" s="161"/>
      <c r="K28" s="162"/>
      <c r="M28" s="163"/>
      <c r="N28" s="164"/>
      <c r="O28" s="164"/>
      <c r="P28" s="165"/>
      <c r="Q28" s="494"/>
      <c r="R28" s="395"/>
      <c r="S28" s="236"/>
      <c r="T28" s="396"/>
      <c r="U28" s="397"/>
      <c r="V28" s="245"/>
    </row>
    <row r="29" spans="2:22" ht="15" thickBot="1">
      <c r="B29" s="129"/>
      <c r="C29" s="238"/>
      <c r="D29" s="126"/>
      <c r="E29" s="126"/>
      <c r="F29" s="127"/>
      <c r="G29" s="128"/>
      <c r="H29" s="129"/>
      <c r="I29" s="130"/>
      <c r="J29" s="130"/>
      <c r="K29" s="131"/>
      <c r="L29" s="132"/>
      <c r="M29" s="133"/>
      <c r="N29" s="134"/>
      <c r="O29" s="134"/>
      <c r="P29" s="135"/>
      <c r="Q29" s="495"/>
      <c r="R29" s="399"/>
      <c r="S29" s="197"/>
      <c r="T29" s="400"/>
      <c r="U29" s="401"/>
      <c r="V29" s="247"/>
    </row>
    <row r="30" spans="2:22">
      <c r="K30" s="136"/>
      <c r="N30" s="136"/>
      <c r="O30" s="136"/>
      <c r="P30" s="136" t="s">
        <v>37</v>
      </c>
      <c r="Q30" s="137">
        <f>SUM(Q10:Q29)</f>
        <v>115.8997</v>
      </c>
      <c r="R30" s="137"/>
      <c r="S30" s="137">
        <f>SUM(S10:S29)</f>
        <v>104.30973</v>
      </c>
      <c r="T30" s="137">
        <f>SUM(T10:T29)</f>
        <v>104.30973</v>
      </c>
      <c r="U30" s="137">
        <f>SUM(U10:U29)</f>
        <v>0</v>
      </c>
      <c r="V30" s="248"/>
    </row>
  </sheetData>
  <mergeCells count="3">
    <mergeCell ref="B3:U3"/>
    <mergeCell ref="H11:K11"/>
    <mergeCell ref="M11:P11"/>
  </mergeCells>
  <pageMargins left="0.7" right="0.7" top="0.75" bottom="0.75"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4681-AF6E-4ACD-9F7D-3D53FAFD152C}">
  <sheetPr>
    <tabColor rgb="FFFFFF00"/>
    <pageSetUpPr fitToPage="1"/>
  </sheetPr>
  <dimension ref="B1:V41"/>
  <sheetViews>
    <sheetView view="pageBreakPreview" topLeftCell="A10" zoomScale="80" zoomScaleNormal="70" zoomScaleSheetLayoutView="80" workbookViewId="0">
      <selection activeCell="R27" sqref="R27"/>
    </sheetView>
  </sheetViews>
  <sheetFormatPr defaultColWidth="9.1796875" defaultRowHeight="14.5"/>
  <cols>
    <col min="1" max="1" width="2.1796875" style="89" customWidth="1"/>
    <col min="2" max="2" width="5.1796875" style="89" customWidth="1"/>
    <col min="3" max="3" width="45.26953125" style="89" customWidth="1"/>
    <col min="4" max="4" width="29.1796875" style="89" customWidth="1"/>
    <col min="5" max="5" width="13.54296875" style="89" customWidth="1"/>
    <col min="6" max="6" width="15.1796875" style="89" customWidth="1"/>
    <col min="7" max="7" width="10" style="89" customWidth="1"/>
    <col min="8" max="8" width="4.81640625" style="89" bestFit="1" customWidth="1"/>
    <col min="9" max="9" width="10.54296875" style="89" customWidth="1"/>
    <col min="10" max="10" width="9.81640625" style="89" customWidth="1"/>
    <col min="11" max="11" width="8" style="89" customWidth="1"/>
    <col min="12" max="12" width="15.1796875" style="89" customWidth="1"/>
    <col min="13" max="13" width="4.81640625" style="90" customWidth="1"/>
    <col min="14" max="14" width="10.54296875" style="89" customWidth="1"/>
    <col min="15" max="15" width="9.81640625" style="89" customWidth="1"/>
    <col min="16" max="16" width="9" style="89" customWidth="1"/>
    <col min="17" max="17" width="13.54296875" style="136" customWidth="1"/>
    <col min="18" max="18" width="15" style="89" customWidth="1"/>
    <col min="19" max="21" width="15" style="136" customWidth="1"/>
    <col min="22" max="22" width="15.81640625" style="89" customWidth="1"/>
    <col min="23" max="16384" width="9.17968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42" t="str">
        <f>'Progress Bill'!B19</f>
        <v>EIFS System with TERRACO finishes (TERRACO acid wash finishes) with Built-up 200mm</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243" t="s">
        <v>176</v>
      </c>
    </row>
    <row r="12" spans="2:22" ht="15" thickBot="1">
      <c r="B12" s="94" t="s">
        <v>265</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244"/>
    </row>
    <row r="13" spans="2:22">
      <c r="B13" s="103"/>
      <c r="C13" s="104"/>
      <c r="D13" s="104"/>
      <c r="E13" s="104"/>
      <c r="F13" s="105"/>
      <c r="G13" s="105"/>
      <c r="H13" s="103"/>
      <c r="I13" s="106"/>
      <c r="J13" s="106"/>
      <c r="K13" s="107"/>
      <c r="L13" s="108"/>
      <c r="M13" s="109"/>
      <c r="N13" s="104"/>
      <c r="O13" s="104"/>
      <c r="P13" s="107"/>
      <c r="Q13" s="186"/>
      <c r="R13" s="226"/>
      <c r="S13" s="227"/>
      <c r="T13" s="228"/>
      <c r="U13" s="351"/>
      <c r="V13" s="245"/>
    </row>
    <row r="14" spans="2:22">
      <c r="B14" s="115"/>
      <c r="C14" s="256"/>
      <c r="D14" s="111"/>
      <c r="E14" s="146"/>
      <c r="F14" s="147"/>
      <c r="G14" s="148"/>
      <c r="H14" s="149"/>
      <c r="I14"/>
      <c r="J14"/>
      <c r="K14" s="118"/>
      <c r="L14" s="119"/>
      <c r="M14" s="120"/>
      <c r="N14" s="121"/>
      <c r="O14" s="121"/>
      <c r="P14" s="122"/>
      <c r="Q14" s="324"/>
      <c r="R14" s="230"/>
      <c r="S14" s="327"/>
      <c r="T14" s="332"/>
      <c r="U14" s="315"/>
      <c r="V14" s="245"/>
    </row>
    <row r="15" spans="2:22">
      <c r="B15" s="115">
        <v>1</v>
      </c>
      <c r="C15" s="153" t="s">
        <v>272</v>
      </c>
      <c r="D15" s="111" t="s">
        <v>127</v>
      </c>
      <c r="E15" s="146" t="s">
        <v>128</v>
      </c>
      <c r="F15" s="147" t="s">
        <v>129</v>
      </c>
      <c r="G15" s="148"/>
      <c r="H15" s="149">
        <v>1</v>
      </c>
      <c r="I15" s="151">
        <v>21.97</v>
      </c>
      <c r="J15" s="151">
        <v>9.92</v>
      </c>
      <c r="K15" s="118">
        <f>H15*I15*J15</f>
        <v>217.94239999999999</v>
      </c>
      <c r="L15" s="119"/>
      <c r="M15" s="120">
        <v>0</v>
      </c>
      <c r="N15" s="121">
        <v>0</v>
      </c>
      <c r="O15" s="121">
        <v>0</v>
      </c>
      <c r="P15" s="122">
        <v>0</v>
      </c>
      <c r="Q15" s="210">
        <f>K15-P15</f>
        <v>217.94239999999999</v>
      </c>
      <c r="R15" s="230">
        <v>0.1</v>
      </c>
      <c r="S15" s="327">
        <f>Q15*R15</f>
        <v>21.794240000000002</v>
      </c>
      <c r="T15" s="332">
        <v>21.794240000000002</v>
      </c>
      <c r="U15" s="315">
        <f>S15-T15</f>
        <v>0</v>
      </c>
      <c r="V15" s="245"/>
    </row>
    <row r="16" spans="2:22">
      <c r="B16" s="115"/>
      <c r="C16" s="150" t="s">
        <v>273</v>
      </c>
      <c r="D16" s="111"/>
      <c r="E16" s="146"/>
      <c r="F16" s="147"/>
      <c r="G16" s="148"/>
      <c r="H16" s="149"/>
      <c r="I16" s="151"/>
      <c r="J16" s="116"/>
      <c r="K16" s="118"/>
      <c r="L16" s="119"/>
      <c r="M16" s="120"/>
      <c r="N16" s="121"/>
      <c r="O16" s="121"/>
      <c r="P16" s="122"/>
      <c r="Q16" s="210"/>
      <c r="R16" s="230"/>
      <c r="S16" s="327"/>
      <c r="T16" s="332"/>
      <c r="U16" s="315"/>
      <c r="V16" s="245"/>
    </row>
    <row r="17" spans="2:22">
      <c r="B17" s="115"/>
      <c r="C17" s="152"/>
      <c r="D17" s="123"/>
      <c r="E17" s="112"/>
      <c r="F17" s="113"/>
      <c r="G17" s="114"/>
      <c r="H17" s="115"/>
      <c r="I17" s="116"/>
      <c r="J17" s="116"/>
      <c r="K17" s="118"/>
      <c r="L17" s="119"/>
      <c r="M17" s="120"/>
      <c r="N17" s="121"/>
      <c r="O17" s="121"/>
      <c r="P17" s="122"/>
      <c r="Q17" s="210"/>
      <c r="R17" s="230"/>
      <c r="S17" s="327"/>
      <c r="T17" s="332"/>
      <c r="U17" s="315"/>
      <c r="V17" s="245"/>
    </row>
    <row r="18" spans="2:22">
      <c r="B18" s="115">
        <v>2</v>
      </c>
      <c r="C18" s="150" t="s">
        <v>274</v>
      </c>
      <c r="D18" s="111" t="s">
        <v>184</v>
      </c>
      <c r="E18" s="112" t="s">
        <v>275</v>
      </c>
      <c r="F18" s="113" t="s">
        <v>276</v>
      </c>
      <c r="G18" s="114"/>
      <c r="H18" s="115">
        <v>1</v>
      </c>
      <c r="I18" s="116">
        <v>4.6130000000000004</v>
      </c>
      <c r="J18" s="117">
        <v>5.2750000000000004</v>
      </c>
      <c r="K18" s="118">
        <f t="shared" ref="K18" si="0">H18*I18*J18</f>
        <v>24.333575000000003</v>
      </c>
      <c r="L18" s="119"/>
      <c r="M18" s="120">
        <v>1</v>
      </c>
      <c r="N18" s="121">
        <v>0.9</v>
      </c>
      <c r="O18" s="121">
        <v>1.8</v>
      </c>
      <c r="P18" s="122">
        <f>O18*N18*M18</f>
        <v>1.62</v>
      </c>
      <c r="Q18" s="210">
        <f t="shared" ref="Q18:Q24" si="1">K18-P18</f>
        <v>22.713575000000002</v>
      </c>
      <c r="R18" s="246">
        <v>1</v>
      </c>
      <c r="S18" s="327">
        <f t="shared" ref="S18:S24" si="2">Q18*R18</f>
        <v>22.713575000000002</v>
      </c>
      <c r="T18" s="332">
        <v>22.713575000000002</v>
      </c>
      <c r="U18" s="315">
        <f t="shared" ref="U18:U24" si="3">S18-T18</f>
        <v>0</v>
      </c>
      <c r="V18" s="245"/>
    </row>
    <row r="19" spans="2:22">
      <c r="B19" s="115"/>
      <c r="C19" s="150" t="s">
        <v>277</v>
      </c>
      <c r="D19" s="111"/>
      <c r="E19" s="111"/>
      <c r="F19" s="113"/>
      <c r="G19" s="114"/>
      <c r="H19" s="115"/>
      <c r="I19" s="116"/>
      <c r="J19" s="117"/>
      <c r="K19" s="118"/>
      <c r="L19" s="119"/>
      <c r="M19" s="120"/>
      <c r="N19" s="121"/>
      <c r="O19" s="121"/>
      <c r="P19" s="122"/>
      <c r="Q19" s="210"/>
      <c r="R19" s="246"/>
      <c r="S19" s="327"/>
      <c r="T19" s="332"/>
      <c r="U19" s="315"/>
      <c r="V19" s="245"/>
    </row>
    <row r="20" spans="2:22">
      <c r="B20" s="115"/>
      <c r="C20" s="150"/>
      <c r="D20" s="111"/>
      <c r="E20" s="111"/>
      <c r="F20" s="113"/>
      <c r="G20" s="114"/>
      <c r="H20" s="115"/>
      <c r="I20" s="116"/>
      <c r="J20" s="117"/>
      <c r="K20" s="118"/>
      <c r="L20" s="119"/>
      <c r="M20" s="120"/>
      <c r="N20" s="121"/>
      <c r="O20" s="121"/>
      <c r="P20" s="122"/>
      <c r="Q20" s="210"/>
      <c r="R20" s="246"/>
      <c r="S20" s="327"/>
      <c r="T20" s="332"/>
      <c r="U20" s="315"/>
      <c r="V20" s="245"/>
    </row>
    <row r="21" spans="2:22">
      <c r="B21" s="316">
        <v>2.1</v>
      </c>
      <c r="C21" s="150" t="s">
        <v>278</v>
      </c>
      <c r="D21" s="111" t="s">
        <v>184</v>
      </c>
      <c r="E21" s="112" t="s">
        <v>275</v>
      </c>
      <c r="F21" s="113" t="s">
        <v>276</v>
      </c>
      <c r="G21" s="114"/>
      <c r="H21" s="115">
        <v>1</v>
      </c>
      <c r="I21" s="116">
        <v>5.3120000000000003</v>
      </c>
      <c r="J21" s="117">
        <v>5.2750000000000004</v>
      </c>
      <c r="K21" s="118">
        <f t="shared" ref="K21" si="4">H21*I21*J21</f>
        <v>28.020800000000005</v>
      </c>
      <c r="L21" s="119"/>
      <c r="M21" s="120">
        <v>1</v>
      </c>
      <c r="N21" s="121">
        <v>1.1000000000000001</v>
      </c>
      <c r="O21" s="121">
        <v>1.8</v>
      </c>
      <c r="P21" s="122">
        <f>O21*N21*M21</f>
        <v>1.9800000000000002</v>
      </c>
      <c r="Q21" s="210">
        <f t="shared" si="1"/>
        <v>26.040800000000004</v>
      </c>
      <c r="R21" s="246">
        <v>1</v>
      </c>
      <c r="S21" s="327">
        <f t="shared" si="2"/>
        <v>26.040800000000004</v>
      </c>
      <c r="T21" s="332">
        <v>26.040800000000004</v>
      </c>
      <c r="U21" s="315">
        <f t="shared" si="3"/>
        <v>0</v>
      </c>
      <c r="V21" s="245"/>
    </row>
    <row r="22" spans="2:22">
      <c r="B22" s="115"/>
      <c r="C22" s="150" t="s">
        <v>279</v>
      </c>
      <c r="D22" s="111"/>
      <c r="E22" s="111"/>
      <c r="F22" s="113"/>
      <c r="G22" s="114"/>
      <c r="H22" s="115"/>
      <c r="I22" s="116"/>
      <c r="J22" s="117"/>
      <c r="K22" s="118"/>
      <c r="L22" s="119"/>
      <c r="M22" s="120"/>
      <c r="N22" s="121"/>
      <c r="O22" s="121"/>
      <c r="P22" s="122"/>
      <c r="Q22" s="210"/>
      <c r="R22" s="246"/>
      <c r="S22" s="327"/>
      <c r="T22" s="332"/>
      <c r="U22" s="315"/>
      <c r="V22" s="245"/>
    </row>
    <row r="23" spans="2:22">
      <c r="B23" s="115"/>
      <c r="C23" s="150"/>
      <c r="D23" s="123"/>
      <c r="E23" s="111"/>
      <c r="F23" s="113"/>
      <c r="G23" s="114"/>
      <c r="H23" s="115"/>
      <c r="I23" s="116"/>
      <c r="J23" s="117"/>
      <c r="K23" s="118"/>
      <c r="L23" s="119"/>
      <c r="M23" s="120"/>
      <c r="N23" s="121"/>
      <c r="O23" s="121"/>
      <c r="P23" s="122"/>
      <c r="Q23" s="210"/>
      <c r="R23" s="246"/>
      <c r="S23" s="327"/>
      <c r="T23" s="332"/>
      <c r="U23" s="315"/>
      <c r="V23" s="245"/>
    </row>
    <row r="24" spans="2:22">
      <c r="B24" s="264">
        <v>3</v>
      </c>
      <c r="C24" s="153" t="s">
        <v>280</v>
      </c>
      <c r="D24" s="111" t="s">
        <v>281</v>
      </c>
      <c r="E24" s="146" t="s">
        <v>282</v>
      </c>
      <c r="F24" s="113" t="s">
        <v>124</v>
      </c>
      <c r="G24" s="148"/>
      <c r="H24" s="149">
        <v>1</v>
      </c>
      <c r="I24" s="151">
        <v>5.58</v>
      </c>
      <c r="J24" s="117">
        <v>5.2750000000000004</v>
      </c>
      <c r="K24" s="118">
        <f>H24*I24*J24</f>
        <v>29.434500000000003</v>
      </c>
      <c r="L24" s="154"/>
      <c r="M24" s="120">
        <v>0</v>
      </c>
      <c r="N24" s="121">
        <v>0</v>
      </c>
      <c r="O24" s="121">
        <v>0</v>
      </c>
      <c r="P24" s="122">
        <v>0</v>
      </c>
      <c r="Q24" s="210">
        <f t="shared" si="1"/>
        <v>29.434500000000003</v>
      </c>
      <c r="R24" s="246">
        <v>0.7</v>
      </c>
      <c r="S24" s="327">
        <f t="shared" si="2"/>
        <v>20.604150000000001</v>
      </c>
      <c r="T24" s="332">
        <v>20.604150000000001</v>
      </c>
      <c r="U24" s="315">
        <f t="shared" si="3"/>
        <v>0</v>
      </c>
      <c r="V24" s="245"/>
    </row>
    <row r="25" spans="2:22">
      <c r="B25" s="149"/>
      <c r="C25" s="150" t="s">
        <v>283</v>
      </c>
      <c r="D25" s="146"/>
      <c r="E25" s="146"/>
      <c r="F25" s="147"/>
      <c r="G25" s="148"/>
      <c r="H25" s="149"/>
      <c r="I25" s="151"/>
      <c r="J25" s="116"/>
      <c r="K25" s="118"/>
      <c r="L25" s="155"/>
      <c r="M25" s="120"/>
      <c r="N25" s="121"/>
      <c r="O25" s="121"/>
      <c r="P25" s="122"/>
      <c r="Q25" s="210"/>
      <c r="R25" s="246"/>
      <c r="S25" s="327"/>
      <c r="T25" s="332"/>
      <c r="U25" s="315"/>
      <c r="V25" s="245"/>
    </row>
    <row r="26" spans="2:22">
      <c r="B26" s="115"/>
      <c r="C26" s="150"/>
      <c r="D26" s="111"/>
      <c r="E26" s="112"/>
      <c r="F26" s="113"/>
      <c r="G26" s="114"/>
      <c r="H26" s="115"/>
      <c r="I26" s="116"/>
      <c r="J26" s="117"/>
      <c r="K26" s="118"/>
      <c r="L26" s="119"/>
      <c r="M26" s="120"/>
      <c r="N26" s="121"/>
      <c r="O26" s="121"/>
      <c r="P26" s="122"/>
      <c r="Q26" s="517"/>
      <c r="R26" s="246"/>
      <c r="S26" s="327"/>
      <c r="T26" s="332"/>
      <c r="U26" s="315"/>
      <c r="V26" s="245"/>
    </row>
    <row r="27" spans="2:22">
      <c r="B27" s="149">
        <v>4</v>
      </c>
      <c r="C27" s="512" t="s">
        <v>549</v>
      </c>
      <c r="D27" s="111" t="s">
        <v>489</v>
      </c>
      <c r="E27" s="156"/>
      <c r="F27" s="113"/>
      <c r="G27" s="148"/>
      <c r="H27" s="149">
        <v>1</v>
      </c>
      <c r="I27" s="151">
        <v>21.779</v>
      </c>
      <c r="J27" s="116">
        <v>3.7</v>
      </c>
      <c r="K27" s="118">
        <f t="shared" ref="K27:K29" si="5">H27*I27*J27</f>
        <v>80.582300000000004</v>
      </c>
      <c r="L27" s="155"/>
      <c r="M27" s="158">
        <v>0</v>
      </c>
      <c r="N27" s="159">
        <v>0</v>
      </c>
      <c r="O27" s="159">
        <v>0</v>
      </c>
      <c r="P27" s="160">
        <v>0</v>
      </c>
      <c r="Q27" s="517">
        <f t="shared" ref="Q27:Q29" si="6">K27-P27</f>
        <v>80.582300000000004</v>
      </c>
      <c r="R27" s="541">
        <v>0.85</v>
      </c>
      <c r="S27" s="327">
        <f t="shared" ref="S27:S29" si="7">Q27*R27</f>
        <v>68.494955000000004</v>
      </c>
      <c r="T27" s="332">
        <v>68.494955000000004</v>
      </c>
      <c r="U27" s="315">
        <f t="shared" ref="U27:U29" si="8">S27-T27</f>
        <v>0</v>
      </c>
      <c r="V27" s="245"/>
    </row>
    <row r="28" spans="2:22">
      <c r="B28" s="149"/>
      <c r="C28" s="150" t="s">
        <v>550</v>
      </c>
      <c r="D28" s="146"/>
      <c r="E28" s="156"/>
      <c r="F28" s="147"/>
      <c r="G28" s="148"/>
      <c r="H28" s="149">
        <v>1</v>
      </c>
      <c r="I28" s="151">
        <v>8.69</v>
      </c>
      <c r="J28" s="161">
        <v>2.83</v>
      </c>
      <c r="K28" s="118">
        <f t="shared" si="5"/>
        <v>24.592700000000001</v>
      </c>
      <c r="L28" s="155"/>
      <c r="M28" s="158">
        <v>0</v>
      </c>
      <c r="N28" s="159">
        <v>0</v>
      </c>
      <c r="O28" s="159">
        <v>0</v>
      </c>
      <c r="P28" s="160">
        <v>0</v>
      </c>
      <c r="Q28" s="517">
        <f t="shared" si="6"/>
        <v>24.592700000000001</v>
      </c>
      <c r="R28" s="246">
        <v>0.85</v>
      </c>
      <c r="S28" s="327">
        <f t="shared" si="7"/>
        <v>20.903794999999999</v>
      </c>
      <c r="T28" s="332">
        <v>20.903794999999999</v>
      </c>
      <c r="U28" s="315">
        <f t="shared" si="8"/>
        <v>0</v>
      </c>
      <c r="V28" s="245"/>
    </row>
    <row r="29" spans="2:22" ht="15" thickBot="1">
      <c r="B29" s="149"/>
      <c r="C29" s="153"/>
      <c r="D29" s="146"/>
      <c r="E29" s="156"/>
      <c r="F29" s="147"/>
      <c r="G29" s="148"/>
      <c r="H29" s="149">
        <v>1</v>
      </c>
      <c r="I29" s="151">
        <v>8.69</v>
      </c>
      <c r="J29" s="130">
        <v>4.38</v>
      </c>
      <c r="K29" s="118">
        <f t="shared" si="5"/>
        <v>38.062199999999997</v>
      </c>
      <c r="L29" s="155"/>
      <c r="M29" s="158">
        <v>0</v>
      </c>
      <c r="N29" s="159">
        <v>0</v>
      </c>
      <c r="O29" s="159">
        <v>0</v>
      </c>
      <c r="P29" s="160">
        <v>0</v>
      </c>
      <c r="Q29" s="517">
        <f t="shared" si="6"/>
        <v>38.062199999999997</v>
      </c>
      <c r="R29" s="246">
        <v>0.85</v>
      </c>
      <c r="S29" s="327">
        <f t="shared" si="7"/>
        <v>32.352869999999996</v>
      </c>
      <c r="T29" s="332">
        <v>32.352869999999996</v>
      </c>
      <c r="U29" s="315">
        <f t="shared" si="8"/>
        <v>0</v>
      </c>
      <c r="V29" s="245"/>
    </row>
    <row r="30" spans="2:22">
      <c r="B30" s="149"/>
      <c r="C30" s="153"/>
      <c r="D30" s="111"/>
      <c r="E30" s="156"/>
      <c r="F30" s="113"/>
      <c r="G30" s="148"/>
      <c r="H30" s="149"/>
      <c r="I30" s="151"/>
      <c r="J30" s="116"/>
      <c r="K30" s="157"/>
      <c r="L30" s="155"/>
      <c r="M30" s="158"/>
      <c r="N30" s="159"/>
      <c r="O30" s="159"/>
      <c r="P30" s="160"/>
      <c r="Q30" s="517"/>
      <c r="R30" s="246"/>
      <c r="S30" s="327"/>
      <c r="T30" s="332"/>
      <c r="U30" s="315"/>
      <c r="V30" s="245"/>
    </row>
    <row r="31" spans="2:22">
      <c r="B31" s="149"/>
      <c r="C31" s="150"/>
      <c r="D31" s="146"/>
      <c r="E31" s="156"/>
      <c r="F31" s="147"/>
      <c r="G31" s="148"/>
      <c r="H31" s="149"/>
      <c r="I31" s="151"/>
      <c r="J31" s="161"/>
      <c r="K31" s="162"/>
      <c r="M31" s="163"/>
      <c r="N31" s="164"/>
      <c r="O31" s="164"/>
      <c r="P31" s="165"/>
      <c r="Q31" s="210"/>
      <c r="R31" s="246"/>
      <c r="S31" s="327"/>
      <c r="T31" s="332"/>
      <c r="U31" s="315"/>
      <c r="V31" s="245"/>
    </row>
    <row r="32" spans="2:22" ht="15" thickBot="1">
      <c r="B32" s="129"/>
      <c r="C32" s="238"/>
      <c r="D32" s="126"/>
      <c r="E32" s="126"/>
      <c r="F32" s="127"/>
      <c r="G32" s="128"/>
      <c r="H32" s="129"/>
      <c r="I32" s="130"/>
      <c r="J32" s="130"/>
      <c r="K32" s="131"/>
      <c r="L32" s="132"/>
      <c r="M32" s="133"/>
      <c r="N32" s="134"/>
      <c r="O32" s="134"/>
      <c r="P32" s="135"/>
      <c r="Q32" s="326"/>
      <c r="R32" s="239"/>
      <c r="S32" s="197"/>
      <c r="T32" s="240"/>
      <c r="U32" s="352"/>
      <c r="V32" s="247"/>
    </row>
    <row r="33" spans="11:22">
      <c r="K33" s="136"/>
      <c r="N33" s="136"/>
      <c r="O33" s="136"/>
      <c r="P33" s="136" t="s">
        <v>37</v>
      </c>
      <c r="Q33" s="137">
        <f>SUM(Q10:Q32)</f>
        <v>439.36847499999999</v>
      </c>
      <c r="R33" s="137"/>
      <c r="S33" s="137">
        <f>SUM(S10:S32)</f>
        <v>212.90438500000002</v>
      </c>
      <c r="T33" s="137">
        <f>SUM(T10:T32)</f>
        <v>212.90438500000002</v>
      </c>
      <c r="U33" s="137">
        <f>SUM(U10:U32)</f>
        <v>0</v>
      </c>
      <c r="V33" s="248"/>
    </row>
    <row r="36" spans="11:22">
      <c r="Q36" s="560" t="s">
        <v>394</v>
      </c>
      <c r="R36" s="560"/>
      <c r="S36" s="450">
        <v>248117.61039999998</v>
      </c>
    </row>
    <row r="37" spans="11:22">
      <c r="Q37" s="560" t="s">
        <v>5</v>
      </c>
      <c r="R37" s="560"/>
      <c r="S37" s="452">
        <v>380</v>
      </c>
    </row>
    <row r="38" spans="11:22">
      <c r="Q38" s="560" t="s">
        <v>395</v>
      </c>
      <c r="R38" s="560"/>
      <c r="S38" s="136">
        <f>S36/S37</f>
        <v>652.94107999999994</v>
      </c>
    </row>
    <row r="39" spans="11:22">
      <c r="R39" s="451" t="s">
        <v>467</v>
      </c>
      <c r="S39" s="136">
        <f>S38+S33</f>
        <v>865.84546499999999</v>
      </c>
    </row>
    <row r="40" spans="11:22">
      <c r="R40" s="451" t="s">
        <v>396</v>
      </c>
      <c r="S40" s="136">
        <v>682</v>
      </c>
    </row>
    <row r="41" spans="11:22">
      <c r="R41" s="451" t="s">
        <v>397</v>
      </c>
      <c r="S41" s="136">
        <f>S39-S40</f>
        <v>183.84546499999999</v>
      </c>
    </row>
  </sheetData>
  <mergeCells count="6">
    <mergeCell ref="Q38:R38"/>
    <mergeCell ref="B3:U3"/>
    <mergeCell ref="H11:K11"/>
    <mergeCell ref="M11:P11"/>
    <mergeCell ref="Q36:R36"/>
    <mergeCell ref="Q37:R37"/>
  </mergeCells>
  <pageMargins left="0.7" right="0.7" top="0.75" bottom="0.75" header="0.3" footer="0.3"/>
  <pageSetup paperSize="9" scale="44"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DE28-3BE2-440B-95B9-4B9B8117623B}">
  <sheetPr>
    <tabColor rgb="FFFFFF00"/>
    <pageSetUpPr fitToPage="1"/>
  </sheetPr>
  <dimension ref="B1:V29"/>
  <sheetViews>
    <sheetView view="pageBreakPreview" topLeftCell="A10" zoomScale="80" zoomScaleNormal="40" zoomScaleSheetLayoutView="80" workbookViewId="0">
      <selection activeCell="C15" sqref="C15"/>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Bill'!B29</f>
        <v>EIFS System with TERRACO finishes (TERRACO acid wash finishes) with Built-up 75mm</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 r="B14" s="178">
        <v>1</v>
      </c>
      <c r="C14" s="256" t="s">
        <v>178</v>
      </c>
      <c r="D14" s="111" t="s">
        <v>119</v>
      </c>
      <c r="E14" s="146" t="s">
        <v>120</v>
      </c>
      <c r="F14" s="263" t="s">
        <v>121</v>
      </c>
      <c r="G14" s="148"/>
      <c r="H14" s="149">
        <v>1</v>
      </c>
      <c r="I14" s="116">
        <v>16.495999999999999</v>
      </c>
      <c r="J14" s="268">
        <v>1.5</v>
      </c>
      <c r="K14" s="118">
        <f>I14*J14*H14</f>
        <v>24.744</v>
      </c>
      <c r="L14" s="119"/>
      <c r="M14" s="120">
        <v>0</v>
      </c>
      <c r="N14" s="117">
        <v>0</v>
      </c>
      <c r="O14" s="117">
        <v>0</v>
      </c>
      <c r="P14" s="209">
        <v>0</v>
      </c>
      <c r="Q14" s="354">
        <f>K14-P14</f>
        <v>24.744</v>
      </c>
      <c r="R14" s="542">
        <v>0.7</v>
      </c>
      <c r="S14" s="341">
        <f>Q14*R14</f>
        <v>17.320799999999998</v>
      </c>
      <c r="T14" s="332">
        <v>17.320799999999998</v>
      </c>
      <c r="U14" s="315">
        <f>S14-T14</f>
        <v>0</v>
      </c>
      <c r="V14" s="232"/>
    </row>
    <row r="15" spans="2:22">
      <c r="B15" s="115"/>
      <c r="C15" s="150" t="s">
        <v>613</v>
      </c>
      <c r="D15" s="111"/>
      <c r="E15" s="146"/>
      <c r="F15" s="147"/>
      <c r="G15" s="148"/>
      <c r="H15" s="149"/>
      <c r="I15" s="151"/>
      <c r="J15" s="116"/>
      <c r="K15" s="118"/>
      <c r="L15" s="119"/>
      <c r="M15" s="120"/>
      <c r="N15" s="117"/>
      <c r="O15" s="117"/>
      <c r="P15" s="209"/>
      <c r="Q15" s="354"/>
      <c r="R15" s="233"/>
      <c r="S15" s="341"/>
      <c r="T15" s="332"/>
      <c r="U15" s="315"/>
      <c r="V15" s="232"/>
    </row>
    <row r="16" spans="2:22">
      <c r="B16" s="115"/>
      <c r="C16" s="150"/>
      <c r="D16" s="111"/>
      <c r="E16" s="112"/>
      <c r="F16" s="113"/>
      <c r="G16" s="114"/>
      <c r="H16" s="115"/>
      <c r="I16" s="116"/>
      <c r="J16" s="117"/>
      <c r="K16" s="118"/>
      <c r="L16" s="119"/>
      <c r="M16" s="120"/>
      <c r="N16" s="121"/>
      <c r="O16" s="121"/>
      <c r="P16" s="122"/>
      <c r="Q16" s="354"/>
      <c r="R16" s="233"/>
      <c r="S16" s="341"/>
      <c r="T16" s="332"/>
      <c r="U16" s="315"/>
      <c r="V16" s="232"/>
    </row>
    <row r="17" spans="2:22">
      <c r="B17" s="115"/>
      <c r="C17" s="150"/>
      <c r="D17" s="111"/>
      <c r="E17" s="111"/>
      <c r="F17" s="113"/>
      <c r="G17" s="114"/>
      <c r="H17" s="115"/>
      <c r="I17" s="116"/>
      <c r="J17" s="117"/>
      <c r="K17" s="118"/>
      <c r="L17" s="119"/>
      <c r="M17" s="120"/>
      <c r="N17" s="121"/>
      <c r="O17" s="121"/>
      <c r="P17" s="122"/>
      <c r="Q17" s="354"/>
      <c r="R17" s="233"/>
      <c r="S17" s="341"/>
      <c r="T17" s="332"/>
      <c r="U17" s="315"/>
      <c r="V17" s="232"/>
    </row>
    <row r="18" spans="2:22">
      <c r="B18" s="115"/>
      <c r="C18" s="150"/>
      <c r="D18" s="123"/>
      <c r="E18" s="111"/>
      <c r="F18" s="113"/>
      <c r="G18" s="114"/>
      <c r="H18" s="115"/>
      <c r="I18" s="116"/>
      <c r="J18" s="117"/>
      <c r="K18" s="118"/>
      <c r="L18" s="119"/>
      <c r="M18" s="120"/>
      <c r="N18" s="121"/>
      <c r="O18" s="121"/>
      <c r="P18" s="122"/>
      <c r="Q18" s="354"/>
      <c r="R18" s="233"/>
      <c r="S18" s="341"/>
      <c r="T18" s="332"/>
      <c r="U18" s="315"/>
      <c r="V18" s="232"/>
    </row>
    <row r="19" spans="2:22">
      <c r="B19" s="149"/>
      <c r="C19" s="153"/>
      <c r="D19" s="111"/>
      <c r="E19" s="146"/>
      <c r="F19" s="113"/>
      <c r="G19" s="148"/>
      <c r="H19" s="149"/>
      <c r="I19" s="151"/>
      <c r="J19" s="117"/>
      <c r="K19" s="118"/>
      <c r="L19" s="154"/>
      <c r="M19" s="120"/>
      <c r="N19" s="121"/>
      <c r="O19" s="121"/>
      <c r="P19" s="122"/>
      <c r="Q19" s="354"/>
      <c r="R19" s="233"/>
      <c r="S19" s="341"/>
      <c r="T19" s="332"/>
      <c r="U19" s="315"/>
      <c r="V19" s="232"/>
    </row>
    <row r="20" spans="2:22">
      <c r="B20" s="149"/>
      <c r="C20" s="150"/>
      <c r="D20" s="146"/>
      <c r="E20" s="146"/>
      <c r="F20" s="147"/>
      <c r="G20" s="148"/>
      <c r="H20" s="149"/>
      <c r="I20" s="151"/>
      <c r="J20" s="116"/>
      <c r="K20" s="118"/>
      <c r="L20" s="155"/>
      <c r="M20" s="120"/>
      <c r="N20" s="121"/>
      <c r="O20" s="121"/>
      <c r="P20" s="122"/>
      <c r="Q20" s="354"/>
      <c r="R20" s="233"/>
      <c r="S20" s="341"/>
      <c r="T20" s="332"/>
      <c r="U20" s="315"/>
      <c r="V20" s="232"/>
    </row>
    <row r="21" spans="2:22">
      <c r="B21" s="115"/>
      <c r="C21" s="150"/>
      <c r="D21" s="111"/>
      <c r="E21" s="112"/>
      <c r="F21" s="113"/>
      <c r="G21" s="114"/>
      <c r="H21" s="115"/>
      <c r="I21" s="116"/>
      <c r="J21" s="117"/>
      <c r="K21" s="118"/>
      <c r="L21" s="119"/>
      <c r="M21" s="120"/>
      <c r="N21" s="121"/>
      <c r="O21" s="121"/>
      <c r="P21" s="122"/>
      <c r="Q21" s="354"/>
      <c r="R21" s="233"/>
      <c r="S21" s="341"/>
      <c r="T21" s="332"/>
      <c r="U21" s="315"/>
      <c r="V21" s="232"/>
    </row>
    <row r="22" spans="2:22">
      <c r="B22" s="149"/>
      <c r="C22" s="153"/>
      <c r="D22" s="111"/>
      <c r="E22" s="156"/>
      <c r="F22" s="113"/>
      <c r="G22" s="148"/>
      <c r="H22" s="149"/>
      <c r="I22" s="151"/>
      <c r="J22" s="116"/>
      <c r="K22" s="157"/>
      <c r="L22" s="155"/>
      <c r="M22" s="158"/>
      <c r="N22" s="159"/>
      <c r="O22" s="159"/>
      <c r="P22" s="160"/>
      <c r="Q22" s="354"/>
      <c r="R22" s="233"/>
      <c r="S22" s="341"/>
      <c r="T22" s="332"/>
      <c r="U22" s="315"/>
      <c r="V22" s="232"/>
    </row>
    <row r="23" spans="2:22">
      <c r="B23" s="149"/>
      <c r="C23" s="150"/>
      <c r="D23" s="146"/>
      <c r="E23" s="156"/>
      <c r="F23" s="147"/>
      <c r="G23" s="148"/>
      <c r="H23" s="149"/>
      <c r="I23" s="151"/>
      <c r="J23" s="161"/>
      <c r="K23" s="162"/>
      <c r="M23" s="163"/>
      <c r="N23" s="164"/>
      <c r="O23" s="164"/>
      <c r="P23" s="165"/>
      <c r="Q23" s="355"/>
      <c r="R23" s="235"/>
      <c r="S23" s="328"/>
      <c r="T23" s="333"/>
      <c r="U23" s="353"/>
      <c r="V23" s="237"/>
    </row>
    <row r="24" spans="2:22" ht="15" thickBot="1">
      <c r="B24" s="129"/>
      <c r="C24" s="238"/>
      <c r="D24" s="126"/>
      <c r="E24" s="126"/>
      <c r="F24" s="127"/>
      <c r="G24" s="128"/>
      <c r="H24" s="129"/>
      <c r="I24" s="130"/>
      <c r="J24" s="130"/>
      <c r="K24" s="131"/>
      <c r="L24" s="132"/>
      <c r="M24" s="133"/>
      <c r="N24" s="134"/>
      <c r="O24" s="134"/>
      <c r="P24" s="135"/>
      <c r="Q24" s="197"/>
      <c r="R24" s="239"/>
      <c r="S24" s="197"/>
      <c r="T24" s="240"/>
      <c r="U24" s="352"/>
      <c r="V24" s="241"/>
    </row>
    <row r="25" spans="2:22">
      <c r="K25" s="136"/>
      <c r="N25" s="136"/>
      <c r="O25" s="136"/>
      <c r="P25" s="136" t="s">
        <v>37</v>
      </c>
      <c r="Q25" s="137">
        <f>SUM(Q10:Q24)</f>
        <v>24.744</v>
      </c>
      <c r="R25" s="137"/>
      <c r="S25" s="137">
        <f>SUM(S10:S24)</f>
        <v>17.320799999999998</v>
      </c>
      <c r="T25" s="137">
        <f>SUM(T10:T24)</f>
        <v>17.320799999999998</v>
      </c>
      <c r="U25" s="137">
        <f>SUM(U10:U24)</f>
        <v>0</v>
      </c>
    </row>
    <row r="27" spans="2:22">
      <c r="Q27" s="560" t="s">
        <v>398</v>
      </c>
      <c r="R27" s="560"/>
    </row>
    <row r="28" spans="2:22">
      <c r="R28" s="451" t="s">
        <v>396</v>
      </c>
      <c r="S28" s="136">
        <v>88</v>
      </c>
    </row>
    <row r="29" spans="2:22" s="136" customFormat="1">
      <c r="B29" s="89"/>
      <c r="C29" s="89"/>
      <c r="D29" s="89"/>
      <c r="E29" s="89"/>
      <c r="F29" s="89"/>
      <c r="G29" s="89"/>
      <c r="H29" s="89"/>
      <c r="I29" s="89"/>
      <c r="J29" s="89"/>
      <c r="K29" s="89"/>
      <c r="L29" s="89"/>
      <c r="M29" s="90"/>
      <c r="N29" s="89"/>
      <c r="O29" s="89"/>
      <c r="P29" s="89"/>
      <c r="Q29" s="560" t="s">
        <v>399</v>
      </c>
      <c r="R29" s="560"/>
      <c r="S29" s="136">
        <f>S28-S25</f>
        <v>70.679200000000009</v>
      </c>
      <c r="V29" s="89"/>
    </row>
  </sheetData>
  <mergeCells count="5">
    <mergeCell ref="B3:U3"/>
    <mergeCell ref="H11:K11"/>
    <mergeCell ref="M11:P11"/>
    <mergeCell ref="Q27:R27"/>
    <mergeCell ref="Q29:R29"/>
  </mergeCells>
  <pageMargins left="0.7" right="0.7" top="0.75" bottom="0.75" header="0.3" footer="0.3"/>
  <pageSetup paperSize="9" scale="57" fitToHeight="0"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V33"/>
  <sheetViews>
    <sheetView view="pageBreakPreview" topLeftCell="J10" zoomScale="80" zoomScaleNormal="40" zoomScaleSheetLayoutView="80" workbookViewId="0">
      <selection activeCell="C18" sqref="C18"/>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Bill'!B31</f>
        <v>EIFS System with TERRACO finishes (TERRACO acid wash finishes) with Built-up 300mm</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227"/>
      <c r="R13" s="226"/>
      <c r="S13" s="227"/>
      <c r="T13" s="332"/>
      <c r="U13" s="315"/>
      <c r="V13" s="229"/>
    </row>
    <row r="14" spans="2:22" customFormat="1">
      <c r="B14" s="178">
        <v>1</v>
      </c>
      <c r="C14" s="265" t="s">
        <v>178</v>
      </c>
      <c r="D14" s="112" t="s">
        <v>119</v>
      </c>
      <c r="E14" s="156" t="s">
        <v>120</v>
      </c>
      <c r="F14" s="266" t="s">
        <v>121</v>
      </c>
      <c r="G14" s="267"/>
      <c r="H14" s="264">
        <v>1</v>
      </c>
      <c r="I14" s="179">
        <v>4</v>
      </c>
      <c r="J14" s="268">
        <v>7.2750000000000004</v>
      </c>
      <c r="K14" s="181">
        <f>H14*I14*J14</f>
        <v>29.1</v>
      </c>
      <c r="L14" s="85"/>
      <c r="M14" s="182">
        <v>0</v>
      </c>
      <c r="N14" s="269">
        <v>0</v>
      </c>
      <c r="O14" s="269">
        <v>0</v>
      </c>
      <c r="P14" s="270">
        <v>0</v>
      </c>
      <c r="Q14" s="354">
        <f>K14-P14</f>
        <v>29.1</v>
      </c>
      <c r="R14" s="233">
        <v>1</v>
      </c>
      <c r="S14" s="341">
        <f>Q14*R14</f>
        <v>29.1</v>
      </c>
      <c r="T14" s="332">
        <v>29.1</v>
      </c>
      <c r="U14" s="315">
        <f>S14-T14</f>
        <v>0</v>
      </c>
      <c r="V14" s="272"/>
    </row>
    <row r="15" spans="2:22" customFormat="1">
      <c r="B15" s="178"/>
      <c r="C15" s="152" t="s">
        <v>614</v>
      </c>
      <c r="D15" s="112"/>
      <c r="E15" s="156"/>
      <c r="F15" s="273"/>
      <c r="G15" s="267"/>
      <c r="H15" s="264"/>
      <c r="I15" s="274"/>
      <c r="J15" s="179"/>
      <c r="K15" s="181"/>
      <c r="L15" s="85"/>
      <c r="M15" s="182"/>
      <c r="N15" s="269"/>
      <c r="O15" s="269"/>
      <c r="P15" s="270"/>
      <c r="Q15" s="354"/>
      <c r="R15" s="233"/>
      <c r="S15" s="341"/>
      <c r="T15" s="332"/>
      <c r="U15" s="315"/>
      <c r="V15" s="272"/>
    </row>
    <row r="16" spans="2:22">
      <c r="B16" s="115"/>
      <c r="C16" s="152"/>
      <c r="D16" s="123"/>
      <c r="E16" s="112"/>
      <c r="F16" s="113"/>
      <c r="G16" s="114"/>
      <c r="H16" s="115"/>
      <c r="I16" s="116"/>
      <c r="J16" s="117"/>
      <c r="K16" s="118"/>
      <c r="L16" s="119"/>
      <c r="M16" s="120"/>
      <c r="N16" s="117"/>
      <c r="O16" s="117"/>
      <c r="P16" s="122"/>
      <c r="Q16" s="338"/>
      <c r="R16" s="233"/>
      <c r="S16" s="327"/>
      <c r="T16" s="332"/>
      <c r="U16" s="315"/>
      <c r="V16" s="232"/>
    </row>
    <row r="17" spans="2:22" customFormat="1">
      <c r="B17" s="178">
        <v>2</v>
      </c>
      <c r="C17" s="152" t="s">
        <v>179</v>
      </c>
      <c r="D17" s="112" t="s">
        <v>127</v>
      </c>
      <c r="E17" s="112" t="s">
        <v>180</v>
      </c>
      <c r="F17" s="275" t="s">
        <v>181</v>
      </c>
      <c r="G17" s="177"/>
      <c r="H17" s="178">
        <v>1</v>
      </c>
      <c r="I17" s="179">
        <v>4</v>
      </c>
      <c r="J17" s="269">
        <v>9.92</v>
      </c>
      <c r="K17" s="181">
        <f>H17*I17*J17</f>
        <v>39.68</v>
      </c>
      <c r="L17" s="85"/>
      <c r="M17" s="182">
        <v>0</v>
      </c>
      <c r="N17" s="269">
        <v>0</v>
      </c>
      <c r="O17" s="269">
        <v>0</v>
      </c>
      <c r="P17" s="270">
        <v>0</v>
      </c>
      <c r="Q17" s="354">
        <f t="shared" ref="Q17" si="0">K17-P17</f>
        <v>39.68</v>
      </c>
      <c r="R17" s="233">
        <v>1</v>
      </c>
      <c r="S17" s="341">
        <f t="shared" ref="S17" si="1">Q17*R17</f>
        <v>39.68</v>
      </c>
      <c r="T17" s="332">
        <v>39.68</v>
      </c>
      <c r="U17" s="315">
        <f t="shared" ref="U17" si="2">S17-T17</f>
        <v>0</v>
      </c>
      <c r="V17" s="272"/>
    </row>
    <row r="18" spans="2:22" customFormat="1">
      <c r="B18" s="178"/>
      <c r="C18" s="152" t="s">
        <v>182</v>
      </c>
      <c r="D18" s="112"/>
      <c r="E18" s="112"/>
      <c r="F18" s="176"/>
      <c r="G18" s="177"/>
      <c r="H18" s="178"/>
      <c r="I18" s="179"/>
      <c r="J18" s="269"/>
      <c r="K18" s="181"/>
      <c r="L18" s="85"/>
      <c r="M18" s="182"/>
      <c r="N18" s="183"/>
      <c r="O18" s="183"/>
      <c r="P18" s="184"/>
      <c r="Q18" s="354"/>
      <c r="R18" s="233"/>
      <c r="S18" s="341"/>
      <c r="T18" s="332"/>
      <c r="U18" s="315"/>
      <c r="V18" s="27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68.78</v>
      </c>
      <c r="R29" s="137"/>
      <c r="S29" s="137">
        <f>SUM(S10:S28)</f>
        <v>68.78</v>
      </c>
      <c r="T29" s="137">
        <f>SUM(T10:T28)</f>
        <v>68.78</v>
      </c>
      <c r="U29" s="137">
        <f>SUM(U10:U28)</f>
        <v>0</v>
      </c>
    </row>
    <row r="31" spans="2:22">
      <c r="Q31" s="560" t="s">
        <v>398</v>
      </c>
      <c r="R31" s="560"/>
    </row>
    <row r="32" spans="2:22">
      <c r="R32" s="451" t="s">
        <v>396</v>
      </c>
      <c r="S32" s="136">
        <v>86</v>
      </c>
    </row>
    <row r="33" spans="17:19">
      <c r="Q33" s="560" t="s">
        <v>399</v>
      </c>
      <c r="R33" s="560"/>
      <c r="S33" s="136">
        <f>S32-S29</f>
        <v>17.22</v>
      </c>
    </row>
  </sheetData>
  <mergeCells count="5">
    <mergeCell ref="B3:U3"/>
    <mergeCell ref="H11:K11"/>
    <mergeCell ref="M11:P11"/>
    <mergeCell ref="Q31:R31"/>
    <mergeCell ref="Q33:R33"/>
  </mergeCells>
  <pageMargins left="0.7" right="0.7" top="0.75" bottom="0.75" header="0.3" footer="0.3"/>
  <pageSetup paperSize="9" scale="57"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B1:V33"/>
  <sheetViews>
    <sheetView view="pageBreakPreview" topLeftCell="B10" zoomScale="80" zoomScaleNormal="40" zoomScaleSheetLayoutView="80" workbookViewId="0">
      <selection activeCell="C16" sqref="C16"/>
    </sheetView>
  </sheetViews>
  <sheetFormatPr defaultColWidth="9.08984375" defaultRowHeight="14.5"/>
  <cols>
    <col min="1" max="1" width="2.08984375" style="89" customWidth="1"/>
    <col min="2" max="2" width="4.54296875" style="89" customWidth="1"/>
    <col min="3" max="3" width="26.36328125" style="89" customWidth="1"/>
    <col min="4" max="4" width="22" style="89" customWidth="1"/>
    <col min="5" max="5" width="11.36328125" style="89" customWidth="1"/>
    <col min="6" max="6" width="10.6328125" style="89" customWidth="1"/>
    <col min="7" max="7" width="9.90625" style="89" customWidth="1"/>
    <col min="8" max="8" width="3.90625" style="89" customWidth="1"/>
    <col min="9" max="9" width="6.90625" style="89" customWidth="1"/>
    <col min="10" max="10" width="7.90625" style="89" bestFit="1" customWidth="1"/>
    <col min="11" max="11" width="8.90625" style="89" customWidth="1"/>
    <col min="12" max="12" width="12.453125" style="89" customWidth="1"/>
    <col min="13" max="13" width="3.90625" style="90" customWidth="1"/>
    <col min="14" max="14" width="6.90625" style="89" customWidth="1"/>
    <col min="15" max="15" width="7.90625" style="89" bestFit="1" customWidth="1"/>
    <col min="16" max="16" width="8.90625" style="89" customWidth="1"/>
    <col min="17" max="17" width="13.36328125" style="136" customWidth="1"/>
    <col min="18" max="18" width="12.90625" style="89" customWidth="1"/>
    <col min="19" max="21" width="12.90625" style="136" customWidth="1"/>
    <col min="22" max="22" width="12.54296875" style="89" customWidth="1"/>
    <col min="23" max="16384" width="9.08984375" style="89"/>
  </cols>
  <sheetData>
    <row r="1" spans="2:22" hidden="1"/>
    <row r="2" spans="2:22" ht="15.5" hidden="1">
      <c r="Q2" s="322"/>
      <c r="R2" s="214"/>
      <c r="S2" s="322"/>
      <c r="T2" s="322"/>
      <c r="U2" s="322"/>
    </row>
    <row r="3" spans="2:22" ht="15.5" hidden="1">
      <c r="B3" s="556" t="s">
        <v>166</v>
      </c>
      <c r="C3" s="556"/>
      <c r="D3" s="556"/>
      <c r="E3" s="556"/>
      <c r="F3" s="556"/>
      <c r="G3" s="556"/>
      <c r="H3" s="556"/>
      <c r="I3" s="556"/>
      <c r="J3" s="556"/>
      <c r="K3" s="556"/>
      <c r="L3" s="556"/>
      <c r="M3" s="556"/>
      <c r="N3" s="556"/>
      <c r="O3" s="556"/>
      <c r="P3" s="556"/>
      <c r="Q3" s="556"/>
      <c r="R3" s="556"/>
      <c r="S3" s="556"/>
      <c r="T3" s="556"/>
      <c r="U3" s="556"/>
    </row>
    <row r="4" spans="2:22" ht="15.5" hidden="1">
      <c r="B4" s="214"/>
      <c r="C4" s="214"/>
      <c r="D4" s="214"/>
      <c r="E4" s="214"/>
      <c r="F4" s="214"/>
      <c r="G4" s="214"/>
      <c r="H4" s="214"/>
      <c r="I4" s="214"/>
      <c r="J4" s="214"/>
      <c r="K4" s="214"/>
      <c r="L4" s="214"/>
      <c r="M4" s="215"/>
      <c r="N4" s="214"/>
      <c r="O4" s="214"/>
      <c r="P4" s="214"/>
      <c r="Q4" s="323"/>
      <c r="R4" s="87"/>
      <c r="S4" s="323"/>
      <c r="T4" s="323"/>
      <c r="U4" s="323"/>
    </row>
    <row r="5" spans="2:22" hidden="1">
      <c r="B5" s="86" t="s">
        <v>167</v>
      </c>
      <c r="C5" s="88"/>
      <c r="D5" s="87" t="s">
        <v>168</v>
      </c>
      <c r="E5" s="88" t="s">
        <v>169</v>
      </c>
      <c r="F5" s="88"/>
      <c r="G5" s="216"/>
      <c r="H5" s="216"/>
      <c r="I5" s="216"/>
      <c r="J5" s="87"/>
      <c r="K5" s="87"/>
      <c r="L5" s="87"/>
      <c r="M5" s="217"/>
      <c r="N5" s="87"/>
      <c r="O5" s="87"/>
      <c r="P5" s="87"/>
      <c r="Q5" s="323"/>
      <c r="R5" s="87"/>
      <c r="S5" s="323"/>
      <c r="T5" s="323"/>
      <c r="U5" s="323"/>
    </row>
    <row r="6" spans="2:22" hidden="1">
      <c r="B6" s="86" t="s">
        <v>170</v>
      </c>
      <c r="C6" s="88"/>
      <c r="D6" s="87" t="s">
        <v>168</v>
      </c>
      <c r="E6" s="88" t="s">
        <v>171</v>
      </c>
      <c r="F6" s="88"/>
      <c r="G6" s="216"/>
      <c r="H6" s="216"/>
      <c r="I6" s="216"/>
      <c r="J6" s="87"/>
      <c r="K6" s="87"/>
      <c r="L6" s="87"/>
      <c r="M6" s="217"/>
      <c r="N6" s="87"/>
      <c r="O6" s="87"/>
      <c r="P6" s="87"/>
      <c r="Q6" s="323"/>
      <c r="R6" s="87"/>
      <c r="S6" s="323"/>
      <c r="T6" s="323"/>
      <c r="U6" s="323"/>
    </row>
    <row r="7" spans="2:22" hidden="1">
      <c r="B7" s="86" t="s">
        <v>172</v>
      </c>
      <c r="C7" s="88"/>
      <c r="D7" s="87" t="s">
        <v>168</v>
      </c>
      <c r="E7" s="88" t="s">
        <v>173</v>
      </c>
      <c r="F7" s="88"/>
      <c r="G7" s="216"/>
      <c r="H7" s="216"/>
      <c r="I7" s="216"/>
      <c r="J7" s="87"/>
      <c r="K7" s="87"/>
      <c r="L7" s="87"/>
      <c r="M7" s="217"/>
      <c r="N7" s="87"/>
      <c r="O7" s="87"/>
      <c r="P7" s="87"/>
      <c r="Q7" s="323"/>
      <c r="R7" s="87"/>
      <c r="S7" s="323"/>
    </row>
    <row r="8" spans="2:22" hidden="1">
      <c r="B8" s="86" t="s">
        <v>174</v>
      </c>
      <c r="C8" s="88"/>
      <c r="D8" s="87" t="s">
        <v>168</v>
      </c>
      <c r="E8" s="88" t="s">
        <v>175</v>
      </c>
      <c r="F8" s="88"/>
      <c r="G8" s="216"/>
      <c r="H8" s="216"/>
      <c r="I8" s="216"/>
      <c r="J8" s="87"/>
      <c r="K8" s="87"/>
      <c r="L8" s="87"/>
      <c r="M8" s="217"/>
      <c r="N8" s="87"/>
      <c r="O8" s="87"/>
      <c r="P8" s="87"/>
      <c r="Q8" s="323"/>
      <c r="R8" s="87"/>
      <c r="S8" s="323"/>
    </row>
    <row r="9" spans="2:22" hidden="1">
      <c r="B9" s="218"/>
      <c r="C9" s="219"/>
      <c r="D9" s="87"/>
      <c r="E9" s="87"/>
      <c r="F9" s="87"/>
      <c r="G9" s="87"/>
      <c r="H9" s="87"/>
      <c r="I9" s="87"/>
      <c r="J9" s="87"/>
      <c r="K9" s="87"/>
      <c r="L9" s="87"/>
      <c r="M9" s="217"/>
      <c r="N9" s="87"/>
      <c r="O9" s="87"/>
      <c r="P9" s="87"/>
      <c r="Q9" s="323"/>
      <c r="R9" s="87"/>
      <c r="S9" s="323"/>
    </row>
    <row r="10" spans="2:22" ht="15" thickBot="1">
      <c r="B10" s="220" t="str">
        <f>'Progress Bill'!B33</f>
        <v>EIFS System with TERRACO finishes (TERRACO acid wash finishes) with Built-up 400mm</v>
      </c>
      <c r="P10" s="221"/>
      <c r="Q10" s="323"/>
      <c r="R10" s="87"/>
      <c r="S10" s="323"/>
      <c r="T10" s="329"/>
      <c r="U10" s="346"/>
    </row>
    <row r="11" spans="2:22" ht="52.5" thickBot="1">
      <c r="B11" s="91" t="s">
        <v>70</v>
      </c>
      <c r="C11" s="92" t="s">
        <v>71</v>
      </c>
      <c r="D11" s="92" t="s">
        <v>72</v>
      </c>
      <c r="E11" s="91" t="s">
        <v>73</v>
      </c>
      <c r="F11" s="91" t="s">
        <v>74</v>
      </c>
      <c r="G11" s="91" t="s">
        <v>75</v>
      </c>
      <c r="H11" s="557" t="s">
        <v>76</v>
      </c>
      <c r="I11" s="558"/>
      <c r="J11" s="558"/>
      <c r="K11" s="559"/>
      <c r="L11" s="93" t="s">
        <v>77</v>
      </c>
      <c r="M11" s="557" t="s">
        <v>78</v>
      </c>
      <c r="N11" s="558"/>
      <c r="O11" s="558"/>
      <c r="P11" s="559"/>
      <c r="Q11" s="201" t="s">
        <v>79</v>
      </c>
      <c r="R11" s="222" t="s">
        <v>115</v>
      </c>
      <c r="S11" s="189" t="s">
        <v>116</v>
      </c>
      <c r="T11" s="330" t="s">
        <v>117</v>
      </c>
      <c r="U11" s="347" t="s">
        <v>118</v>
      </c>
      <c r="V11" s="91" t="s">
        <v>176</v>
      </c>
    </row>
    <row r="12" spans="2:22" ht="15" thickBot="1">
      <c r="B12" s="94" t="s">
        <v>177</v>
      </c>
      <c r="C12" s="95"/>
      <c r="D12" s="95"/>
      <c r="E12" s="95"/>
      <c r="F12" s="95"/>
      <c r="G12" s="96"/>
      <c r="H12" s="97" t="s">
        <v>70</v>
      </c>
      <c r="I12" s="98" t="s">
        <v>83</v>
      </c>
      <c r="J12" s="98" t="s">
        <v>84</v>
      </c>
      <c r="K12" s="99" t="s">
        <v>85</v>
      </c>
      <c r="L12" s="100"/>
      <c r="M12" s="101" t="s">
        <v>70</v>
      </c>
      <c r="N12" s="98" t="s">
        <v>83</v>
      </c>
      <c r="O12" s="98" t="s">
        <v>84</v>
      </c>
      <c r="P12" s="99" t="s">
        <v>85</v>
      </c>
      <c r="Q12" s="191"/>
      <c r="R12" s="224"/>
      <c r="S12" s="191"/>
      <c r="T12" s="331"/>
      <c r="U12" s="350" t="s">
        <v>86</v>
      </c>
      <c r="V12" s="102"/>
    </row>
    <row r="13" spans="2:22">
      <c r="B13" s="103"/>
      <c r="C13" s="104"/>
      <c r="D13" s="104"/>
      <c r="E13" s="104"/>
      <c r="F13" s="105"/>
      <c r="G13" s="105"/>
      <c r="H13" s="103"/>
      <c r="I13" s="225"/>
      <c r="J13" s="225"/>
      <c r="K13" s="107"/>
      <c r="L13" s="108"/>
      <c r="M13" s="109"/>
      <c r="N13" s="104"/>
      <c r="O13" s="104"/>
      <c r="P13" s="107"/>
      <c r="Q13" s="356"/>
      <c r="R13" s="230"/>
      <c r="S13" s="227"/>
      <c r="T13" s="228"/>
      <c r="U13" s="315"/>
      <c r="V13" s="229"/>
    </row>
    <row r="14" spans="2:22" customFormat="1">
      <c r="B14" s="178">
        <v>1</v>
      </c>
      <c r="C14" s="265" t="s">
        <v>183</v>
      </c>
      <c r="D14" s="112" t="s">
        <v>184</v>
      </c>
      <c r="E14" s="156" t="s">
        <v>185</v>
      </c>
      <c r="F14" s="266" t="s">
        <v>124</v>
      </c>
      <c r="G14" s="267"/>
      <c r="H14" s="264">
        <v>1</v>
      </c>
      <c r="I14" s="258">
        <v>3.22</v>
      </c>
      <c r="J14">
        <v>7.2750000000000004</v>
      </c>
      <c r="K14" s="181">
        <f>H14*I14*J14</f>
        <v>23.425500000000003</v>
      </c>
      <c r="L14" s="85"/>
      <c r="M14" s="182">
        <v>0</v>
      </c>
      <c r="N14" s="183">
        <v>0</v>
      </c>
      <c r="O14" s="183">
        <v>0</v>
      </c>
      <c r="P14" s="184">
        <v>0</v>
      </c>
      <c r="Q14" s="357">
        <f>K14-P14</f>
        <v>23.425500000000003</v>
      </c>
      <c r="R14" s="230">
        <v>1</v>
      </c>
      <c r="S14" s="341">
        <f>Q14*R14</f>
        <v>23.425500000000003</v>
      </c>
      <c r="T14" s="332">
        <v>23.425500000000003</v>
      </c>
      <c r="U14" s="315">
        <f>S14-T14</f>
        <v>0</v>
      </c>
      <c r="V14" s="272"/>
    </row>
    <row r="15" spans="2:22" customFormat="1">
      <c r="B15" s="178"/>
      <c r="C15" s="152" t="s">
        <v>249</v>
      </c>
      <c r="D15" s="112"/>
      <c r="E15" s="156"/>
      <c r="F15" s="273"/>
      <c r="G15" s="267"/>
      <c r="H15" s="264"/>
      <c r="I15" s="274"/>
      <c r="J15" s="179"/>
      <c r="K15" s="181"/>
      <c r="L15" s="85"/>
      <c r="M15" s="182"/>
      <c r="N15" s="183"/>
      <c r="O15" s="183"/>
      <c r="P15" s="184"/>
      <c r="Q15" s="357"/>
      <c r="R15" s="230"/>
      <c r="S15" s="341"/>
      <c r="T15" s="332"/>
      <c r="U15" s="315"/>
      <c r="V15" s="272"/>
    </row>
    <row r="16" spans="2:22">
      <c r="B16" s="115"/>
      <c r="C16" s="375"/>
      <c r="D16" s="123"/>
      <c r="E16" s="112"/>
      <c r="F16" s="113"/>
      <c r="G16" s="114"/>
      <c r="H16" s="115"/>
      <c r="I16" s="116"/>
      <c r="J16" s="117"/>
      <c r="K16" s="118"/>
      <c r="L16" s="119"/>
      <c r="M16" s="120"/>
      <c r="N16" s="117"/>
      <c r="O16" s="117"/>
      <c r="P16" s="122"/>
      <c r="Q16" s="338"/>
      <c r="R16" s="230"/>
      <c r="S16" s="327"/>
      <c r="T16" s="332"/>
      <c r="U16" s="315"/>
      <c r="V16" s="232"/>
    </row>
    <row r="17" spans="2:22">
      <c r="B17" s="115"/>
      <c r="C17" s="150"/>
      <c r="D17" s="111"/>
      <c r="E17" s="112"/>
      <c r="F17" s="234"/>
      <c r="G17" s="114"/>
      <c r="H17" s="115"/>
      <c r="I17" s="116"/>
      <c r="J17" s="117"/>
      <c r="K17" s="118"/>
      <c r="L17" s="119"/>
      <c r="M17" s="120"/>
      <c r="N17" s="117"/>
      <c r="O17" s="117"/>
      <c r="P17" s="209"/>
      <c r="Q17" s="338"/>
      <c r="R17" s="230"/>
      <c r="S17" s="327"/>
      <c r="T17" s="332"/>
      <c r="U17" s="315"/>
      <c r="V17" s="232"/>
    </row>
    <row r="18" spans="2:22">
      <c r="B18" s="115"/>
      <c r="C18" s="150"/>
      <c r="D18" s="111"/>
      <c r="E18" s="111"/>
      <c r="F18" s="113"/>
      <c r="G18" s="114"/>
      <c r="H18" s="115"/>
      <c r="I18" s="116"/>
      <c r="J18" s="117"/>
      <c r="K18" s="118"/>
      <c r="L18" s="119"/>
      <c r="M18" s="120"/>
      <c r="N18" s="121"/>
      <c r="O18" s="121"/>
      <c r="P18" s="122"/>
      <c r="Q18" s="338"/>
      <c r="R18" s="233"/>
      <c r="S18" s="327"/>
      <c r="T18" s="332"/>
      <c r="U18" s="315"/>
      <c r="V18" s="232"/>
    </row>
    <row r="19" spans="2:22">
      <c r="B19" s="115"/>
      <c r="C19" s="150"/>
      <c r="D19" s="111"/>
      <c r="E19" s="111"/>
      <c r="F19" s="113"/>
      <c r="G19" s="114"/>
      <c r="H19" s="115"/>
      <c r="I19" s="116"/>
      <c r="J19" s="117"/>
      <c r="K19" s="118"/>
      <c r="L19" s="119"/>
      <c r="M19" s="120"/>
      <c r="N19" s="121"/>
      <c r="O19" s="121"/>
      <c r="P19" s="122"/>
      <c r="Q19" s="338"/>
      <c r="R19" s="233"/>
      <c r="S19" s="327"/>
      <c r="T19" s="332"/>
      <c r="U19" s="315"/>
      <c r="V19" s="232"/>
    </row>
    <row r="20" spans="2:22">
      <c r="B20" s="115"/>
      <c r="C20" s="150"/>
      <c r="D20" s="111"/>
      <c r="E20" s="112"/>
      <c r="F20" s="113"/>
      <c r="G20" s="114"/>
      <c r="H20" s="115"/>
      <c r="I20" s="116"/>
      <c r="J20" s="117"/>
      <c r="K20" s="118"/>
      <c r="L20" s="119"/>
      <c r="M20" s="120"/>
      <c r="N20" s="121"/>
      <c r="O20" s="121"/>
      <c r="P20" s="122"/>
      <c r="Q20" s="338"/>
      <c r="R20" s="233"/>
      <c r="S20" s="327"/>
      <c r="T20" s="332"/>
      <c r="U20" s="315"/>
      <c r="V20" s="232"/>
    </row>
    <row r="21" spans="2:22">
      <c r="B21" s="115"/>
      <c r="C21" s="150"/>
      <c r="D21" s="111"/>
      <c r="E21" s="111"/>
      <c r="F21" s="113"/>
      <c r="G21" s="114"/>
      <c r="H21" s="115"/>
      <c r="I21" s="116"/>
      <c r="J21" s="117"/>
      <c r="K21" s="118"/>
      <c r="L21" s="119"/>
      <c r="M21" s="120"/>
      <c r="N21" s="121"/>
      <c r="O21" s="121"/>
      <c r="P21" s="122"/>
      <c r="Q21" s="338"/>
      <c r="R21" s="233"/>
      <c r="S21" s="327"/>
      <c r="T21" s="332"/>
      <c r="U21" s="315"/>
      <c r="V21" s="232"/>
    </row>
    <row r="22" spans="2:22">
      <c r="B22" s="115"/>
      <c r="C22" s="150"/>
      <c r="D22" s="123"/>
      <c r="E22" s="111"/>
      <c r="F22" s="113"/>
      <c r="G22" s="114"/>
      <c r="H22" s="115"/>
      <c r="I22" s="116"/>
      <c r="J22" s="117"/>
      <c r="K22" s="118"/>
      <c r="L22" s="119"/>
      <c r="M22" s="120"/>
      <c r="N22" s="121"/>
      <c r="O22" s="121"/>
      <c r="P22" s="122"/>
      <c r="Q22" s="338"/>
      <c r="R22" s="233"/>
      <c r="S22" s="327"/>
      <c r="T22" s="332"/>
      <c r="U22" s="315"/>
      <c r="V22" s="232"/>
    </row>
    <row r="23" spans="2:22">
      <c r="B23" s="149"/>
      <c r="C23" s="153"/>
      <c r="D23" s="111"/>
      <c r="E23" s="146"/>
      <c r="F23" s="113"/>
      <c r="G23" s="148"/>
      <c r="H23" s="149"/>
      <c r="I23" s="151"/>
      <c r="J23" s="117"/>
      <c r="K23" s="118"/>
      <c r="L23" s="154"/>
      <c r="M23" s="120"/>
      <c r="N23" s="121"/>
      <c r="O23" s="121"/>
      <c r="P23" s="122"/>
      <c r="Q23" s="338"/>
      <c r="R23" s="233"/>
      <c r="S23" s="327"/>
      <c r="T23" s="332"/>
      <c r="U23" s="315"/>
      <c r="V23" s="232"/>
    </row>
    <row r="24" spans="2:22">
      <c r="B24" s="149"/>
      <c r="C24" s="150"/>
      <c r="D24" s="146"/>
      <c r="E24" s="146"/>
      <c r="F24" s="147"/>
      <c r="G24" s="148"/>
      <c r="H24" s="149"/>
      <c r="I24" s="151"/>
      <c r="J24" s="116"/>
      <c r="K24" s="118"/>
      <c r="L24" s="155"/>
      <c r="M24" s="120"/>
      <c r="N24" s="121"/>
      <c r="O24" s="121"/>
      <c r="P24" s="122"/>
      <c r="Q24" s="338"/>
      <c r="R24" s="233"/>
      <c r="S24" s="327"/>
      <c r="T24" s="332"/>
      <c r="U24" s="315"/>
      <c r="V24" s="232"/>
    </row>
    <row r="25" spans="2:22">
      <c r="B25" s="115"/>
      <c r="C25" s="150"/>
      <c r="D25" s="111"/>
      <c r="E25" s="112"/>
      <c r="F25" s="113"/>
      <c r="G25" s="114"/>
      <c r="H25" s="115"/>
      <c r="I25" s="116"/>
      <c r="J25" s="117"/>
      <c r="K25" s="118"/>
      <c r="L25" s="119"/>
      <c r="M25" s="120"/>
      <c r="N25" s="121"/>
      <c r="O25" s="121"/>
      <c r="P25" s="122"/>
      <c r="Q25" s="338"/>
      <c r="R25" s="233"/>
      <c r="S25" s="327"/>
      <c r="T25" s="332"/>
      <c r="U25" s="315"/>
      <c r="V25" s="232"/>
    </row>
    <row r="26" spans="2:22">
      <c r="B26" s="149"/>
      <c r="C26" s="153"/>
      <c r="D26" s="111"/>
      <c r="E26" s="156"/>
      <c r="F26" s="113"/>
      <c r="G26" s="148"/>
      <c r="H26" s="149"/>
      <c r="I26" s="151"/>
      <c r="J26" s="116"/>
      <c r="K26" s="157"/>
      <c r="L26" s="155"/>
      <c r="M26" s="158"/>
      <c r="N26" s="159"/>
      <c r="O26" s="159"/>
      <c r="P26" s="160"/>
      <c r="Q26" s="338"/>
      <c r="R26" s="233"/>
      <c r="S26" s="327"/>
      <c r="T26" s="332"/>
      <c r="U26" s="315"/>
      <c r="V26" s="232"/>
    </row>
    <row r="27" spans="2:22">
      <c r="B27" s="149"/>
      <c r="C27" s="150"/>
      <c r="D27" s="146"/>
      <c r="E27" s="156"/>
      <c r="F27" s="147"/>
      <c r="G27" s="148"/>
      <c r="H27" s="149"/>
      <c r="I27" s="151"/>
      <c r="J27" s="161"/>
      <c r="K27" s="162"/>
      <c r="M27" s="163"/>
      <c r="N27" s="164"/>
      <c r="O27" s="164"/>
      <c r="P27" s="165"/>
      <c r="Q27" s="355"/>
      <c r="R27" s="235"/>
      <c r="S27" s="328"/>
      <c r="T27" s="333"/>
      <c r="U27" s="353"/>
      <c r="V27" s="237"/>
    </row>
    <row r="28" spans="2:22" ht="15" thickBot="1">
      <c r="B28" s="129"/>
      <c r="C28" s="238"/>
      <c r="D28" s="126"/>
      <c r="E28" s="126"/>
      <c r="F28" s="127"/>
      <c r="G28" s="128"/>
      <c r="H28" s="129"/>
      <c r="I28" s="130"/>
      <c r="J28" s="130"/>
      <c r="K28" s="131"/>
      <c r="L28" s="132"/>
      <c r="M28" s="133"/>
      <c r="N28" s="134"/>
      <c r="O28" s="134"/>
      <c r="P28" s="135"/>
      <c r="Q28" s="197"/>
      <c r="R28" s="239"/>
      <c r="S28" s="197"/>
      <c r="T28" s="240"/>
      <c r="U28" s="352"/>
      <c r="V28" s="241"/>
    </row>
    <row r="29" spans="2:22">
      <c r="K29" s="136"/>
      <c r="N29" s="136"/>
      <c r="O29" s="136"/>
      <c r="P29" s="136" t="s">
        <v>37</v>
      </c>
      <c r="Q29" s="137">
        <f>SUM(Q10:Q28)</f>
        <v>23.425500000000003</v>
      </c>
      <c r="R29" s="137"/>
      <c r="S29" s="137">
        <f>SUM(S10:S28)</f>
        <v>23.425500000000003</v>
      </c>
      <c r="T29" s="137">
        <f>SUM(T10:T28)</f>
        <v>23.425500000000003</v>
      </c>
      <c r="U29" s="137">
        <f>SUM(U10:U28)</f>
        <v>0</v>
      </c>
    </row>
    <row r="31" spans="2:22">
      <c r="Q31" s="560" t="s">
        <v>398</v>
      </c>
      <c r="R31" s="560"/>
    </row>
    <row r="32" spans="2:22">
      <c r="R32" s="451" t="s">
        <v>396</v>
      </c>
      <c r="S32" s="136">
        <v>24</v>
      </c>
    </row>
    <row r="33" spans="17:19">
      <c r="Q33" s="560" t="s">
        <v>399</v>
      </c>
      <c r="R33" s="560"/>
      <c r="S33" s="136">
        <f>S32-S29</f>
        <v>0.5744999999999969</v>
      </c>
    </row>
  </sheetData>
  <mergeCells count="5">
    <mergeCell ref="B3:U3"/>
    <mergeCell ref="H11:K11"/>
    <mergeCell ref="M11:P11"/>
    <mergeCell ref="Q31:R31"/>
    <mergeCell ref="Q33:R33"/>
  </mergeCells>
  <pageMargins left="0.7" right="0.7" top="0.75" bottom="0.75" header="0.3" footer="0.3"/>
  <pageSetup paperSize="9" scale="56"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21</vt:i4>
      </vt:variant>
    </vt:vector>
  </HeadingPairs>
  <TitlesOfParts>
    <vt:vector size="42" baseType="lpstr">
      <vt:lpstr>Summary</vt:lpstr>
      <vt:lpstr>Progress Bill</vt:lpstr>
      <vt:lpstr>75MM-EIFS</vt:lpstr>
      <vt:lpstr>100MM-EIFS</vt:lpstr>
      <vt:lpstr>150MM-EIFS</vt:lpstr>
      <vt:lpstr>200MM-EIFS</vt:lpstr>
      <vt:lpstr>EIFS -STAND ALONE (75MM)</vt:lpstr>
      <vt:lpstr>EIFS -STAND ALONE (300MM) </vt:lpstr>
      <vt:lpstr>EIFS -STAND ALONE (400MM)</vt:lpstr>
      <vt:lpstr>EIFS RENDER</vt:lpstr>
      <vt:lpstr>VARIATIONS</vt:lpstr>
      <vt:lpstr>RPJV Variation</vt:lpstr>
      <vt:lpstr>PVC GROOVE</vt:lpstr>
      <vt:lpstr>EIFS + BUILTUP (300MM)</vt:lpstr>
      <vt:lpstr>EIFS + BUILTUP (400MM) </vt:lpstr>
      <vt:lpstr>KCE Variation</vt:lpstr>
      <vt:lpstr>EIFS 400mm EPS BOARDS</vt:lpstr>
      <vt:lpstr>EIFS 400mm BASECOAT</vt:lpstr>
      <vt:lpstr>EIFS 400mm PAINT</vt:lpstr>
      <vt:lpstr>EIFS 300mm EPS BOARDS</vt:lpstr>
      <vt:lpstr>EIFS 300mm BASECOAT</vt:lpstr>
      <vt:lpstr>'100MM-EIFS'!Print_Area</vt:lpstr>
      <vt:lpstr>'150MM-EIFS'!Print_Area</vt:lpstr>
      <vt:lpstr>'200MM-EIFS'!Print_Area</vt:lpstr>
      <vt:lpstr>'75MM-EIFS'!Print_Area</vt:lpstr>
      <vt:lpstr>'EIFS + BUILTUP (300MM)'!Print_Area</vt:lpstr>
      <vt:lpstr>'EIFS + BUILTUP (400MM) '!Print_Area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'EIFS -STAND ALONE (75MM)'!Print_Area</vt:lpstr>
      <vt:lpstr>'KCE Variation'!Print_Area</vt:lpstr>
      <vt:lpstr>'Progress Bill'!Print_Area</vt:lpstr>
      <vt:lpstr>'PVC GROOVE'!Print_Area</vt:lpstr>
      <vt:lpstr>'RPJV Variation'!Print_Area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2023-01-13T10:34:08Z</cp:lastPrinted>
  <dcterms:created xsi:type="dcterms:W3CDTF">2022-10-27T10:46:57Z</dcterms:created>
  <dcterms:modified xsi:type="dcterms:W3CDTF">2023-04-14T07:33:53Z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